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_- [$$-45C]"/>
    <numFmt numFmtId="165" formatCode="&quot;£&quot;#,##0.00"/>
    <numFmt numFmtId="166" formatCode="[$€-2] #,##0.00"/>
    <numFmt numFmtId="167" formatCode="0.0%"/>
    <numFmt numFmtId="168" formatCode="#,##0;(#,##0)"/>
    <numFmt numFmtId="169" formatCode="#,##0.00;(#,##0.00)"/>
  </numFmts>
  <fonts count="5" x14ac:knownFonts="1">
    <font>
      <sz val="11"/>
      <name val="Calibri"/>
    </font>
    <font>
      <sz val="11"/>
      <name val="Calibri"/>
      <color rgb="FFFFFFFF"/>
    </font>
    <font>
      <sz val="11"/>
      <name val="Calibri"/>
      <b/>
    </font>
    <font>
      <sz val="11"/>
      <name val="Calibri"/>
      <i/>
    </font>
    <font>
      <sz val="11"/>
      <name val="Calibri"/>
      <u/>
    </font>
  </fonts>
  <fills count="6">
    <fill>
      <patternFill patternType="none"/>
    </fill>
    <fill>
      <patternFill patternType="none"/>
    </fill>
    <fill>
      <patternFill patternType="solid">
        <fgColor rgb="FFD9D9D9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6cfef"/>
        <bgColor indexed="64"/>
      </patternFill>
    </fill>
  </fills>
  <borders count="2">
    <border>
      <left/>
      <right/>
      <top/>
      <bottom/>
      <diagonal/>
    </border>
    <border diagonalUp="false" diagonalDown="false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applyFont="1" applyFill="1" applyBorder="1"/>
    <xf numFmtId="0" fontId="1" fillId="0" borderId="0" applyFont="1" applyFill="1" applyBorder="1"/>
    <xf numFmtId="0" fontId="2" fillId="0" borderId="0" applyFont="1" applyFill="1" applyBorder="1"/>
    <xf numFmtId="0" fontId="3" fillId="0" borderId="0" applyFont="1" applyFill="1" applyBorder="1"/>
    <xf numFmtId="0" fontId="4" fillId="0" borderId="0" applyFont="1" applyFill="1" applyBorder="1"/>
    <xf numFmtId="0" fontId="0" fillId="2" borderId="0" applyFont="1" applyFill="1" applyBorder="1"/>
    <xf numFmtId="0" fontId="1" fillId="2" borderId="0" applyFont="1" applyFill="1" applyBorder="1"/>
    <xf numFmtId="0" fontId="2" fillId="2" borderId="0" applyFont="1" applyFill="1" applyBorder="1"/>
    <xf numFmtId="0" fontId="3" fillId="2" borderId="0" applyFont="1" applyFill="1" applyBorder="1"/>
    <xf numFmtId="0" fontId="4" fillId="2" borderId="0" applyFont="1" applyFill="1" applyBorder="1"/>
    <xf numFmtId="0" fontId="0" fillId="3" borderId="0" applyFont="1" applyFill="1" applyBorder="1"/>
    <xf numFmtId="0" fontId="1" fillId="3" borderId="0" applyFont="1" applyFill="1" applyBorder="1"/>
    <xf numFmtId="0" fontId="2" fillId="3" borderId="0" applyFont="1" applyFill="1" applyBorder="1"/>
    <xf numFmtId="0" fontId="3" fillId="3" borderId="0" applyFont="1" applyFill="1" applyBorder="1"/>
    <xf numFmtId="0" fontId="4" fillId="3" borderId="0" applyFont="1" applyFill="1" applyBorder="1"/>
    <xf numFmtId="0" fontId="0" fillId="4" borderId="0" applyFont="1" applyFill="1" applyBorder="1"/>
    <xf numFmtId="0" fontId="1" fillId="4" borderId="0" applyFont="1" applyFill="1" applyBorder="1"/>
    <xf numFmtId="0" fontId="2" fillId="4" borderId="0" applyFont="1" applyFill="1" applyBorder="1"/>
    <xf numFmtId="0" fontId="3" fillId="4" borderId="0" applyFont="1" applyFill="1" applyBorder="1"/>
    <xf numFmtId="0" fontId="4" fillId="4" borderId="0" applyFont="1" applyFill="1" applyBorder="1"/>
    <xf numFmtId="0" fontId="0" fillId="5" borderId="0" applyFont="1" applyFill="1" applyBorder="1"/>
    <xf numFmtId="0" fontId="1" fillId="5" borderId="0" applyFont="1" applyFill="1" applyBorder="1"/>
    <xf numFmtId="0" fontId="2" fillId="5" borderId="0" applyFont="1" applyFill="1" applyBorder="1"/>
    <xf numFmtId="0" fontId="3" fillId="5" borderId="0" applyFont="1" applyFill="1" applyBorder="1"/>
    <xf numFmtId="0" fontId="4" fillId="5" borderId="0" applyFont="1" applyFill="1" applyBorder="1"/>
    <xf numFmtId="0" fontId="0" fillId="0" borderId="1" applyFont="1" applyFill="1" applyBorder="1"/>
    <xf numFmtId="0" fontId="1" fillId="0" borderId="1" applyFont="1" applyFill="1" applyBorder="1"/>
    <xf numFmtId="0" fontId="2" fillId="0" borderId="1" applyFont="1" applyFill="1" applyBorder="1"/>
    <xf numFmtId="0" fontId="3" fillId="0" borderId="1" applyFont="1" applyFill="1" applyBorder="1"/>
    <xf numFmtId="0" fontId="4" fillId="0" borderId="1" applyFont="1" applyFill="1" applyBorder="1"/>
    <xf numFmtId="0" fontId="0" fillId="2" borderId="1" applyFont="1" applyFill="1" applyBorder="1"/>
    <xf numFmtId="0" fontId="1" fillId="2" borderId="1" applyFont="1" applyFill="1" applyBorder="1"/>
    <xf numFmtId="0" fontId="2" fillId="2" borderId="1" applyFont="1" applyFill="1" applyBorder="1"/>
    <xf numFmtId="0" fontId="3" fillId="2" borderId="1" applyFont="1" applyFill="1" applyBorder="1"/>
    <xf numFmtId="0" fontId="4" fillId="2" borderId="1" applyFont="1" applyFill="1" applyBorder="1"/>
    <xf numFmtId="0" fontId="0" fillId="3" borderId="1" applyFont="1" applyFill="1" applyBorder="1"/>
    <xf numFmtId="0" fontId="1" fillId="3" borderId="1" applyFont="1" applyFill="1" applyBorder="1"/>
    <xf numFmtId="0" fontId="2" fillId="3" borderId="1" applyFont="1" applyFill="1" applyBorder="1"/>
    <xf numFmtId="0" fontId="3" fillId="3" borderId="1" applyFont="1" applyFill="1" applyBorder="1"/>
    <xf numFmtId="0" fontId="4" fillId="3" borderId="1" applyFont="1" applyFill="1" applyBorder="1"/>
    <xf numFmtId="0" fontId="0" fillId="4" borderId="1" applyFont="1" applyFill="1" applyBorder="1"/>
    <xf numFmtId="0" fontId="1" fillId="4" borderId="1" applyFont="1" applyFill="1" applyBorder="1"/>
    <xf numFmtId="0" fontId="2" fillId="4" borderId="1" applyFont="1" applyFill="1" applyBorder="1"/>
    <xf numFmtId="0" fontId="3" fillId="4" borderId="1" applyFont="1" applyFill="1" applyBorder="1"/>
    <xf numFmtId="0" fontId="4" fillId="4" borderId="1" applyFont="1" applyFill="1" applyBorder="1"/>
    <xf numFmtId="0" fontId="0" fillId="5" borderId="1" applyFont="1" applyFill="1" applyBorder="1"/>
    <xf numFmtId="0" fontId="1" fillId="5" borderId="1" applyFont="1" applyFill="1" applyBorder="1"/>
    <xf numFmtId="0" fontId="2" fillId="5" borderId="1" applyFont="1" applyFill="1" applyBorder="1"/>
    <xf numFmtId="0" fontId="3" fillId="5" borderId="1" applyFont="1" applyFill="1" applyBorder="1"/>
    <xf numFmtId="0" fontId="4" fillId="5" borderId="1" applyFont="1" applyFill="1" applyBorder="1"/>
    <xf numFmtId="0" fontId="0" fillId="0" borderId="0" applyFont="1" applyFill="1" applyBorder="1" xfId="0" applyAlignment="1">
      <alignment horizontal="left"/>
    </xf>
    <xf numFmtId="0" fontId="0" fillId="0" borderId="0" applyFont="1" applyFill="1" applyBorder="1" xfId="0" applyAlignment="1">
      <alignment horizontal="center"/>
    </xf>
    <xf numFmtId="0" fontId="0" fillId="0" borderId="0" applyFont="1" applyFill="1" applyBorder="1" xfId="0" applyAlignment="1">
      <alignment horizontal="right"/>
    </xf>
    <xf numFmtId="0" fontId="0" fillId="0" borderId="0" applyFont="1" applyFill="1" applyBorder="1" xfId="0" applyAlignment="1">
      <alignment horizontal="fill"/>
    </xf>
    <xf numFmtId="0" fontId="0" fillId="0" borderId="0" applyFont="1" applyFill="1" applyBorder="1" xfId="0" applyAlignment="1">
      <alignment textRotation="90"/>
    </xf>
    <xf numFmtId="0" fontId="0" fillId="0" borderId="0" applyFont="1" applyFill="1" applyBorder="1" xfId="0" applyAlignment="1">
      <alignment wrapText="1"/>
    </xf>
    <xf numFmtId="9" fontId="0" fillId="0" borderId="0" applyFont="1" applyFill="1" applyBorder="1" xfId="0" applyNumberFormat="1"/>
    <xf numFmtId="164" fontId="0" fillId="0" borderId="0" applyFont="1" applyFill="1" applyBorder="1" xfId="0" applyNumberFormat="1"/>
    <xf numFmtId="165" fontId="0" fillId="0" borderId="0" applyFont="1" applyFill="1" applyBorder="1" xfId="0" applyNumberFormat="1"/>
    <xf numFmtId="166" fontId="0" fillId="0" borderId="0" applyFont="1" applyFill="1" applyBorder="1" xfId="0" applyNumberFormat="1"/>
    <xf numFmtId="167" fontId="0" fillId="0" borderId="0" applyFont="1" applyFill="1" applyBorder="1" xfId="0" applyNumberFormat="1"/>
    <xf numFmtId="168" fontId="0" fillId="0" borderId="0" applyFont="1" applyFill="1" applyBorder="1" xfId="0" applyNumberFormat="1"/>
    <xf numFmtId="169" fontId="0" fillId="0" borderId="0" applyFont="1" applyFill="1" applyBorder="1" xfId="0" applyNumberFormat="1"/>
    <xf numFmtId="3" fontId="0" fillId="0" borderId="0" applyFont="1" applyFill="1" applyBorder="1" xfId="0" applyNumberFormat="1"/>
    <xf numFmtId="4" fontId="0" fillId="0" borderId="0" applyFont="1" applyFill="1" applyBorder="1" xfId="0" applyNumberFormat="1"/>
    <xf numFmtId="1" fontId="0" fillId="0" borderId="0" applyFont="1" applyFill="1" applyBorder="1" xfId="0" applyNumberFormat="1"/>
    <xf numFmtId="2" fontId="0" fillId="0" borderId="0" applyFont="1" applyFill="1" applyBorder="1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cols>
    <col min="1" max="1" width="10.8" customWidth="1"/>
    <col min="2" max="2" width="54" customWidth="1"/>
    <col min="3" max="3" width="44.550000000000004" customWidth="1"/>
    <col min="4" max="4" width="44.550000000000004" customWidth="1"/>
    <col min="5" max="5" width="44.550000000000004" customWidth="1"/>
    <col min="6" max="6" width="44.550000000000004" customWidth="1"/>
    <col min="7" max="7" width="44.550000000000004" customWidth="1"/>
    <col min="8" max="8" width="54" customWidth="1"/>
    <col min="9" max="9" width="54" customWidth="1"/>
    <col min="10" max="10" width="44.550000000000004" customWidth="1"/>
    <col min="11" max="11" width="44.550000000000004" customWidth="1"/>
    <col min="12" max="12" width="54" customWidth="1"/>
  </cols>
  <sheetData>
    <row r="1">
      <c t="str" r="A1" s="4">
        <f>HYPERLINK("","GLI | LinkScraper")</f>
      </c>
    </row>
    <row r="2">
      <c t="str" r="A2" s="4">
        <f>HYPERLINK("","#")</f>
      </c>
      <c t="inlineStr" r="B2" s="2">
        <is>
          <t xml:space="preserve">Title</t>
        </is>
      </c>
      <c t="inlineStr" r="C2" s="2">
        <is>
          <t xml:space="preserve">Price (USD)</t>
        </is>
      </c>
      <c t="inlineStr" r="D2" s="2">
        <is>
          <t xml:space="preserve">PHP (50.38)</t>
        </is>
      </c>
      <c t="inlineStr" r="E2" s="2">
        <is>
          <t xml:space="preserve">Location</t>
        </is>
      </c>
      <c t="inlineStr" r="F2" s="2">
        <is>
          <t xml:space="preserve">Sales</t>
        </is>
      </c>
      <c t="inlineStr" r="G2" s="2">
        <is>
          <t xml:space="preserve">Profit</t>
        </is>
      </c>
      <c t="inlineStr" r="H2" s="2">
        <is>
          <t xml:space="preserve">Industry</t>
        </is>
      </c>
      <c t="inlineStr" r="I2" s="2">
        <is>
          <t xml:space="preserve">Type</t>
        </is>
      </c>
      <c t="inlineStr" r="J2" s="2">
        <is>
          <t xml:space="preserve">Primary Broker</t>
        </is>
      </c>
      <c t="inlineStr" r="K2" s="2">
        <is>
          <t xml:space="preserve">Secondary Broker</t>
        </is>
      </c>
      <c t="inlineStr" r="L2" s="2">
        <is>
          <t xml:space="preserve">Remarks</t>
        </is>
      </c>
    </row>
    <row r="3">
      <c t="str" r="A3" s="4">
        <f>HYPERLINK("https://linkbusiness.com/businesses-for-sale/DL00003/National-Service-Company-for-Sale","DL00003")</f>
      </c>
      <c t="inlineStr" r="B3">
        <is>
          <t xml:space="preserve">National Service Company for Sale</t>
        </is>
      </c>
      <c r="C3" s="63">
        <v>4250000</v>
      </c>
      <c r="D3" s="63">
        <v>214115000</v>
      </c>
      <c t="inlineStr" r="E3">
        <is>
          <t xml:space="preserve">Central Texas</t>
        </is>
      </c>
      <c r="F3" s="65">
        <v>0</v>
      </c>
      <c r="G3" s="63">
        <v>952000</v>
      </c>
      <c t="inlineStr" r="H3">
        <is>
          <t xml:space="preserve">Other Services (except public administration)</t>
        </is>
      </c>
      <c t="inlineStr" r="I3">
        <is>
          <t xml:space="preserve">&lt;none&gt;</t>
        </is>
      </c>
      <c t="inlineStr" r="J3">
        <is>
          <t xml:space="preserve">Tom Diedrich</t>
        </is>
      </c>
      <c t="inlineStr" r="L3">
        <is>
          <t xml:space="preserve">-----</t>
        </is>
      </c>
    </row>
    <row r="4">
      <c t="str" r="A4" s="4">
        <f>HYPERLINK("https://linkbusiness.com/businesses-for-sale/DL0001/Texas-Billboard-Company","DL0001")</f>
      </c>
      <c t="inlineStr" r="B4">
        <is>
          <t xml:space="preserve">Texas Billboard Company</t>
        </is>
      </c>
      <c r="C4" s="63">
        <v>675000</v>
      </c>
      <c r="D4" s="63">
        <v>34006500</v>
      </c>
      <c t="inlineStr" r="E4">
        <is>
          <t xml:space="preserve">South Texas</t>
        </is>
      </c>
      <c r="F4" s="65">
        <v>0</v>
      </c>
      <c r="G4" s="63">
        <v>100000</v>
      </c>
      <c t="inlineStr" r="H4">
        <is>
          <t xml:space="preserve">Real Estate and Rental &amp; Leasing</t>
        </is>
      </c>
      <c t="inlineStr" r="I4">
        <is>
          <t xml:space="preserve">&lt;none&gt;</t>
        </is>
      </c>
      <c t="inlineStr" r="J4">
        <is>
          <t xml:space="preserve">Tom Diedrich</t>
        </is>
      </c>
      <c t="inlineStr" r="L4">
        <is>
          <t xml:space="preserve">-----</t>
        </is>
      </c>
    </row>
    <row r="5">
      <c t="str" r="A5" s="4">
        <f>HYPERLINK("https://linkbusiness.com/businesses-for-sale/DL00013/Home-Health-Care-License%2c-Major-counties-in-DFW","DL00013")</f>
      </c>
      <c t="inlineStr" r="B5">
        <is>
          <t xml:space="preserve">Home Health Care License, Major counties in DFW</t>
        </is>
      </c>
      <c r="C5" s="63">
        <v>250000</v>
      </c>
      <c r="D5" s="63">
        <v>12595000</v>
      </c>
      <c t="inlineStr" r="E5">
        <is>
          <t xml:space="preserve">North Texas</t>
        </is>
      </c>
      <c r="F5" s="65">
        <v>0</v>
      </c>
      <c r="G5" s="65">
        <v>0</v>
      </c>
      <c t="inlineStr" r="H5">
        <is>
          <t xml:space="preserve">Health Care &amp; Social Assistance</t>
        </is>
      </c>
      <c t="inlineStr" r="I5">
        <is>
          <t xml:space="preserve">&lt;none&gt;</t>
        </is>
      </c>
      <c t="inlineStr" r="L5">
        <is>
          <t xml:space="preserve">-----</t>
        </is>
      </c>
    </row>
    <row r="6">
      <c t="str" r="A6" s="4">
        <f>HYPERLINK("https://linkbusiness.com/businesses-for-sale/DL00016/Established-Tire%2c-Alignment%2c-and-State-Inspection-Auto-Repair-Shop","DL00016")</f>
      </c>
      <c t="inlineStr" r="B6">
        <is>
          <t xml:space="preserve">Established Tire, Alignment, and State Inspection Auto Repair Shop</t>
        </is>
      </c>
      <c r="C6" s="63">
        <v>125000</v>
      </c>
      <c r="D6" s="63">
        <v>6297500</v>
      </c>
      <c t="inlineStr" r="E6">
        <is>
          <t xml:space="preserve">North Texas</t>
        </is>
      </c>
      <c r="F6" s="65">
        <v>0</v>
      </c>
      <c r="G6" s="63">
        <v>55000</v>
      </c>
      <c t="inlineStr" r="H6">
        <is>
          <t xml:space="preserve">Other Services (except public administration)</t>
        </is>
      </c>
      <c t="inlineStr" r="I6">
        <is>
          <t xml:space="preserve">&lt;none&gt;</t>
        </is>
      </c>
      <c t="inlineStr" r="L6">
        <is>
          <t xml:space="preserve">-----</t>
        </is>
      </c>
    </row>
    <row r="7">
      <c t="str" r="A7" s="4">
        <f>HYPERLINK("https://linkbusiness.com/businesses-for-sale/DL00017/Well-known-Mechanic-Shop-in-Dallas","DL00017")</f>
      </c>
      <c t="inlineStr" r="B7">
        <is>
          <t xml:space="preserve">Well-known Mechanic Shop in Dallas</t>
        </is>
      </c>
      <c r="C7" s="63">
        <v>360000</v>
      </c>
      <c r="D7" s="63">
        <v>18136800</v>
      </c>
      <c t="inlineStr" r="E7">
        <is>
          <t xml:space="preserve">North Texas</t>
        </is>
      </c>
      <c r="F7" s="65">
        <v>0</v>
      </c>
      <c r="G7" s="65">
        <v>0</v>
      </c>
      <c t="inlineStr" r="H7">
        <is>
          <t xml:space="preserve">Other Services (except public administration)</t>
        </is>
      </c>
      <c t="inlineStr" r="I7">
        <is>
          <t xml:space="preserve">&lt;none&gt;</t>
        </is>
      </c>
      <c t="inlineStr" r="L7">
        <is>
          <t xml:space="preserve">-----</t>
        </is>
      </c>
    </row>
    <row r="8">
      <c t="str" r="A8" s="4">
        <f>HYPERLINK("https://linkbusiness.com/businesses-for-sale/DL00018/Well-known-Mechanic-Shop-in-North-Dallas","DL00018")</f>
      </c>
      <c t="inlineStr" r="B8">
        <is>
          <t xml:space="preserve">Well-known Mechanic Shop in North Dallas</t>
        </is>
      </c>
      <c r="C8" s="63">
        <v>400000</v>
      </c>
      <c r="D8" s="63">
        <v>20152000</v>
      </c>
      <c t="inlineStr" r="E8">
        <is>
          <t xml:space="preserve">North Texas</t>
        </is>
      </c>
      <c r="F8" s="65">
        <v>0</v>
      </c>
      <c r="G8" s="65">
        <v>0</v>
      </c>
      <c t="inlineStr" r="H8">
        <is>
          <t xml:space="preserve">Franchises</t>
        </is>
      </c>
      <c t="inlineStr" r="I8">
        <is>
          <t xml:space="preserve">&lt;none&gt;</t>
        </is>
      </c>
      <c t="inlineStr" r="L8">
        <is>
          <t xml:space="preserve">-----</t>
        </is>
      </c>
    </row>
    <row r="9">
      <c t="str" r="A9" s="4">
        <f>HYPERLINK("https://linkbusiness.com/businesses-for-sale/DL00037/HVAC-Territories-for-sale-in-North-Texas%2c-Franchise-Opportunity%2c-REDUCED!","DL00037")</f>
      </c>
      <c t="inlineStr" r="B9">
        <is>
          <t xml:space="preserve">HVAC Territories for sale in North Texas, Franchise Opportunity, REDUCED!</t>
        </is>
      </c>
      <c r="C9" s="63">
        <v>650000</v>
      </c>
      <c r="D9" s="63">
        <v>32747000</v>
      </c>
      <c t="inlineStr" r="E9">
        <is>
          <t xml:space="preserve">North Texas</t>
        </is>
      </c>
      <c r="F9" s="65">
        <v>0</v>
      </c>
      <c r="G9" s="63">
        <v>15000</v>
      </c>
      <c t="inlineStr" r="H9">
        <is>
          <t xml:space="preserve">Other Services (except public administration)</t>
        </is>
      </c>
      <c t="inlineStr" r="I9">
        <is>
          <t xml:space="preserve">Repair and Maintenance</t>
        </is>
      </c>
      <c t="inlineStr" r="J9">
        <is>
          <t xml:space="preserve">Tom Diedrich</t>
        </is>
      </c>
      <c t="inlineStr" r="L9">
        <is>
          <t xml:space="preserve">-----</t>
        </is>
      </c>
    </row>
    <row r="10">
      <c t="str" r="A10" s="4">
        <f>HYPERLINK("https://linkbusiness.com/businesses-for-sale/DL00039/Bulk-water-stations-for-Retail-and-Commercial-Outlets-for-Sale!","DL00039")</f>
      </c>
      <c t="inlineStr" r="B10">
        <is>
          <t xml:space="preserve">Bulk water stations for Retail and Commercial Outlets for Sale!</t>
        </is>
      </c>
      <c r="C10" s="63">
        <v>280500</v>
      </c>
      <c r="D10" s="63">
        <v>14131590</v>
      </c>
      <c t="inlineStr" r="E10">
        <is>
          <t xml:space="preserve">North Texas</t>
        </is>
      </c>
      <c r="F10" s="65">
        <v>0</v>
      </c>
      <c r="G10" s="65">
        <v>0</v>
      </c>
      <c t="inlineStr" r="H10">
        <is>
          <t xml:space="preserve">Other Services (except public administration)</t>
        </is>
      </c>
      <c t="inlineStr" r="I10">
        <is>
          <t xml:space="preserve">Other Personal Services</t>
        </is>
      </c>
      <c t="inlineStr" r="J10">
        <is>
          <t xml:space="preserve">Tom Diedrich</t>
        </is>
      </c>
      <c t="inlineStr" r="L10">
        <is>
          <t xml:space="preserve">-----</t>
        </is>
      </c>
    </row>
    <row r="11">
      <c t="str" r="A11" s="4">
        <f>HYPERLINK("https://linkbusiness.com/businesses-for-sale/DL00040/Profitable-Outdoor-Kitchen-%26-Hardscapes-Co-For-Sale-in-N-TX","DL00040")</f>
      </c>
      <c t="inlineStr" r="B11">
        <is>
          <t xml:space="preserve">Profitable Outdoor Kitchen &amp; Hardscapes Co. For Sale in N. TX.</t>
        </is>
      </c>
      <c r="C11" s="63">
        <v>475000</v>
      </c>
      <c r="D11" s="63">
        <v>23930500</v>
      </c>
      <c t="inlineStr" r="E11">
        <is>
          <t xml:space="preserve">North Texas</t>
        </is>
      </c>
      <c r="F11" s="65">
        <v>0</v>
      </c>
      <c r="G11" s="65">
        <v>0</v>
      </c>
      <c t="inlineStr" r="H11">
        <is>
          <t xml:space="preserve">Construction</t>
        </is>
      </c>
      <c t="inlineStr" r="I11">
        <is>
          <t xml:space="preserve">Addition, alteration and renovation (i.e., construction), residential building</t>
        </is>
      </c>
      <c t="inlineStr" r="J11">
        <is>
          <t xml:space="preserve">Tom Diedrich</t>
        </is>
      </c>
      <c t="inlineStr" r="L11">
        <is>
          <t xml:space="preserve">-----</t>
        </is>
      </c>
    </row>
    <row r="12">
      <c t="str" r="A12" s="4">
        <f>HYPERLINK("https://linkbusiness.com/businesses-for-sale/DL00041/Profitable-Executive-Suite-Business-for-Sale-in-North-Texas!","DL00041")</f>
      </c>
      <c t="inlineStr" r="B12">
        <is>
          <t xml:space="preserve">Profitable Executive Suite Business for Sale in North Texas!</t>
        </is>
      </c>
      <c r="C12" s="63">
        <v>230000</v>
      </c>
      <c r="D12" s="63">
        <v>11587400</v>
      </c>
      <c t="inlineStr" r="E12">
        <is>
          <t xml:space="preserve">North Texas</t>
        </is>
      </c>
      <c r="F12" s="65">
        <v>0</v>
      </c>
      <c r="G12" s="65">
        <v>0</v>
      </c>
      <c t="inlineStr" r="H12">
        <is>
          <t xml:space="preserve">Other Services (except public administration)</t>
        </is>
      </c>
      <c t="inlineStr" r="I12">
        <is>
          <t xml:space="preserve">Rental and Leasing Services</t>
        </is>
      </c>
      <c t="inlineStr" r="J12">
        <is>
          <t xml:space="preserve">Tom Diedrich</t>
        </is>
      </c>
      <c t="inlineStr" r="L12">
        <is>
          <t xml:space="preserve">-----</t>
        </is>
      </c>
    </row>
    <row r="13">
      <c t="str" r="A13" s="4">
        <f>HYPERLINK("https://linkbusiness.com/businesses-for-sale/DL00042/Unique-Opportunity-to-Own-Two-Flooring-Companies-in-North-Texas","DL00042")</f>
      </c>
      <c t="inlineStr" r="B13">
        <is>
          <t xml:space="preserve">Unique Opportunity to Own Two Flooring Companies in North Texas</t>
        </is>
      </c>
      <c r="C13" s="63">
        <v>330000</v>
      </c>
      <c r="D13" s="63">
        <v>16625400</v>
      </c>
      <c t="inlineStr" r="E13">
        <is>
          <t xml:space="preserve">North Texas</t>
        </is>
      </c>
      <c r="F13" s="65">
        <v>0</v>
      </c>
      <c r="G13" s="63">
        <v>173000</v>
      </c>
      <c t="inlineStr" r="H13">
        <is>
          <t xml:space="preserve">Construction</t>
        </is>
      </c>
      <c t="inlineStr" r="I13">
        <is>
          <t xml:space="preserve">Specialty Trade Contractors</t>
        </is>
      </c>
      <c t="inlineStr" r="J13">
        <is>
          <t xml:space="preserve">Tom Diedrich</t>
        </is>
      </c>
      <c t="inlineStr" r="L13">
        <is>
          <t xml:space="preserve">-----</t>
        </is>
      </c>
    </row>
    <row r="14">
      <c t="str" r="A14" s="4">
        <f>HYPERLINK("https://linkbusiness.com/businesses-for-sale/DL00047/Profitable-Independent-Mail-and-Package-store-for-sale-in-North-Texas","DL00047")</f>
      </c>
      <c t="inlineStr" r="B14">
        <is>
          <t xml:space="preserve">Profitable Independent Mail and Package store for sale in North Texas</t>
        </is>
      </c>
      <c r="C14" s="63">
        <v>200000</v>
      </c>
      <c r="D14" s="63">
        <v>10076000</v>
      </c>
      <c t="inlineStr" r="E14">
        <is>
          <t xml:space="preserve">North Texas</t>
        </is>
      </c>
      <c r="F14" s="65">
        <v>0</v>
      </c>
      <c r="G14" s="65">
        <v>0</v>
      </c>
      <c t="inlineStr" r="H14">
        <is>
          <t xml:space="preserve">Retail Trade</t>
        </is>
      </c>
      <c t="inlineStr" r="I14">
        <is>
          <t xml:space="preserve">Miscellaneous Store Retailers</t>
        </is>
      </c>
      <c t="inlineStr" r="L14">
        <is>
          <t xml:space="preserve">-----</t>
        </is>
      </c>
    </row>
    <row r="15">
      <c t="str" r="A15" s="4">
        <f>HYPERLINK("https://linkbusiness.com/businesses-for-sale/DL00048/Profitable-Distribution-Company-for-sale!","DL00048")</f>
      </c>
      <c t="inlineStr" r="B15">
        <is>
          <t xml:space="preserve">Profitable Distribution Company for sale!</t>
        </is>
      </c>
      <c r="C15" s="63">
        <v>105000</v>
      </c>
      <c r="D15" s="63">
        <v>5289900</v>
      </c>
      <c t="inlineStr" r="E15">
        <is>
          <t xml:space="preserve">North Texas</t>
        </is>
      </c>
      <c r="F15" s="65">
        <v>0</v>
      </c>
      <c r="G15" s="63">
        <v>50000</v>
      </c>
      <c t="inlineStr" r="H15">
        <is>
          <t xml:space="preserve">Transportation &amp; Warehousing</t>
        </is>
      </c>
      <c t="inlineStr" r="I15">
        <is>
          <t xml:space="preserve">&lt;none&gt;</t>
        </is>
      </c>
      <c t="inlineStr" r="J15">
        <is>
          <t xml:space="preserve">Tom Diedrich</t>
        </is>
      </c>
      <c t="inlineStr" r="L15">
        <is>
          <t xml:space="preserve">-----</t>
        </is>
      </c>
    </row>
    <row r="16">
      <c t="str" r="A16" s="4">
        <f>HYPERLINK("https://linkbusiness.com/businesses-for-sale/DL00049/Profitable-Residential-and-Commercial-Cleaning-Company-for-Sale!","DL00049")</f>
      </c>
      <c t="inlineStr" r="B16">
        <is>
          <t xml:space="preserve">Profitable Residential and Commercial Cleaning Company for Sale!</t>
        </is>
      </c>
      <c r="C16" s="63">
        <v>400000</v>
      </c>
      <c r="D16" s="63">
        <v>20152000</v>
      </c>
      <c t="inlineStr" r="E16">
        <is>
          <t xml:space="preserve">North Texas</t>
        </is>
      </c>
      <c r="F16" s="65">
        <v>0</v>
      </c>
      <c r="G16" s="65">
        <v>0</v>
      </c>
      <c t="inlineStr" r="H16">
        <is>
          <t xml:space="preserve">Other Services (except public administration)</t>
        </is>
      </c>
      <c t="inlineStr" r="I16">
        <is>
          <t xml:space="preserve">&lt;none&gt;</t>
        </is>
      </c>
      <c t="inlineStr" r="J16">
        <is>
          <t xml:space="preserve">Tom Diedrich</t>
        </is>
      </c>
      <c t="inlineStr" r="L16">
        <is>
          <t xml:space="preserve">-----</t>
        </is>
      </c>
    </row>
    <row r="17">
      <c t="str" r="A17" s="4">
        <f>HYPERLINK("https://linkbusiness.com/businesses-for-sale/DL00051/Profitable-Machine-%26-Manufacturing-Co-For-Sale!","DL00051")</f>
      </c>
      <c t="inlineStr" r="B17">
        <is>
          <t xml:space="preserve">Profitable Machine &amp; Manufacturing Co. For Sale!</t>
        </is>
      </c>
      <c r="C17" s="63">
        <v>1200000</v>
      </c>
      <c r="D17" s="63">
        <v>60456000</v>
      </c>
      <c t="inlineStr" r="E17">
        <is>
          <t xml:space="preserve">North Texas</t>
        </is>
      </c>
      <c r="F17" s="65">
        <v>0</v>
      </c>
      <c r="G17" s="63">
        <v>242000</v>
      </c>
      <c t="inlineStr" r="H17">
        <is>
          <t xml:space="preserve">Manufacturing</t>
        </is>
      </c>
      <c t="inlineStr" r="I17">
        <is>
          <t xml:space="preserve">&lt;none&gt;</t>
        </is>
      </c>
      <c t="inlineStr" r="J17">
        <is>
          <t xml:space="preserve">Tom Diedrich</t>
        </is>
      </c>
      <c t="inlineStr" r="L17">
        <is>
          <t xml:space="preserve">-----</t>
        </is>
      </c>
    </row>
    <row r="18">
      <c t="str" r="A18" s="4">
        <f>HYPERLINK("https://linkbusiness.com/businesses-for-sale/DL00052/Profitable-On-Line-E-Commerce-Business-for-sale-in-N-TX!","DL00052")</f>
      </c>
      <c t="inlineStr" r="B18">
        <is>
          <t xml:space="preserve">Profitable On Line E Commerce Business for sale in N. TX!</t>
        </is>
      </c>
      <c r="C18" s="63">
        <v>325000</v>
      </c>
      <c r="D18" s="63">
        <v>16373500</v>
      </c>
      <c t="inlineStr" r="E18">
        <is>
          <t xml:space="preserve">North Texas</t>
        </is>
      </c>
      <c r="F18" s="65">
        <v>0</v>
      </c>
      <c r="G18" s="63">
        <v>84000</v>
      </c>
      <c t="inlineStr" r="H18">
        <is>
          <t xml:space="preserve">Retail Trade</t>
        </is>
      </c>
      <c t="inlineStr" r="I18">
        <is>
          <t xml:space="preserve">&lt;none&gt;</t>
        </is>
      </c>
      <c t="inlineStr" r="J18">
        <is>
          <t xml:space="preserve">Tom Diedrich</t>
        </is>
      </c>
      <c t="inlineStr" r="L18">
        <is>
          <t xml:space="preserve">-----</t>
        </is>
      </c>
    </row>
    <row r="19">
      <c t="str" r="A19" s="4">
        <f>HYPERLINK("https://linkbusiness.com/businesses-for-sale/DL00053/Long-Standing-Profitable-Equipment-Rental-Business-for-sale-in-N-TX!","DL00053")</f>
      </c>
      <c t="inlineStr" r="B19">
        <is>
          <t xml:space="preserve">Long Standing Profitable Equipment Rental Business for sale in N. TX!</t>
        </is>
      </c>
      <c r="C19" s="63">
        <v>995000</v>
      </c>
      <c r="D19" s="63">
        <v>50128100</v>
      </c>
      <c t="inlineStr" r="E19">
        <is>
          <t xml:space="preserve">North Texas</t>
        </is>
      </c>
      <c r="F19" s="65">
        <v>0</v>
      </c>
      <c r="G19" s="63">
        <v>182000</v>
      </c>
      <c t="inlineStr" r="H19">
        <is>
          <t xml:space="preserve">Other Services (except public administration)</t>
        </is>
      </c>
      <c t="inlineStr" r="I19">
        <is>
          <t xml:space="preserve">&lt;none&gt;</t>
        </is>
      </c>
      <c t="inlineStr" r="J19">
        <is>
          <t xml:space="preserve">Tom Diedrich</t>
        </is>
      </c>
      <c t="inlineStr" r="L19">
        <is>
          <t xml:space="preserve">-----</t>
        </is>
      </c>
    </row>
    <row r="20">
      <c t="str" r="A20" s="4">
        <f>HYPERLINK("https://linkbusiness.com/businesses-for-sale/DL00057/Profitable-Wholesale-Jewelry-Business-with-30-Year-History","DL00057")</f>
      </c>
      <c t="inlineStr" r="B20">
        <is>
          <t xml:space="preserve">Profitable Wholesale Jewelry Business with 30 Year History</t>
        </is>
      </c>
      <c r="C20" s="63">
        <v>1850000</v>
      </c>
      <c r="D20" s="63">
        <v>93203000</v>
      </c>
      <c t="inlineStr" r="E20">
        <is>
          <t xml:space="preserve">North Texas</t>
        </is>
      </c>
      <c r="F20" s="65">
        <v>0</v>
      </c>
      <c r="G20" s="63">
        <v>326000</v>
      </c>
      <c t="inlineStr" r="H20">
        <is>
          <t xml:space="preserve">Wholesale Trade</t>
        </is>
      </c>
      <c t="inlineStr" r="I20">
        <is>
          <t xml:space="preserve">&lt;none&gt;</t>
        </is>
      </c>
      <c t="inlineStr" r="J20">
        <is>
          <t xml:space="preserve">Tom Diedrich</t>
        </is>
      </c>
      <c t="inlineStr" r="L20">
        <is>
          <t xml:space="preserve">-----</t>
        </is>
      </c>
    </row>
    <row r="21">
      <c t="str" r="A21" s="4">
        <f>HYPERLINK("https://linkbusiness.com/businesses-for-sale/DL00058/Child-Care-Facility-in-desirable-Houston-suburb","DL00058")</f>
      </c>
      <c t="inlineStr" r="B21">
        <is>
          <t xml:space="preserve">Child Care Facility in desirable Houston suburb</t>
        </is>
      </c>
      <c r="C21" s="63">
        <v>3700000</v>
      </c>
      <c r="D21" s="63">
        <v>186406000</v>
      </c>
      <c t="inlineStr" r="E21">
        <is>
          <t xml:space="preserve">Texas</t>
        </is>
      </c>
      <c r="F21" s="65">
        <v>0</v>
      </c>
      <c r="G21" s="63">
        <v>280000</v>
      </c>
      <c t="inlineStr" r="H21">
        <is>
          <t xml:space="preserve">Educational Services</t>
        </is>
      </c>
      <c t="inlineStr" r="I21">
        <is>
          <t xml:space="preserve">&lt;none&gt;</t>
        </is>
      </c>
      <c t="inlineStr" r="L21">
        <is>
          <t xml:space="preserve">-----</t>
        </is>
      </c>
    </row>
    <row r="22">
      <c t="str" r="A22" s="4">
        <f>HYPERLINK("https://linkbusiness.com/businesses-for-sale/DL00059/Established-Daycare-Center-with-over-30-years-of-history-and-the-same-owners-in-developing-East%2c-TX","DL00059")</f>
      </c>
      <c t="inlineStr" r="B22">
        <is>
          <t xml:space="preserve">Established Daycare Center with over 30 years of history and the same owners in developing East, TX</t>
        </is>
      </c>
      <c r="C22" s="63">
        <v>1625000</v>
      </c>
      <c r="D22" s="63">
        <v>81867500</v>
      </c>
      <c t="inlineStr" r="E22">
        <is>
          <t xml:space="preserve">Texas</t>
        </is>
      </c>
      <c r="F22" s="65">
        <v>0</v>
      </c>
      <c r="G22" s="65">
        <v>0</v>
      </c>
      <c t="inlineStr" r="H22">
        <is>
          <t xml:space="preserve">Educational Services</t>
        </is>
      </c>
      <c t="inlineStr" r="I22">
        <is>
          <t xml:space="preserve">&lt;none&gt;</t>
        </is>
      </c>
      <c t="inlineStr" r="L22">
        <is>
          <t xml:space="preserve">-----</t>
        </is>
      </c>
    </row>
    <row r="23">
      <c t="str" r="A23" s="4">
        <f>HYPERLINK("https://linkbusiness.com/businesses-for-sale/DL00060/One-of-a-Kind-Child-Care-Center-in-the-Dallas-FtWorth-Metroplex","DL00060")</f>
      </c>
      <c t="inlineStr" r="B23">
        <is>
          <t xml:space="preserve">One of a Kind Child Care Center in the Dallas Ft.Worth Metroplex</t>
        </is>
      </c>
      <c r="C23" s="63">
        <v>175000</v>
      </c>
      <c r="D23" s="63">
        <v>8816500</v>
      </c>
      <c t="inlineStr" r="E23">
        <is>
          <t xml:space="preserve">Texas</t>
        </is>
      </c>
      <c r="F23" s="65">
        <v>0</v>
      </c>
      <c r="G23" s="63">
        <v>72000</v>
      </c>
      <c t="inlineStr" r="H23">
        <is>
          <t xml:space="preserve">Educational Services</t>
        </is>
      </c>
      <c t="inlineStr" r="I23">
        <is>
          <t xml:space="preserve">&lt;none&gt;</t>
        </is>
      </c>
      <c t="inlineStr" r="L23">
        <is>
          <t xml:space="preserve">-----</t>
        </is>
      </c>
    </row>
    <row r="24">
      <c t="str" r="A24" s="4">
        <f>HYPERLINK("https://linkbusiness.com/businesses-for-sale/DL00061/Successful-Pizza-Restaurant-Licensing-for-sale!","DL00061")</f>
      </c>
      <c t="inlineStr" r="B24">
        <is>
          <t xml:space="preserve">Successful Pizza Restaurant Licensing for sale!</t>
        </is>
      </c>
      <c r="C24" s="63">
        <v>200000</v>
      </c>
      <c r="D24" s="63">
        <v>10076000</v>
      </c>
      <c t="inlineStr" r="E24">
        <is>
          <t xml:space="preserve">North Texas</t>
        </is>
      </c>
      <c r="F24" s="65">
        <v>0</v>
      </c>
      <c r="G24" s="65">
        <v>0</v>
      </c>
      <c t="inlineStr" r="H24">
        <is>
          <t xml:space="preserve">Restaurant</t>
        </is>
      </c>
      <c t="inlineStr" r="I24">
        <is>
          <t xml:space="preserve">&lt;none&gt;</t>
        </is>
      </c>
      <c t="inlineStr" r="J24">
        <is>
          <t xml:space="preserve">Tom Diedrich</t>
        </is>
      </c>
      <c t="inlineStr" r="L24">
        <is>
          <t xml:space="preserve">-----</t>
        </is>
      </c>
    </row>
    <row r="25">
      <c t="str" r="A25" s="4">
        <f>HYPERLINK("https://linkbusiness.com/businesses-for-sale/DL00064/Privately-Owned-Oil-%26-Gas-Manufacturer-with-Profitable-History","DL00064")</f>
      </c>
      <c t="inlineStr" r="B25">
        <is>
          <t xml:space="preserve">Privately Owned Oil &amp; Gas Manufacturer with Profitable History</t>
        </is>
      </c>
      <c r="C25" s="63">
        <v>1995000</v>
      </c>
      <c r="D25" s="63">
        <v>100508100</v>
      </c>
      <c t="inlineStr" r="E25">
        <is>
          <t xml:space="preserve">Texas</t>
        </is>
      </c>
      <c r="F25" s="65">
        <v>0</v>
      </c>
      <c r="G25" s="63">
        <v>560000</v>
      </c>
      <c t="inlineStr" r="H25">
        <is>
          <t xml:space="preserve">Manufacturing</t>
        </is>
      </c>
      <c t="inlineStr" r="I25">
        <is>
          <t xml:space="preserve">&lt;none&gt;</t>
        </is>
      </c>
      <c t="inlineStr" r="J25">
        <is>
          <t xml:space="preserve">Tom Diedrich</t>
        </is>
      </c>
      <c t="inlineStr" r="L25">
        <is>
          <t xml:space="preserve">-----</t>
        </is>
      </c>
    </row>
    <row r="26">
      <c t="str" r="A26" s="4">
        <f>HYPERLINK("https://linkbusiness.com/businesses-for-sale/DL00066/Unique-Ice-Cream-Cafe","DL00066")</f>
      </c>
      <c t="inlineStr" r="B26">
        <is>
          <t xml:space="preserve">Unique Ice Cream Cafe</t>
        </is>
      </c>
      <c r="C26" s="63">
        <v>250000</v>
      </c>
      <c r="D26" s="63">
        <v>12595000</v>
      </c>
      <c t="inlineStr" r="E26">
        <is>
          <t xml:space="preserve">North Texas</t>
        </is>
      </c>
      <c r="F26" s="65">
        <v>0</v>
      </c>
      <c r="G26" s="65">
        <v>0</v>
      </c>
      <c t="inlineStr" r="H26">
        <is>
          <t xml:space="preserve">Restaurant</t>
        </is>
      </c>
      <c t="inlineStr" r="I26">
        <is>
          <t xml:space="preserve">Accommodation</t>
        </is>
      </c>
      <c t="inlineStr" r="L26">
        <is>
          <t xml:space="preserve">-----</t>
        </is>
      </c>
    </row>
    <row r="27">
      <c t="str" r="A27" s="4">
        <f>HYPERLINK("https://linkbusiness.com/businesses-for-sale/DL00068/Gourmet-Pizza-Restaurant-for-Sale-in-N-TX!","DL00068")</f>
      </c>
      <c t="inlineStr" r="B27">
        <is>
          <t xml:space="preserve">Gourmet Pizza Restaurant for Sale in N. TX!</t>
        </is>
      </c>
      <c r="C27" s="63">
        <v>425000</v>
      </c>
      <c r="D27" s="63">
        <v>21411500</v>
      </c>
      <c t="inlineStr" r="E27">
        <is>
          <t xml:space="preserve">North Texas</t>
        </is>
      </c>
      <c r="F27" s="65">
        <v>0</v>
      </c>
      <c r="G27" s="63">
        <v>144000</v>
      </c>
      <c t="inlineStr" r="H27">
        <is>
          <t xml:space="preserve">Restaurant</t>
        </is>
      </c>
      <c t="inlineStr" r="I27">
        <is>
          <t xml:space="preserve">Food Services and Drinking Places</t>
        </is>
      </c>
      <c t="inlineStr" r="J27">
        <is>
          <t xml:space="preserve">Tom Diedrich</t>
        </is>
      </c>
      <c t="inlineStr" r="L27">
        <is>
          <t xml:space="preserve">-----</t>
        </is>
      </c>
    </row>
    <row r="28">
      <c t="str" r="A28" s="4">
        <f>HYPERLINK("https://linkbusiness.com/businesses-for-sale/DL00070/Very-Successful-Gourmet-Italian-Pizzeria-CONCEPT-for-Sale-!","DL00070")</f>
      </c>
      <c t="inlineStr" r="B28">
        <is>
          <t xml:space="preserve">Very Successful Gourmet Italian Pizzeria CONCEPT for Sale !</t>
        </is>
      </c>
      <c r="C28" s="63">
        <v>4900000</v>
      </c>
      <c r="D28" s="63">
        <v>246862000</v>
      </c>
      <c t="inlineStr" r="E28">
        <is>
          <t xml:space="preserve">Undisclosed</t>
        </is>
      </c>
      <c r="F28" s="65">
        <v>0</v>
      </c>
      <c r="G28" s="63">
        <v>360000</v>
      </c>
      <c t="inlineStr" r="H28">
        <is>
          <t xml:space="preserve">Restaurant</t>
        </is>
      </c>
      <c t="inlineStr" r="I28">
        <is>
          <t xml:space="preserve">Food Services and Drinking Places</t>
        </is>
      </c>
      <c t="inlineStr" r="J28">
        <is>
          <t xml:space="preserve">Tom Diedrich</t>
        </is>
      </c>
      <c t="inlineStr" r="L28">
        <is>
          <t xml:space="preserve">-----</t>
        </is>
      </c>
    </row>
    <row r="29">
      <c t="str" r="A29" s="4">
        <f>HYPERLINK("https://linkbusiness.com/businesses-for-sale/DL00073/Nationally-Recognized-Auto-Repair-Franchise-for-sale-in-DFW!","DL00073")</f>
      </c>
      <c t="inlineStr" r="B29">
        <is>
          <t xml:space="preserve">Nationally Recognized Auto Repair Franchise for sale in DFW!</t>
        </is>
      </c>
      <c r="C29" s="63">
        <v>350000</v>
      </c>
      <c r="D29" s="63">
        <v>17633000</v>
      </c>
      <c t="inlineStr" r="E29">
        <is>
          <t xml:space="preserve">Texas</t>
        </is>
      </c>
      <c r="F29" s="65">
        <v>0</v>
      </c>
      <c r="G29" s="63">
        <v>129000</v>
      </c>
      <c t="inlineStr" r="H29">
        <is>
          <t xml:space="preserve">Other Services (except public administration)</t>
        </is>
      </c>
      <c t="inlineStr" r="I29">
        <is>
          <t xml:space="preserve">Repair and Maintenance</t>
        </is>
      </c>
      <c t="inlineStr" r="J29">
        <is>
          <t xml:space="preserve">Tom Diedrich</t>
        </is>
      </c>
      <c t="inlineStr" r="L29">
        <is>
          <t xml:space="preserve">-----</t>
        </is>
      </c>
    </row>
    <row r="30">
      <c t="str" r="A30" s="4">
        <f>HYPERLINK("https://linkbusiness.com/businesses-for-sale/DL00075/Established-Gourmet-Pizza-Cafe-for-sale-in-N-Dallas!","DL00075")</f>
      </c>
      <c t="inlineStr" r="B30">
        <is>
          <t xml:space="preserve">Established Gourmet Pizza Cafe for sale in N. Dallas!</t>
        </is>
      </c>
      <c r="C30" s="63">
        <v>395000</v>
      </c>
      <c r="D30" s="63">
        <v>19900100</v>
      </c>
      <c t="inlineStr" r="E30">
        <is>
          <t xml:space="preserve">Texas</t>
        </is>
      </c>
      <c r="F30" s="65">
        <v>0</v>
      </c>
      <c r="G30" s="65">
        <v>0</v>
      </c>
      <c t="inlineStr" r="H30">
        <is>
          <t xml:space="preserve">Restaurant</t>
        </is>
      </c>
      <c t="inlineStr" r="I30">
        <is>
          <t xml:space="preserve">&lt;none&gt;</t>
        </is>
      </c>
      <c t="inlineStr" r="J30">
        <is>
          <t xml:space="preserve">Tom Diedrich</t>
        </is>
      </c>
      <c t="inlineStr" r="L30">
        <is>
          <t xml:space="preserve">-----</t>
        </is>
      </c>
    </row>
    <row r="31">
      <c t="str" r="A31" s="4">
        <f>HYPERLINK("https://linkbusiness.com/businesses-for-sale/DL00076/Gourmet-Pizza-Cafe-for-Sale-in-North-Dallas!","DL00076")</f>
      </c>
      <c t="inlineStr" r="B31">
        <is>
          <t xml:space="preserve">Gourmet Pizza Cafe for Sale in North Dallas!</t>
        </is>
      </c>
      <c r="C31" s="63">
        <v>325000</v>
      </c>
      <c r="D31" s="63">
        <v>16373500</v>
      </c>
      <c t="inlineStr" r="E31">
        <is>
          <t xml:space="preserve">Texas</t>
        </is>
      </c>
      <c r="F31" s="65">
        <v>0</v>
      </c>
      <c r="G31" s="65">
        <v>0</v>
      </c>
      <c t="inlineStr" r="H31">
        <is>
          <t xml:space="preserve">Restaurant</t>
        </is>
      </c>
      <c t="inlineStr" r="I31">
        <is>
          <t xml:space="preserve">&lt;none&gt;</t>
        </is>
      </c>
      <c t="inlineStr" r="J31">
        <is>
          <t xml:space="preserve">Tom Diedrich</t>
        </is>
      </c>
      <c t="inlineStr" r="L31">
        <is>
          <t xml:space="preserve">-----</t>
        </is>
      </c>
    </row>
    <row r="32">
      <c t="str" r="A32" s="4">
        <f>HYPERLINK("https://linkbusiness.com/businesses-for-sale/DL00082/New-Pedal-Bar-Tour-and-Party-Business-for-sale-in-Dallas","DL00082")</f>
      </c>
      <c t="inlineStr" r="B32">
        <is>
          <t xml:space="preserve">New Pedal Bar Tour and Party Business for sale in Dallas</t>
        </is>
      </c>
      <c r="C32" s="63">
        <v>95000</v>
      </c>
      <c r="D32" s="63">
        <v>4786100</v>
      </c>
      <c t="inlineStr" r="E32">
        <is>
          <t xml:space="preserve">Texas</t>
        </is>
      </c>
      <c r="F32" s="65">
        <v>0</v>
      </c>
      <c r="G32" s="65">
        <v>0</v>
      </c>
      <c t="inlineStr" r="H32">
        <is>
          <t xml:space="preserve">Arts, Entertainment &amp; Recreation</t>
        </is>
      </c>
      <c t="inlineStr" r="I32">
        <is>
          <t xml:space="preserve">Amusement, Gambling, and Recreation Industries</t>
        </is>
      </c>
      <c t="inlineStr" r="J32">
        <is>
          <t xml:space="preserve">Randy Jones</t>
        </is>
      </c>
      <c t="inlineStr" r="L32">
        <is>
          <t xml:space="preserve">-----</t>
        </is>
      </c>
    </row>
    <row r="33">
      <c t="str" r="A33" s="4">
        <f>HYPERLINK("https://linkbusiness.com/businesses-for-sale/FW00001/REDUCED-Established-Profitable-Pizzeria","FW00001")</f>
      </c>
      <c t="inlineStr" r="B33">
        <is>
          <t xml:space="preserve">REDUCED Established Profitable Pizzeria</t>
        </is>
      </c>
      <c r="C33" s="63">
        <v>65000</v>
      </c>
      <c r="D33" s="63">
        <v>3274700</v>
      </c>
      <c t="inlineStr" r="E33">
        <is>
          <t xml:space="preserve">Texas</t>
        </is>
      </c>
      <c r="F33" s="65">
        <v>0</v>
      </c>
      <c r="G33" s="63">
        <v>68000</v>
      </c>
      <c t="inlineStr" r="H33">
        <is>
          <t xml:space="preserve">Restaurant</t>
        </is>
      </c>
      <c t="inlineStr" r="I33">
        <is>
          <t xml:space="preserve">&lt;none&gt;</t>
        </is>
      </c>
      <c t="inlineStr" r="J33">
        <is>
          <t xml:space="preserve">Geoff Warrell</t>
        </is>
      </c>
      <c t="inlineStr" r="L33">
        <is>
          <t xml:space="preserve">-----</t>
        </is>
      </c>
    </row>
    <row r="34">
      <c t="str" r="A34" s="4">
        <f>HYPERLINK("https://linkbusiness.com/businesses-for-sale/FW00002/Personal-Transport-eBike-Manufacturer-with-Intellectual-Property%2c-International-Accolades-%26-Awards","FW00002")</f>
      </c>
      <c t="inlineStr" r="B34">
        <is>
          <t xml:space="preserve">Personal Transport eBike Manufacturer with Intellectual Property, International Accolades &amp; Awards</t>
        </is>
      </c>
      <c r="C34" s="65">
        <v>0</v>
      </c>
      <c r="D34" s="65">
        <v>0</v>
      </c>
      <c t="inlineStr" r="E34">
        <is>
          <t xml:space="preserve">Relocatable</t>
        </is>
      </c>
      <c r="F34" s="65">
        <v>0</v>
      </c>
      <c r="G34" s="65">
        <v>0</v>
      </c>
      <c t="inlineStr" r="H34">
        <is>
          <t xml:space="preserve">Manufacturing</t>
        </is>
      </c>
      <c t="inlineStr" r="I34">
        <is>
          <t xml:space="preserve">&lt;none&gt;</t>
        </is>
      </c>
      <c t="inlineStr" r="J34">
        <is>
          <t xml:space="preserve">Geoff Warrell</t>
        </is>
      </c>
      <c t="inlineStr" r="L34">
        <is>
          <t xml:space="preserve">Refer to Broker</t>
        </is>
      </c>
    </row>
    <row r="35">
      <c t="str" r="A35" s="4">
        <f>HYPERLINK("https://linkbusiness.com/businesses-for-sale/FW00003/Profitable-National-Sports-Memorabilia-Co-for-Sale","FW00003")</f>
      </c>
      <c t="inlineStr" r="B35">
        <is>
          <t xml:space="preserve">Profitable National Sports Memorabilia Co for Sale</t>
        </is>
      </c>
      <c r="C35" s="63">
        <v>1850000</v>
      </c>
      <c r="D35" s="63">
        <v>93203000</v>
      </c>
      <c t="inlineStr" r="E35">
        <is>
          <t xml:space="preserve">Texas</t>
        </is>
      </c>
      <c r="F35" s="65">
        <v>0</v>
      </c>
      <c r="G35" s="63">
        <v>600000</v>
      </c>
      <c t="inlineStr" r="H35">
        <is>
          <t xml:space="preserve">Arts, Entertainment &amp; Recreation</t>
        </is>
      </c>
      <c t="inlineStr" r="I35">
        <is>
          <t xml:space="preserve">&lt;none&gt;</t>
        </is>
      </c>
      <c t="inlineStr" r="J35">
        <is>
          <t xml:space="preserve">Geoff Warrell</t>
        </is>
      </c>
      <c t="inlineStr" r="L35">
        <is>
          <t xml:space="preserve">-----</t>
        </is>
      </c>
    </row>
    <row r="36">
      <c t="str" r="A36" s="4">
        <f>HYPERLINK("https://linkbusiness.com/businesses-for-sale/LA0349/","LA0349")</f>
      </c>
      <c t="inlineStr" r="B36">
        <is>
          <t xml:space="preserve">&lt;none&gt;</t>
        </is>
      </c>
      <c r="C36" s="63">
        <v>375000</v>
      </c>
      <c r="D36" s="63">
        <v>18892500</v>
      </c>
      <c t="inlineStr" r="E36">
        <is>
          <t xml:space="preserve">-----</t>
        </is>
      </c>
      <c r="F36" s="65">
        <v>0</v>
      </c>
      <c r="G36" s="65">
        <v>0</v>
      </c>
      <c t="inlineStr" r="H36">
        <is>
          <t xml:space="preserve">Manufacturing</t>
        </is>
      </c>
      <c t="inlineStr" r="I36">
        <is>
          <t xml:space="preserve">&lt;none&gt;</t>
        </is>
      </c>
      <c t="inlineStr" r="L36">
        <is>
          <t xml:space="preserve">-----</t>
        </is>
      </c>
    </row>
    <row r="37">
      <c t="str" r="A37" s="4">
        <f>HYPERLINK("https://linkbusiness.com/businesses-for-sale/LA0374/","LA0374")</f>
      </c>
      <c t="inlineStr" r="B37">
        <is>
          <t xml:space="preserve">&lt;none&gt;</t>
        </is>
      </c>
      <c r="C37" s="63">
        <v>590000</v>
      </c>
      <c r="D37" s="63">
        <v>29724200</v>
      </c>
      <c t="inlineStr" r="E37">
        <is>
          <t xml:space="preserve">-----</t>
        </is>
      </c>
      <c r="F37" s="65">
        <v>0</v>
      </c>
      <c r="G37" s="65">
        <v>0</v>
      </c>
      <c t="inlineStr" r="H37">
        <is>
          <t xml:space="preserve">&lt;none&gt;</t>
        </is>
      </c>
      <c t="inlineStr" r="I37">
        <is>
          <t xml:space="preserve">&lt;none&gt;</t>
        </is>
      </c>
      <c t="inlineStr" r="L37">
        <is>
          <t xml:space="preserve">-----</t>
        </is>
      </c>
    </row>
    <row r="38">
      <c t="str" r="A38" s="4">
        <f>HYPERLINK("https://linkbusiness.com/businesses-for-sale/LA03957/Busy-Sandwich-Shop","LA03957")</f>
      </c>
      <c t="inlineStr" r="B38">
        <is>
          <t xml:space="preserve">Busy Sandwich Shop</t>
        </is>
      </c>
      <c r="C38" s="63">
        <v>300000</v>
      </c>
      <c r="D38" s="63">
        <v>15114000</v>
      </c>
      <c t="inlineStr" r="E38">
        <is>
          <t xml:space="preserve">Orange County</t>
        </is>
      </c>
      <c r="F38" s="65">
        <v>0</v>
      </c>
      <c r="G38" s="65">
        <v>0</v>
      </c>
      <c t="inlineStr" r="H38">
        <is>
          <t xml:space="preserve">Restaurant</t>
        </is>
      </c>
      <c t="inlineStr" r="I38">
        <is>
          <t xml:space="preserve">Food Services and Drinking Places</t>
        </is>
      </c>
      <c t="inlineStr" r="L38">
        <is>
          <t xml:space="preserve">-----</t>
        </is>
      </c>
    </row>
    <row r="39">
      <c t="str" r="A39" s="4">
        <f>HYPERLINK("https://linkbusiness.com/businesses-for-sale/LA03972/Well-Known-Franchise-Frozen-Yogurt-Business-For-Sale-In-South-LA-County!","LA03972")</f>
      </c>
      <c t="inlineStr" r="B39">
        <is>
          <t xml:space="preserve">Well-Known Franchise Frozen Yogurt Business For Sale In South LA County!</t>
        </is>
      </c>
      <c r="C39" s="63">
        <v>60000</v>
      </c>
      <c r="D39" s="63">
        <v>3022800</v>
      </c>
      <c t="inlineStr" r="E39">
        <is>
          <t xml:space="preserve">Los Angeles County</t>
        </is>
      </c>
      <c r="F39" s="65">
        <v>0</v>
      </c>
      <c r="G39" s="65">
        <v>0</v>
      </c>
      <c t="inlineStr" r="H39">
        <is>
          <t xml:space="preserve">Retail Trade</t>
        </is>
      </c>
      <c t="inlineStr" r="I39">
        <is>
          <t xml:space="preserve">&lt;none&gt;</t>
        </is>
      </c>
      <c t="inlineStr" r="L39">
        <is>
          <t xml:space="preserve">-----</t>
        </is>
      </c>
    </row>
    <row r="40">
      <c t="str" r="A40" s="4">
        <f>HYPERLINK("https://linkbusiness.com/businesses-for-sale/LA04014/Aerospace-and-Defense-Contract-Manufacturing-Company-AS9100-certified","LA04014")</f>
      </c>
      <c t="inlineStr" r="B40">
        <is>
          <t xml:space="preserve">Aerospace and Defense Contract Manufacturing Company AS9100 certified</t>
        </is>
      </c>
      <c r="C40" s="63">
        <v>1120000</v>
      </c>
      <c r="D40" s="63">
        <v>56425600</v>
      </c>
      <c t="inlineStr" r="E40">
        <is>
          <t xml:space="preserve">California</t>
        </is>
      </c>
      <c r="F40" s="65">
        <v>0</v>
      </c>
      <c r="G40" s="63">
        <v>590000</v>
      </c>
      <c t="inlineStr" r="H40">
        <is>
          <t xml:space="preserve">Manufacturing</t>
        </is>
      </c>
      <c t="inlineStr" r="I40">
        <is>
          <t xml:space="preserve">Fabricated Metal Product Manufacturing</t>
        </is>
      </c>
      <c t="inlineStr" r="L40">
        <is>
          <t xml:space="preserve">-----</t>
        </is>
      </c>
    </row>
    <row r="41">
      <c t="str" r="A41" s="4">
        <f>HYPERLINK("https://linkbusiness.com/businesses-for-sale/LA04030/Home-Health-Agency-with-long-term-established-accounts","LA04030")</f>
      </c>
      <c t="inlineStr" r="B41">
        <is>
          <t xml:space="preserve">Home Health Agency with long term established accounts</t>
        </is>
      </c>
      <c r="C41" s="63">
        <v>295000</v>
      </c>
      <c r="D41" s="63">
        <v>14862100</v>
      </c>
      <c t="inlineStr" r="E41">
        <is>
          <t xml:space="preserve">Los Angeles County</t>
        </is>
      </c>
      <c r="F41" s="65">
        <v>0</v>
      </c>
      <c r="G41" s="65">
        <v>0</v>
      </c>
      <c t="inlineStr" r="H41">
        <is>
          <t xml:space="preserve">Health Care &amp; Social Assistance</t>
        </is>
      </c>
      <c t="inlineStr" r="I41">
        <is>
          <t xml:space="preserve">&lt;none&gt;</t>
        </is>
      </c>
      <c t="inlineStr" r="L41">
        <is>
          <t xml:space="preserve">-----</t>
        </is>
      </c>
    </row>
    <row r="42">
      <c t="str" r="A42" s="4">
        <f>HYPERLINK("https://linkbusiness.com/businesses-for-sale/LA04057/VERY-Profitable-Printing%2c--Mailing--And-Marketing-Company-in-Southwest-Riverside-County","LA04057")</f>
      </c>
      <c t="inlineStr" r="B42">
        <is>
          <t xml:space="preserve">VERY Profitable Printing,  Mailing  And Marketing Company in Southwest Riverside County</t>
        </is>
      </c>
      <c r="C42" s="63">
        <v>590000</v>
      </c>
      <c r="D42" s="63">
        <v>29724200</v>
      </c>
      <c t="inlineStr" r="E42">
        <is>
          <t xml:space="preserve">Riverside County</t>
        </is>
      </c>
      <c r="F42" s="65">
        <v>0</v>
      </c>
      <c r="G42" s="65">
        <v>0</v>
      </c>
      <c t="inlineStr" r="H42">
        <is>
          <t xml:space="preserve">Retail Trade</t>
        </is>
      </c>
      <c t="inlineStr" r="I42">
        <is>
          <t xml:space="preserve">&lt;none&gt;</t>
        </is>
      </c>
      <c t="inlineStr" r="L42">
        <is>
          <t xml:space="preserve">590,000 Negotiable</t>
        </is>
      </c>
    </row>
    <row r="43">
      <c t="str" r="A43" s="4">
        <f>HYPERLINK("https://linkbusiness.com/businesses-for-sale/LA04060/Top-50-National-Re-modeler%252fCabinet-Manufacture","LA04060")</f>
      </c>
      <c t="inlineStr" r="B43">
        <is>
          <t xml:space="preserve">Top 50 National Re modeler/Cabinet Manufacture</t>
        </is>
      </c>
      <c r="C43" s="63">
        <v>4850000</v>
      </c>
      <c r="D43" s="63">
        <v>244343000</v>
      </c>
      <c t="inlineStr" r="E43">
        <is>
          <t xml:space="preserve">Western States</t>
        </is>
      </c>
      <c r="F43" s="65">
        <v>0</v>
      </c>
      <c r="G43" s="65">
        <v>0</v>
      </c>
      <c t="inlineStr" r="H43">
        <is>
          <t xml:space="preserve">Construction</t>
        </is>
      </c>
      <c t="inlineStr" r="I43">
        <is>
          <t xml:space="preserve">Addition, alteration and renovation, single-family housing, general contractors</t>
        </is>
      </c>
      <c t="inlineStr" r="J43">
        <is>
          <t xml:space="preserve">Jim Moazez</t>
        </is>
      </c>
      <c t="inlineStr" r="L43">
        <is>
          <t xml:space="preserve">-----</t>
        </is>
      </c>
    </row>
    <row r="44">
      <c t="str" r="A44" s="4">
        <f>HYPERLINK("https://linkbusiness.com/businesses-for-sale/LA04072/Great-Location-Brings-Loyal-Repeat-Customers","LA04072")</f>
      </c>
      <c t="inlineStr" r="B44">
        <is>
          <t xml:space="preserve">Great Location Brings Loyal Repeat Customers</t>
        </is>
      </c>
      <c r="C44" s="63">
        <v>99000</v>
      </c>
      <c r="D44" s="63">
        <v>4987620</v>
      </c>
      <c t="inlineStr" r="E44">
        <is>
          <t xml:space="preserve">Los Angeles County</t>
        </is>
      </c>
      <c r="F44" s="65">
        <v>0</v>
      </c>
      <c r="G44" s="65">
        <v>0</v>
      </c>
      <c t="inlineStr" r="H44">
        <is>
          <t xml:space="preserve">Restaurant</t>
        </is>
      </c>
      <c t="inlineStr" r="I44">
        <is>
          <t xml:space="preserve">Food Services and Drinking Places</t>
        </is>
      </c>
      <c t="inlineStr" r="L44">
        <is>
          <t xml:space="preserve">-----</t>
        </is>
      </c>
    </row>
    <row r="45">
      <c t="str" r="A45" s="4">
        <f>HYPERLINK("https://linkbusiness.com/businesses-for-sale/LA04073/Popular-Franchise-Frozen-Yogurt-Business-For-Sale-In-Bakersfield!","LA04073")</f>
      </c>
      <c t="inlineStr" r="B45">
        <is>
          <t xml:space="preserve">Popular Franchise Frozen Yogurt Business For Sale In Bakersfield!</t>
        </is>
      </c>
      <c r="C45" s="63">
        <v>350000</v>
      </c>
      <c r="D45" s="63">
        <v>17633000</v>
      </c>
      <c t="inlineStr" r="E45">
        <is>
          <t xml:space="preserve">Greater Bakersfield Area</t>
        </is>
      </c>
      <c r="F45" s="65">
        <v>0</v>
      </c>
      <c r="G45" s="65">
        <v>0</v>
      </c>
      <c t="inlineStr" r="H45">
        <is>
          <t xml:space="preserve">Franchises</t>
        </is>
      </c>
      <c t="inlineStr" r="I45">
        <is>
          <t xml:space="preserve">&lt;none&gt;</t>
        </is>
      </c>
      <c t="inlineStr" r="L45">
        <is>
          <t xml:space="preserve">-----</t>
        </is>
      </c>
    </row>
    <row r="46">
      <c t="str" r="A46" s="4">
        <f>HYPERLINK("https://linkbusiness.com/businesses-for-sale/LA04079/Highly-profitable-Italian-Restaurant-in-Prime-East-County-Location","LA04079")</f>
      </c>
      <c t="inlineStr" r="B46">
        <is>
          <t xml:space="preserve">Highly profitable Italian Restaurant in Prime East County Location</t>
        </is>
      </c>
      <c r="C46" s="63">
        <v>175000</v>
      </c>
      <c r="D46" s="63">
        <v>8816500</v>
      </c>
      <c t="inlineStr" r="E46">
        <is>
          <t xml:space="preserve">Southern California</t>
        </is>
      </c>
      <c r="F46" s="65">
        <v>0</v>
      </c>
      <c r="G46" s="65">
        <v>0</v>
      </c>
      <c t="inlineStr" r="H46">
        <is>
          <t xml:space="preserve">Restaurant</t>
        </is>
      </c>
      <c t="inlineStr" r="I46">
        <is>
          <t xml:space="preserve">Food Services and Drinking Places</t>
        </is>
      </c>
      <c t="inlineStr" r="L46">
        <is>
          <t xml:space="preserve">-----</t>
        </is>
      </c>
    </row>
    <row r="47">
      <c t="str" r="A47" s="4">
        <f>HYPERLINK("https://linkbusiness.com/businesses-for-sale/LA04088/SOLDFamous-Franchise-Bakery-and-Ice-Cream-Business","LA04088")</f>
      </c>
      <c t="inlineStr" r="B47">
        <is>
          <t xml:space="preserve">SOLD.........Famous Franchise Bakery and Ice Cream Business</t>
        </is>
      </c>
      <c r="C47" s="63">
        <v>254000</v>
      </c>
      <c r="D47" s="63">
        <v>12796520</v>
      </c>
      <c t="inlineStr" r="E47">
        <is>
          <t xml:space="preserve">California</t>
        </is>
      </c>
      <c r="F47" s="65">
        <v>0</v>
      </c>
      <c r="G47" s="63">
        <v>122543</v>
      </c>
      <c t="inlineStr" r="H47">
        <is>
          <t xml:space="preserve">Franchises</t>
        </is>
      </c>
      <c t="inlineStr" r="I47">
        <is>
          <t xml:space="preserve">Food and Beverage Stores</t>
        </is>
      </c>
      <c t="inlineStr" r="L47">
        <is>
          <t xml:space="preserve">-----</t>
        </is>
      </c>
    </row>
    <row r="48">
      <c t="str" r="A48" s="4">
        <f>HYPERLINK("https://linkbusiness.com/businesses-for-sale/LA04092/DRIVING-SCHOOL%2c-VERY-PROFITABLE%2c-BAY-AREA","LA04092")</f>
      </c>
      <c t="inlineStr" r="B48">
        <is>
          <t xml:space="preserve">DRIVING SCHOOL, VERY PROFITABLE, BAY AREA</t>
        </is>
      </c>
      <c r="C48" s="63">
        <v>148900</v>
      </c>
      <c r="D48" s="63">
        <v>7501582</v>
      </c>
      <c t="inlineStr" r="E48">
        <is>
          <t xml:space="preserve">Northern California</t>
        </is>
      </c>
      <c r="F48" s="65">
        <v>0</v>
      </c>
      <c r="G48" s="65">
        <v>0</v>
      </c>
      <c t="inlineStr" r="H48">
        <is>
          <t xml:space="preserve">Educational Services</t>
        </is>
      </c>
      <c t="inlineStr" r="I48">
        <is>
          <t xml:space="preserve">Educational Services (Level 3)</t>
        </is>
      </c>
      <c t="inlineStr" r="L48">
        <is>
          <t xml:space="preserve">-----</t>
        </is>
      </c>
    </row>
    <row r="49">
      <c t="str" r="A49" s="4">
        <f>HYPERLINK("https://linkbusiness.com/businesses-for-sale/LA04099/Well-Established-20yr-Old-Embroidery-Business-For-Sale","LA04099")</f>
      </c>
      <c t="inlineStr" r="B49">
        <is>
          <t xml:space="preserve">Well Established 20yr Old Embroidery Business For Sale</t>
        </is>
      </c>
      <c r="C49" s="63">
        <v>50000</v>
      </c>
      <c r="D49" s="63">
        <v>2519000</v>
      </c>
      <c t="inlineStr" r="E49">
        <is>
          <t xml:space="preserve">California</t>
        </is>
      </c>
      <c r="F49" s="65">
        <v>0</v>
      </c>
      <c r="G49" s="65">
        <v>0</v>
      </c>
      <c t="inlineStr" r="H49">
        <is>
          <t xml:space="preserve">Other Services (except public administration)</t>
        </is>
      </c>
      <c t="inlineStr" r="I49">
        <is>
          <t xml:space="preserve">&lt;none&gt;</t>
        </is>
      </c>
      <c t="inlineStr" r="L49">
        <is>
          <t xml:space="preserve">-----</t>
        </is>
      </c>
    </row>
    <row r="50">
      <c t="str" r="A50" s="4">
        <f>HYPERLINK("https://linkbusiness.com/businesses-for-sale/LA04100/Denny%27s-Restaurant-in-City-of-Los-Angeles","LA04100")</f>
      </c>
      <c t="inlineStr" r="B50">
        <is>
          <t xml:space="preserve">Denny's Restaurant in City of Los Angeles</t>
        </is>
      </c>
      <c r="C50" s="63">
        <v>795000</v>
      </c>
      <c r="D50" s="63">
        <v>40052100</v>
      </c>
      <c t="inlineStr" r="E50">
        <is>
          <t xml:space="preserve">Los Angeles County</t>
        </is>
      </c>
      <c r="F50" s="65">
        <v>0</v>
      </c>
      <c r="G50" s="65">
        <v>0</v>
      </c>
      <c t="inlineStr" r="H50">
        <is>
          <t xml:space="preserve">Franchises</t>
        </is>
      </c>
      <c t="inlineStr" r="I50">
        <is>
          <t xml:space="preserve">&lt;none&gt;</t>
        </is>
      </c>
      <c t="inlineStr" r="J50">
        <is>
          <t xml:space="preserve">Joe Khoury</t>
        </is>
      </c>
      <c t="inlineStr" r="L50">
        <is>
          <t xml:space="preserve">-----</t>
        </is>
      </c>
    </row>
    <row r="51">
      <c t="str" r="A51" s="4">
        <f>HYPERLINK("https://linkbusiness.com/businesses-for-sale/LA04112/Specialty-Coffee-Shop-For-Sale-In-A-Prime-Location-In-West-Los-Angeles!","LA04112")</f>
      </c>
      <c t="inlineStr" r="B51">
        <is>
          <t xml:space="preserve">Specialty Coffee Shop For Sale In A Prime Location In West Los Angeles!</t>
        </is>
      </c>
      <c r="C51" s="63">
        <v>69000</v>
      </c>
      <c r="D51" s="63">
        <v>3476220</v>
      </c>
      <c t="inlineStr" r="E51">
        <is>
          <t xml:space="preserve">Los Angeles County</t>
        </is>
      </c>
      <c r="F51" s="65">
        <v>0</v>
      </c>
      <c r="G51" s="65">
        <v>0</v>
      </c>
      <c t="inlineStr" r="H51">
        <is>
          <t xml:space="preserve">Restaurant</t>
        </is>
      </c>
      <c t="inlineStr" r="I51">
        <is>
          <t xml:space="preserve">&lt;none&gt;</t>
        </is>
      </c>
      <c t="inlineStr" r="L51">
        <is>
          <t xml:space="preserve">-----</t>
        </is>
      </c>
    </row>
    <row r="52">
      <c t="str" r="A52" s="4">
        <f>HYPERLINK("https://linkbusiness.com/businesses-for-sale/LA04113/Home-Care-Service-Agency--in-Santa-Barbara-County","LA04113")</f>
      </c>
      <c t="inlineStr" r="B52">
        <is>
          <t xml:space="preserve">Home Care Service Agency  in Santa Barbara County</t>
        </is>
      </c>
      <c r="C52" s="63">
        <v>98500</v>
      </c>
      <c r="D52" s="63">
        <v>4962430</v>
      </c>
      <c t="inlineStr" r="E52">
        <is>
          <t xml:space="preserve">California</t>
        </is>
      </c>
      <c r="F52" s="65">
        <v>0</v>
      </c>
      <c r="G52" s="65">
        <v>0</v>
      </c>
      <c t="inlineStr" r="H52">
        <is>
          <t xml:space="preserve">Health Care &amp; Social Assistance</t>
        </is>
      </c>
      <c t="inlineStr" r="I52">
        <is>
          <t xml:space="preserve">Nursing and Residential Care Facilities</t>
        </is>
      </c>
      <c t="inlineStr" r="L52">
        <is>
          <t xml:space="preserve">-----</t>
        </is>
      </c>
    </row>
    <row r="53">
      <c t="str" r="A53" s="4">
        <f>HYPERLINK("https://linkbusiness.com/businesses-for-sale/LA04114/Your-Recipe-for-Success-and-Profits!-Renowned-Bakery-%26-Cafe--Prime-Locations-near-Downtown-LA","LA04114")</f>
      </c>
      <c t="inlineStr" r="B53">
        <is>
          <t xml:space="preserve">Your Recipe for Success and Profits! Renowned Bakery &amp; Cafe.  Prime Locations near Downtown L.A.</t>
        </is>
      </c>
      <c r="C53" s="63">
        <v>499000</v>
      </c>
      <c r="D53" s="63">
        <v>25139620</v>
      </c>
      <c t="inlineStr" r="E53">
        <is>
          <t xml:space="preserve">Los Angeles County</t>
        </is>
      </c>
      <c r="F53" s="65">
        <v>0</v>
      </c>
      <c r="G53" s="65">
        <v>0</v>
      </c>
      <c t="inlineStr" r="H53">
        <is>
          <t xml:space="preserve">Retail Trade</t>
        </is>
      </c>
      <c t="inlineStr" r="I53">
        <is>
          <t xml:space="preserve">Food and Beverage Stores</t>
        </is>
      </c>
      <c t="inlineStr" r="L53">
        <is>
          <t xml:space="preserve">-----</t>
        </is>
      </c>
    </row>
    <row r="54">
      <c t="str" r="A54" s="4">
        <f>HYPERLINK("https://linkbusiness.com/businesses-for-sale/LA04119/State-Of-The-Art-Pilates-Studio-Business-For-Sale-In-The-Heart-Of-Los-Angeles-County!","LA04119")</f>
      </c>
      <c t="inlineStr" r="B54">
        <is>
          <t xml:space="preserve">State Of The Art Pilates Studio Business For Sale In The Heart Of Los Angeles County!</t>
        </is>
      </c>
      <c r="C54" s="63">
        <v>239000</v>
      </c>
      <c r="D54" s="63">
        <v>12040820</v>
      </c>
      <c t="inlineStr" r="E54">
        <is>
          <t xml:space="preserve">Los Angeles County</t>
        </is>
      </c>
      <c r="F54" s="65">
        <v>0</v>
      </c>
      <c r="G54" s="65">
        <v>0</v>
      </c>
      <c t="inlineStr" r="H54">
        <is>
          <t xml:space="preserve">Other Services (except public administration)</t>
        </is>
      </c>
      <c t="inlineStr" r="I54">
        <is>
          <t xml:space="preserve">&lt;none&gt;</t>
        </is>
      </c>
      <c t="inlineStr" r="L54">
        <is>
          <t xml:space="preserve">-----</t>
        </is>
      </c>
    </row>
    <row r="55">
      <c t="str" r="A55" s="4">
        <f>HYPERLINK("https://linkbusiness.com/businesses-for-sale/LA04122/Highly-Respected-CrossFit-Gym","LA04122")</f>
      </c>
      <c t="inlineStr" r="B55">
        <is>
          <t xml:space="preserve">Highly Respected CrossFit Gym</t>
        </is>
      </c>
      <c r="C55" s="63">
        <v>199000</v>
      </c>
      <c r="D55" s="63">
        <v>10025620</v>
      </c>
      <c t="inlineStr" r="E55">
        <is>
          <t xml:space="preserve">Orange County</t>
        </is>
      </c>
      <c r="F55" s="65">
        <v>0</v>
      </c>
      <c r="G55" s="65">
        <v>0</v>
      </c>
      <c t="inlineStr" r="H55">
        <is>
          <t xml:space="preserve">Arts, Entertainment &amp; Recreation</t>
        </is>
      </c>
      <c t="inlineStr" r="I55">
        <is>
          <t xml:space="preserve">&lt;none&gt;</t>
        </is>
      </c>
      <c t="inlineStr" r="L55">
        <is>
          <t xml:space="preserve">-----</t>
        </is>
      </c>
    </row>
    <row r="56">
      <c t="str" r="A56" s="4">
        <f>HYPERLINK("https://linkbusiness.com/businesses-for-sale/LA04123/Beer-Garden-w-high-volume-West-valley-area","LA04123")</f>
      </c>
      <c t="inlineStr" r="B56">
        <is>
          <t xml:space="preserve">Beer Garden w high volume West valley area</t>
        </is>
      </c>
      <c r="C56" s="63">
        <v>685000</v>
      </c>
      <c r="D56" s="63">
        <v>34510300</v>
      </c>
      <c t="inlineStr" r="E56">
        <is>
          <t xml:space="preserve">California</t>
        </is>
      </c>
      <c r="F56" s="65">
        <v>0</v>
      </c>
      <c r="G56" s="63">
        <v>245000</v>
      </c>
      <c t="inlineStr" r="H56">
        <is>
          <t xml:space="preserve">Restaurant</t>
        </is>
      </c>
      <c t="inlineStr" r="I56">
        <is>
          <t xml:space="preserve">Food Services and Drinking Places</t>
        </is>
      </c>
      <c t="inlineStr" r="J56">
        <is>
          <t xml:space="preserve">Joe Khoury</t>
        </is>
      </c>
      <c t="inlineStr" r="L56">
        <is>
          <t xml:space="preserve">-----</t>
        </is>
      </c>
    </row>
    <row r="57">
      <c t="str" r="A57" s="4">
        <f>HYPERLINK("https://linkbusiness.com/businesses-for-sale/LA04137/Profitable-Bistro-in-WLA-Owner-retiring","LA04137")</f>
      </c>
      <c t="inlineStr" r="B57">
        <is>
          <t xml:space="preserve">Profitable Bistro in W.L.A. Owner retiring</t>
        </is>
      </c>
      <c r="C57" s="63">
        <v>425000</v>
      </c>
      <c r="D57" s="63">
        <v>21411500</v>
      </c>
      <c t="inlineStr" r="E57">
        <is>
          <t xml:space="preserve">Los Angeles County</t>
        </is>
      </c>
      <c r="F57" s="65">
        <v>0</v>
      </c>
      <c r="G57" s="65">
        <v>0</v>
      </c>
      <c t="inlineStr" r="H57">
        <is>
          <t xml:space="preserve">Restaurant</t>
        </is>
      </c>
      <c t="inlineStr" r="I57">
        <is>
          <t xml:space="preserve">Food Services and Drinking Places</t>
        </is>
      </c>
      <c t="inlineStr" r="L57">
        <is>
          <t xml:space="preserve">-----</t>
        </is>
      </c>
    </row>
    <row r="58">
      <c t="str" r="A58" s="4">
        <f>HYPERLINK("https://linkbusiness.com/businesses-for-sale/LA04152/Specialty-Ice-Cream-%26-Bakery-Business-For-Sale-In-Beautiful-Orange-County!","LA04152")</f>
      </c>
      <c t="inlineStr" r="B58">
        <is>
          <t xml:space="preserve">Specialty Ice Cream &amp; Bakery Business For Sale In Beautiful Orange County!</t>
        </is>
      </c>
      <c r="C58" s="63">
        <v>49000</v>
      </c>
      <c r="D58" s="63">
        <v>2468620</v>
      </c>
      <c t="inlineStr" r="E58">
        <is>
          <t xml:space="preserve">Orange County</t>
        </is>
      </c>
      <c r="F58" s="65">
        <v>0</v>
      </c>
      <c r="G58" s="65">
        <v>0</v>
      </c>
      <c t="inlineStr" r="H58">
        <is>
          <t xml:space="preserve">Retail Trade</t>
        </is>
      </c>
      <c t="inlineStr" r="I58">
        <is>
          <t xml:space="preserve">Food and Beverage Stores</t>
        </is>
      </c>
      <c t="inlineStr" r="L58">
        <is>
          <t xml:space="preserve">-----</t>
        </is>
      </c>
    </row>
    <row r="59">
      <c t="str" r="A59" s="4">
        <f>HYPERLINK("https://linkbusiness.com/businesses-for-sale/LA04162/High-Volume-Auto-Body-Shop-%252f-Owner-Financing","LA04162")</f>
      </c>
      <c t="inlineStr" r="B59">
        <is>
          <t xml:space="preserve">High Volume Auto Body Shop / Owner Financing</t>
        </is>
      </c>
      <c r="C59" s="63">
        <v>490000</v>
      </c>
      <c r="D59" s="63">
        <v>24686200</v>
      </c>
      <c t="inlineStr" r="E59">
        <is>
          <t xml:space="preserve">San Bernardino County</t>
        </is>
      </c>
      <c r="F59" s="65">
        <v>0</v>
      </c>
      <c r="G59" s="65">
        <v>0</v>
      </c>
      <c t="inlineStr" r="H59">
        <is>
          <t xml:space="preserve">Other Services (except public administration)</t>
        </is>
      </c>
      <c t="inlineStr" r="I59">
        <is>
          <t xml:space="preserve">&lt;none&gt;</t>
        </is>
      </c>
      <c t="inlineStr" r="L59">
        <is>
          <t xml:space="preserve">-----</t>
        </is>
      </c>
    </row>
    <row r="60">
      <c t="str" r="A60" s="4">
        <f>HYPERLINK("https://linkbusiness.com/businesses-for-sale/LA04167/SOLDTop-Franchise-Children%e2%80%99s-Learning-Center","LA04167")</f>
      </c>
      <c t="inlineStr" r="B60">
        <is>
          <t xml:space="preserve">SOLD............Top Franchise Children’s Learning Center</t>
        </is>
      </c>
      <c r="C60" s="63">
        <v>175000</v>
      </c>
      <c r="D60" s="63">
        <v>8816500</v>
      </c>
      <c t="inlineStr" r="E60">
        <is>
          <t xml:space="preserve">Los Angeles County</t>
        </is>
      </c>
      <c r="F60" s="65">
        <v>0</v>
      </c>
      <c r="G60" s="63">
        <v>99896</v>
      </c>
      <c t="inlineStr" r="H60">
        <is>
          <t xml:space="preserve">Educational Services</t>
        </is>
      </c>
      <c t="inlineStr" r="I60">
        <is>
          <t xml:space="preserve">Educational Services (Level 3)</t>
        </is>
      </c>
      <c t="inlineStr" r="L60">
        <is>
          <t xml:space="preserve">-----</t>
        </is>
      </c>
    </row>
    <row r="61">
      <c t="str" r="A61" s="4">
        <f>HYPERLINK("https://linkbusiness.com/businesses-for-sale/LA04168/Profitable-Absentee-Franchise-Children%e2%80%99s-Education!","LA04168")</f>
      </c>
      <c t="inlineStr" r="B61">
        <is>
          <t xml:space="preserve">Profitable Absentee Franchise Children’s Education!</t>
        </is>
      </c>
      <c r="C61" s="63">
        <v>499000</v>
      </c>
      <c r="D61" s="63">
        <v>25139620</v>
      </c>
      <c t="inlineStr" r="E61">
        <is>
          <t xml:space="preserve">-----</t>
        </is>
      </c>
      <c r="F61" s="65">
        <v>0</v>
      </c>
      <c r="G61" s="63">
        <v>140305</v>
      </c>
      <c t="inlineStr" r="H61">
        <is>
          <t xml:space="preserve">Educational Services</t>
        </is>
      </c>
      <c t="inlineStr" r="I61">
        <is>
          <t xml:space="preserve">&lt;none&gt;</t>
        </is>
      </c>
      <c t="inlineStr" r="J61">
        <is>
          <t xml:space="preserve">Merrill Eastcott</t>
        </is>
      </c>
      <c t="inlineStr" r="K61">
        <is>
          <t xml:space="preserve">Susie Kang</t>
        </is>
      </c>
      <c t="inlineStr" r="L61">
        <is>
          <t xml:space="preserve">-----</t>
        </is>
      </c>
    </row>
    <row r="62">
      <c t="str" r="A62" s="4">
        <f>HYPERLINK("https://linkbusiness.com/businesses-for-sale/LA04169/Children%e2%80%99s-Education%2c-Franchise-Learning-Center-For-Sale-In-Beautiful-Los-Angeles-County!","LA04169")</f>
      </c>
      <c t="inlineStr" r="B62">
        <is>
          <t xml:space="preserve">Children’s Education, Franchise Learning Center For Sale In Beautiful Los Angeles County!</t>
        </is>
      </c>
      <c r="C62" s="63">
        <v>345000</v>
      </c>
      <c r="D62" s="63">
        <v>17381100</v>
      </c>
      <c t="inlineStr" r="E62">
        <is>
          <t xml:space="preserve">Southern California</t>
        </is>
      </c>
      <c r="F62" s="65">
        <v>0</v>
      </c>
      <c r="G62" s="63">
        <v>200770</v>
      </c>
      <c t="inlineStr" r="H62">
        <is>
          <t xml:space="preserve">Educational Services</t>
        </is>
      </c>
      <c t="inlineStr" r="I62">
        <is>
          <t xml:space="preserve">Educational Services (Level 3)</t>
        </is>
      </c>
      <c t="inlineStr" r="L62">
        <is>
          <t xml:space="preserve">-----</t>
        </is>
      </c>
    </row>
    <row r="63">
      <c t="str" r="A63" s="4">
        <f>HYPERLINK("https://linkbusiness.com/businesses-for-sale/LA0417/","LA0417")</f>
      </c>
      <c t="inlineStr" r="B63">
        <is>
          <t xml:space="preserve">&lt;none&gt;</t>
        </is>
      </c>
      <c r="C63" s="63">
        <v>650000</v>
      </c>
      <c r="D63" s="63">
        <v>32747000</v>
      </c>
      <c t="inlineStr" r="E63">
        <is>
          <t xml:space="preserve">-----</t>
        </is>
      </c>
      <c r="F63" s="65">
        <v>0</v>
      </c>
      <c r="G63" s="65">
        <v>0</v>
      </c>
      <c t="inlineStr" r="H63">
        <is>
          <t xml:space="preserve">Manufacturing</t>
        </is>
      </c>
      <c t="inlineStr" r="I63">
        <is>
          <t xml:space="preserve">&lt;none&gt;</t>
        </is>
      </c>
      <c t="inlineStr" r="L63">
        <is>
          <t xml:space="preserve">-----</t>
        </is>
      </c>
    </row>
    <row r="64">
      <c t="str" r="A64" s="4">
        <f>HYPERLINK("https://linkbusiness.com/businesses-for-sale/LA04170/Successful-Franchise-Children%e2%80%99s-Education-For-Sale!","LA04170")</f>
      </c>
      <c t="inlineStr" r="B64">
        <is>
          <t xml:space="preserve">Successful Franchise Children’s Education For Sale!</t>
        </is>
      </c>
      <c r="C64" s="63">
        <v>217000</v>
      </c>
      <c r="D64" s="63">
        <v>10932460</v>
      </c>
      <c t="inlineStr" r="E64">
        <is>
          <t xml:space="preserve">Los Angeles County</t>
        </is>
      </c>
      <c r="F64" s="65">
        <v>0</v>
      </c>
      <c r="G64" s="63">
        <v>148205</v>
      </c>
      <c t="inlineStr" r="H64">
        <is>
          <t xml:space="preserve">Educational Services</t>
        </is>
      </c>
      <c t="inlineStr" r="I64">
        <is>
          <t xml:space="preserve">Educational Services (Level 3)</t>
        </is>
      </c>
      <c t="inlineStr" r="J64">
        <is>
          <t xml:space="preserve">Merrill Eastcott</t>
        </is>
      </c>
      <c t="inlineStr" r="K64">
        <is>
          <t xml:space="preserve">Susie Kang</t>
        </is>
      </c>
      <c t="inlineStr" r="L64">
        <is>
          <t xml:space="preserve">-----</t>
        </is>
      </c>
    </row>
    <row r="65">
      <c t="str" r="A65" s="4">
        <f>HYPERLINK("https://linkbusiness.com/businesses-for-sale/LA04172/Franchise-Children%e2%80%99s-Education-In-Woodland-Hills!-SOLD","LA04172")</f>
      </c>
      <c t="inlineStr" r="B65">
        <is>
          <t xml:space="preserve">Franchise Children’s Education In Woodland Hills! SOLD</t>
        </is>
      </c>
      <c r="C65" s="63">
        <v>49000</v>
      </c>
      <c r="D65" s="63">
        <v>2468620</v>
      </c>
      <c t="inlineStr" r="E65">
        <is>
          <t xml:space="preserve">Los Angeles County</t>
        </is>
      </c>
      <c r="F65" s="65">
        <v>0</v>
      </c>
      <c r="G65" s="65">
        <v>0</v>
      </c>
      <c t="inlineStr" r="H65">
        <is>
          <t xml:space="preserve">Educational Services</t>
        </is>
      </c>
      <c t="inlineStr" r="I65">
        <is>
          <t xml:space="preserve">Educational Services (Level 3)</t>
        </is>
      </c>
      <c t="inlineStr" r="L65">
        <is>
          <t xml:space="preserve">-----</t>
        </is>
      </c>
    </row>
    <row r="66">
      <c t="str" r="A66" s="4">
        <f>HYPERLINK("https://linkbusiness.com/businesses-for-sale/LA04178/Popular-Wine-Bar-with-kitchen---6-days-only","LA04178")</f>
      </c>
      <c t="inlineStr" r="B66">
        <is>
          <t xml:space="preserve">Popular Wine Bar with kitchen - 6 days only</t>
        </is>
      </c>
      <c r="C66" s="63">
        <v>150000</v>
      </c>
      <c r="D66" s="63">
        <v>7557000</v>
      </c>
      <c t="inlineStr" r="E66">
        <is>
          <t xml:space="preserve">Orange County</t>
        </is>
      </c>
      <c r="F66" s="65">
        <v>0</v>
      </c>
      <c r="G66" s="65">
        <v>0</v>
      </c>
      <c t="inlineStr" r="H66">
        <is>
          <t xml:space="preserve">Restaurant</t>
        </is>
      </c>
      <c t="inlineStr" r="I66">
        <is>
          <t xml:space="preserve">&lt;none&gt;</t>
        </is>
      </c>
      <c t="inlineStr" r="L66">
        <is>
          <t xml:space="preserve">-----</t>
        </is>
      </c>
    </row>
    <row r="67">
      <c t="str" r="A67" s="4">
        <f>HYPERLINK("https://linkbusiness.com/businesses-for-sale/LA04181/Jewelry-Store-in-Desired-Location---Costa-Mesa","LA04181")</f>
      </c>
      <c t="inlineStr" r="B67">
        <is>
          <t xml:space="preserve">Jewelry Store in Desired Location - Costa Mesa</t>
        </is>
      </c>
      <c r="C67" s="63">
        <v>30000</v>
      </c>
      <c r="D67" s="63">
        <v>1511400</v>
      </c>
      <c t="inlineStr" r="E67">
        <is>
          <t xml:space="preserve">Orange County</t>
        </is>
      </c>
      <c r="F67" s="65">
        <v>0</v>
      </c>
      <c r="G67" s="65">
        <v>0</v>
      </c>
      <c t="inlineStr" r="H67">
        <is>
          <t xml:space="preserve">Retail Trade</t>
        </is>
      </c>
      <c t="inlineStr" r="I67">
        <is>
          <t xml:space="preserve">Jewelry design services</t>
        </is>
      </c>
      <c t="inlineStr" r="L67">
        <is>
          <t xml:space="preserve">-----</t>
        </is>
      </c>
    </row>
    <row r="68">
      <c t="str" r="A68" s="4">
        <f>HYPERLINK("https://linkbusiness.com/businesses-for-sale/LA04192/Established-Salon-over-15-years-in-Santa-Monica%252fBrentwood-Area","LA04192")</f>
      </c>
      <c t="inlineStr" r="B68">
        <is>
          <t xml:space="preserve">Established Salon over 15 years in Santa Monica/Brentwood Area</t>
        </is>
      </c>
      <c r="C68" s="63">
        <v>62000</v>
      </c>
      <c r="D68" s="63">
        <v>3123560</v>
      </c>
      <c t="inlineStr" r="E68">
        <is>
          <t xml:space="preserve">Los Angeles County</t>
        </is>
      </c>
      <c r="F68" s="65">
        <v>0</v>
      </c>
      <c r="G68" s="65">
        <v>0</v>
      </c>
      <c t="inlineStr" r="H68">
        <is>
          <t xml:space="preserve">Retail Trade</t>
        </is>
      </c>
      <c t="inlineStr" r="I68">
        <is>
          <t xml:space="preserve">Health and Personal Care Stores</t>
        </is>
      </c>
      <c t="inlineStr" r="J68">
        <is>
          <t xml:space="preserve">Kellie Fish</t>
        </is>
      </c>
      <c t="inlineStr" r="K68">
        <is>
          <t xml:space="preserve">Joe Khoury</t>
        </is>
      </c>
      <c t="inlineStr" r="L68">
        <is>
          <t xml:space="preserve">-----</t>
        </is>
      </c>
    </row>
    <row r="69">
      <c t="str" r="A69" s="4">
        <f>HYPERLINK("https://linkbusiness.com/businesses-for-sale/LA04195/Profitable-Manufacturing-Seller-Trains-for-Growth","LA04195")</f>
      </c>
      <c t="inlineStr" r="B69">
        <is>
          <t xml:space="preserve">Profitable Manufacturing Seller Trains for Growth</t>
        </is>
      </c>
      <c r="C69" s="63">
        <v>774000</v>
      </c>
      <c r="D69" s="63">
        <v>38994120</v>
      </c>
      <c t="inlineStr" r="E69">
        <is>
          <t xml:space="preserve">South Bay Cities &amp; Long Beach</t>
        </is>
      </c>
      <c r="F69" s="65">
        <v>0</v>
      </c>
      <c r="G69" s="63">
        <v>276000</v>
      </c>
      <c t="inlineStr" r="H69">
        <is>
          <t xml:space="preserve">Manufacturing</t>
        </is>
      </c>
      <c t="inlineStr" r="I69">
        <is>
          <t xml:space="preserve">&lt;none&gt;</t>
        </is>
      </c>
      <c t="inlineStr" r="L69">
        <is>
          <t xml:space="preserve">-----</t>
        </is>
      </c>
    </row>
    <row r="70">
      <c t="str" r="A70" s="4">
        <f>HYPERLINK("https://linkbusiness.com/businesses-for-sale/LA04200/Profitable-Driving-School-SOLD","LA04200")</f>
      </c>
      <c t="inlineStr" r="B70">
        <is>
          <t xml:space="preserve">Profitable Driving School SOLD</t>
        </is>
      </c>
      <c r="C70" s="63">
        <v>175000</v>
      </c>
      <c r="D70" s="63">
        <v>8816500</v>
      </c>
      <c t="inlineStr" r="E70">
        <is>
          <t xml:space="preserve">Northern California</t>
        </is>
      </c>
      <c r="F70" s="65">
        <v>0</v>
      </c>
      <c r="G70" s="63">
        <v>116000</v>
      </c>
      <c t="inlineStr" r="H70">
        <is>
          <t xml:space="preserve">Educational Services</t>
        </is>
      </c>
      <c t="inlineStr" r="I70">
        <is>
          <t xml:space="preserve">Educational Services (Level 3)</t>
        </is>
      </c>
      <c t="inlineStr" r="L70">
        <is>
          <t xml:space="preserve">-----</t>
        </is>
      </c>
    </row>
    <row r="71">
      <c t="str" r="A71" s="4">
        <f>HYPERLINK("https://linkbusiness.com/businesses-for-sale/LA04206/High-Performance--Auto-Parts-Manufacturer-SOLD-in-Orange-County","LA04206")</f>
      </c>
      <c t="inlineStr" r="B71">
        <is>
          <t xml:space="preserve">High Performance  Auto Parts Manufacturer SOLD in Orange County</t>
        </is>
      </c>
      <c r="C71" s="63">
        <v>2449000</v>
      </c>
      <c r="D71" s="63">
        <v>123380620</v>
      </c>
      <c t="inlineStr" r="E71">
        <is>
          <t xml:space="preserve">California</t>
        </is>
      </c>
      <c r="F71" s="65">
        <v>0</v>
      </c>
      <c r="G71" s="65">
        <v>0</v>
      </c>
      <c t="inlineStr" r="H71">
        <is>
          <t xml:space="preserve">Manufacturing</t>
        </is>
      </c>
      <c t="inlineStr" r="I71">
        <is>
          <t xml:space="preserve">&lt;none&gt;</t>
        </is>
      </c>
      <c t="inlineStr" r="L71">
        <is>
          <t xml:space="preserve">-----</t>
        </is>
      </c>
    </row>
    <row r="72">
      <c t="str" r="A72" s="4">
        <f>HYPERLINK("https://linkbusiness.com/businesses-for-sale/LA04207/Largest-Networking-Association-For-sale","LA04207")</f>
      </c>
      <c t="inlineStr" r="B72">
        <is>
          <t xml:space="preserve">Largest Networking Association For sale</t>
        </is>
      </c>
      <c r="C72" s="63">
        <v>95000</v>
      </c>
      <c r="D72" s="63">
        <v>4786100</v>
      </c>
      <c t="inlineStr" r="E72">
        <is>
          <t xml:space="preserve">Orange County</t>
        </is>
      </c>
      <c r="F72" s="65">
        <v>0</v>
      </c>
      <c r="G72" s="63">
        <v>69000</v>
      </c>
      <c t="inlineStr" r="H72">
        <is>
          <t xml:space="preserve">Other Services (except public administration)</t>
        </is>
      </c>
      <c t="inlineStr" r="I72">
        <is>
          <t xml:space="preserve">&lt;none&gt;</t>
        </is>
      </c>
      <c t="inlineStr" r="J72">
        <is>
          <t xml:space="preserve">Jim Moazez</t>
        </is>
      </c>
      <c t="inlineStr" r="L72">
        <is>
          <t xml:space="preserve">-----</t>
        </is>
      </c>
    </row>
    <row r="73">
      <c t="str" r="A73" s="4">
        <f>HYPERLINK("https://linkbusiness.com/businesses-for-sale/LA04210/Cozy-Auto-Repair-%2b-Body-Shop-in-Torrance%2c-LA-County-for-Sale","LA04210")</f>
      </c>
      <c t="inlineStr" r="B73">
        <is>
          <t xml:space="preserve">Cozy Auto Repair + Body Shop in Torrance, LA County for Sale</t>
        </is>
      </c>
      <c r="C73" s="63">
        <v>58000</v>
      </c>
      <c r="D73" s="63">
        <v>2922040</v>
      </c>
      <c t="inlineStr" r="E73">
        <is>
          <t xml:space="preserve">Los Angeles County</t>
        </is>
      </c>
      <c r="F73" s="65">
        <v>0</v>
      </c>
      <c r="G73" s="65">
        <v>0</v>
      </c>
      <c t="inlineStr" r="H73">
        <is>
          <t xml:space="preserve">Other Services (except public administration)</t>
        </is>
      </c>
      <c t="inlineStr" r="I73">
        <is>
          <t xml:space="preserve">&lt;none&gt;</t>
        </is>
      </c>
      <c t="inlineStr" r="L73">
        <is>
          <t xml:space="preserve">-----</t>
        </is>
      </c>
    </row>
    <row r="74">
      <c t="str" r="A74" s="4">
        <f>HYPERLINK("https://linkbusiness.com/businesses-for-sale/LA04211/57-Year-Old-Manufacturer-SOLD","LA04211")</f>
      </c>
      <c t="inlineStr" r="B74">
        <is>
          <t xml:space="preserve">57 Year Old Manufacturer SOLD</t>
        </is>
      </c>
      <c r="C74" s="63">
        <v>3000000</v>
      </c>
      <c r="D74" s="63">
        <v>151140000</v>
      </c>
      <c t="inlineStr" r="E74">
        <is>
          <t xml:space="preserve">Los Angeles County</t>
        </is>
      </c>
      <c r="F74" s="65">
        <v>0</v>
      </c>
      <c r="G74" s="63">
        <v>325000</v>
      </c>
      <c t="inlineStr" r="H74">
        <is>
          <t xml:space="preserve">Manufacturing</t>
        </is>
      </c>
      <c t="inlineStr" r="I74">
        <is>
          <t xml:space="preserve">Fabricated Metal Product Manufacturing</t>
        </is>
      </c>
      <c t="inlineStr" r="L74">
        <is>
          <t xml:space="preserve">-----</t>
        </is>
      </c>
    </row>
    <row r="75">
      <c t="str" r="A75" s="4">
        <f>HYPERLINK("https://linkbusiness.com/businesses-for-sale/LA04213/SOLDRemodeled-Restaurant-in-Northridge","LA04213")</f>
      </c>
      <c t="inlineStr" r="B75">
        <is>
          <t xml:space="preserve">SOLD..........Remodeled Restaurant in Northridge</t>
        </is>
      </c>
      <c r="C75" s="63">
        <v>150000</v>
      </c>
      <c r="D75" s="63">
        <v>7557000</v>
      </c>
      <c t="inlineStr" r="E75">
        <is>
          <t xml:space="preserve">California</t>
        </is>
      </c>
      <c r="F75" s="65">
        <v>0</v>
      </c>
      <c r="G75" s="65">
        <v>0</v>
      </c>
      <c t="inlineStr" r="H75">
        <is>
          <t xml:space="preserve">Restaurant</t>
        </is>
      </c>
      <c t="inlineStr" r="I75">
        <is>
          <t xml:space="preserve">Food Services and Drinking Places</t>
        </is>
      </c>
      <c t="inlineStr" r="L75">
        <is>
          <t xml:space="preserve">-----</t>
        </is>
      </c>
    </row>
    <row r="76">
      <c t="str" r="A76" s="4">
        <f>HYPERLINK("https://linkbusiness.com/businesses-for-sale/LA04222/Popular-Ice-Cream-%26-Pie-Business-For-Sale-in-West-Los-Angeles!","LA04222")</f>
      </c>
      <c t="inlineStr" r="B76">
        <is>
          <t xml:space="preserve">Popular Ice Cream &amp; Pie Business For Sale in West Los Angeles!</t>
        </is>
      </c>
      <c r="C76" s="63">
        <v>67000</v>
      </c>
      <c r="D76" s="63">
        <v>3375460</v>
      </c>
      <c t="inlineStr" r="E76">
        <is>
          <t xml:space="preserve">California</t>
        </is>
      </c>
      <c r="F76" s="65">
        <v>0</v>
      </c>
      <c r="G76" s="65">
        <v>0</v>
      </c>
      <c t="inlineStr" r="H76">
        <is>
          <t xml:space="preserve">Restaurant</t>
        </is>
      </c>
      <c t="inlineStr" r="I76">
        <is>
          <t xml:space="preserve">Food Services and Drinking Places</t>
        </is>
      </c>
      <c t="inlineStr" r="L76">
        <is>
          <t xml:space="preserve">-----</t>
        </is>
      </c>
    </row>
    <row r="77">
      <c t="str" r="A77" s="4">
        <f>HYPERLINK("https://linkbusiness.com/businesses-for-sale/LA04223/Must-Sell-Market-with-Beer-%26-Wine%2c-Lotto%2c-EBT-ATM-%26-more","LA04223")</f>
      </c>
      <c t="inlineStr" r="B77">
        <is>
          <t xml:space="preserve">Must Sell Market with Beer &amp; Wine, Lotto, EBT ATM &amp; more</t>
        </is>
      </c>
      <c r="C77" s="63">
        <v>75000</v>
      </c>
      <c r="D77" s="63">
        <v>3778500</v>
      </c>
      <c t="inlineStr" r="E77">
        <is>
          <t xml:space="preserve">California</t>
        </is>
      </c>
      <c r="F77" s="65">
        <v>0</v>
      </c>
      <c r="G77" s="65">
        <v>0</v>
      </c>
      <c t="inlineStr" r="H77">
        <is>
          <t xml:space="preserve">Retail Trade</t>
        </is>
      </c>
      <c t="inlineStr" r="I77">
        <is>
          <t xml:space="preserve">Food and Beverage Stores</t>
        </is>
      </c>
      <c t="inlineStr" r="L77">
        <is>
          <t xml:space="preserve">-----</t>
        </is>
      </c>
    </row>
    <row r="78">
      <c t="str" r="A78" s="4">
        <f>HYPERLINK("https://linkbusiness.com/businesses-for-sale/LA04232/Popular-Franchise-Sandwich-Business-For-Sale-in-San-Diego-County!","LA04232")</f>
      </c>
      <c t="inlineStr" r="B78">
        <is>
          <t xml:space="preserve">Popular Franchise Sandwich Business For Sale in San Diego County!</t>
        </is>
      </c>
      <c r="C78" s="63">
        <v>85000</v>
      </c>
      <c r="D78" s="63">
        <v>4282300</v>
      </c>
      <c t="inlineStr" r="E78">
        <is>
          <t xml:space="preserve">San Diego County</t>
        </is>
      </c>
      <c r="F78" s="65">
        <v>0</v>
      </c>
      <c r="G78" s="65">
        <v>0</v>
      </c>
      <c t="inlineStr" r="H78">
        <is>
          <t xml:space="preserve">Restaurant</t>
        </is>
      </c>
      <c t="inlineStr" r="I78">
        <is>
          <t xml:space="preserve">Food Services and Drinking Places</t>
        </is>
      </c>
      <c t="inlineStr" r="L78">
        <is>
          <t xml:space="preserve">-----</t>
        </is>
      </c>
    </row>
    <row r="79">
      <c t="str" r="A79" s="4">
        <f>HYPERLINK("https://linkbusiness.com/businesses-for-sale/LA04236/Gunsmith-for-sale","LA04236")</f>
      </c>
      <c t="inlineStr" r="B79">
        <is>
          <t xml:space="preserve">Gunsmith for sale</t>
        </is>
      </c>
      <c r="C79" s="63">
        <v>290000</v>
      </c>
      <c r="D79" s="63">
        <v>14610200</v>
      </c>
      <c t="inlineStr" r="E79">
        <is>
          <t xml:space="preserve">-----</t>
        </is>
      </c>
      <c r="F79" s="65">
        <v>0</v>
      </c>
      <c r="G79" s="65">
        <v>0</v>
      </c>
      <c t="inlineStr" r="H79">
        <is>
          <t xml:space="preserve">&lt;none&gt;</t>
        </is>
      </c>
      <c t="inlineStr" r="I79">
        <is>
          <t xml:space="preserve">&lt;none&gt;</t>
        </is>
      </c>
      <c t="inlineStr" r="L79">
        <is>
          <t xml:space="preserve">-----</t>
        </is>
      </c>
    </row>
    <row r="80">
      <c t="str" r="A80" s="4">
        <f>HYPERLINK("https://linkbusiness.com/businesses-for-sale/LA04239/Limo-Service-in-NoCal%2c-Owner%e2%80%99s-profit-%24260%2c000-is-genuine-net-profit-for-a-new-owner%ef%bc%81","LA04239")</f>
      </c>
      <c t="inlineStr" r="B80">
        <is>
          <t xml:space="preserve">Limo Service in NoCal, Owner’s profit $260,000 is genuine net profit for a new owner！</t>
        </is>
      </c>
      <c r="C80" s="63">
        <v>670000</v>
      </c>
      <c r="D80" s="63">
        <v>33754600</v>
      </c>
      <c t="inlineStr" r="E80">
        <is>
          <t xml:space="preserve">California</t>
        </is>
      </c>
      <c r="F80" s="65">
        <v>0</v>
      </c>
      <c r="G80" s="63">
        <v>260000</v>
      </c>
      <c t="inlineStr" r="H80">
        <is>
          <t xml:space="preserve">Other Services (except public administration)</t>
        </is>
      </c>
      <c t="inlineStr" r="I80">
        <is>
          <t xml:space="preserve">Limousines for hire with driver (except taxis)</t>
        </is>
      </c>
      <c t="inlineStr" r="J80">
        <is>
          <t xml:space="preserve">Nobuko Isoda</t>
        </is>
      </c>
      <c t="inlineStr" r="L80">
        <is>
          <t xml:space="preserve">-----</t>
        </is>
      </c>
    </row>
    <row r="81">
      <c t="str" r="A81" s="4">
        <f>HYPERLINK("https://linkbusiness.com/businesses-for-sale/LA04249/Sought-After-30-Year-Property-Management-Business-in-LA-County","LA04249")</f>
      </c>
      <c t="inlineStr" r="B81">
        <is>
          <t xml:space="preserve">Sought After 30 Year Property Management Business in LA County</t>
        </is>
      </c>
      <c r="C81" s="63">
        <v>195000</v>
      </c>
      <c r="D81" s="63">
        <v>9824100</v>
      </c>
      <c t="inlineStr" r="E81">
        <is>
          <t xml:space="preserve">Southern California</t>
        </is>
      </c>
      <c r="F81" s="65">
        <v>0</v>
      </c>
      <c r="G81" s="65">
        <v>0</v>
      </c>
      <c t="inlineStr" r="H81">
        <is>
          <t xml:space="preserve">Real Estate and Rental &amp; Leasing</t>
        </is>
      </c>
      <c t="inlineStr" r="I81">
        <is>
          <t xml:space="preserve">Rental and Leasing Services</t>
        </is>
      </c>
      <c t="inlineStr" r="L81">
        <is>
          <t xml:space="preserve">-----</t>
        </is>
      </c>
    </row>
    <row r="82">
      <c t="str" r="A82" s="4">
        <f>HYPERLINK("https://linkbusiness.com/businesses-for-sale/LA04253/Absentee-run-Hamburger-Shop","LA04253")</f>
      </c>
      <c t="inlineStr" r="B82">
        <is>
          <t xml:space="preserve">Absentee run Hamburger Shop</t>
        </is>
      </c>
      <c r="C82" s="63">
        <v>195000</v>
      </c>
      <c r="D82" s="63">
        <v>9824100</v>
      </c>
      <c t="inlineStr" r="E82">
        <is>
          <t xml:space="preserve">California</t>
        </is>
      </c>
      <c r="F82" s="65">
        <v>0</v>
      </c>
      <c r="G82" s="65">
        <v>0</v>
      </c>
      <c t="inlineStr" r="H82">
        <is>
          <t xml:space="preserve">Restaurant</t>
        </is>
      </c>
      <c t="inlineStr" r="I82">
        <is>
          <t xml:space="preserve">Food Services and Drinking Places</t>
        </is>
      </c>
      <c t="inlineStr" r="L82">
        <is>
          <t xml:space="preserve">-----</t>
        </is>
      </c>
    </row>
    <row r="83">
      <c t="str" r="A83" s="4">
        <f>HYPERLINK("https://linkbusiness.com/businesses-for-sale/LA04257/Denny%27s-in-LA-County-recently-remodeled","LA04257")</f>
      </c>
      <c t="inlineStr" r="B83">
        <is>
          <t xml:space="preserve">Denny's in LA County recently remodeled</t>
        </is>
      </c>
      <c r="C83" s="65">
        <v>0</v>
      </c>
      <c r="D83" s="65">
        <v>0</v>
      </c>
      <c t="inlineStr" r="E83">
        <is>
          <t xml:space="preserve">California</t>
        </is>
      </c>
      <c r="F83" s="65">
        <v>0</v>
      </c>
      <c r="G83" s="65">
        <v>0</v>
      </c>
      <c t="inlineStr" r="H83">
        <is>
          <t xml:space="preserve">Restaurant</t>
        </is>
      </c>
      <c t="inlineStr" r="I83">
        <is>
          <t xml:space="preserve">Food Services and Drinking Places</t>
        </is>
      </c>
      <c t="inlineStr" r="J83">
        <is>
          <t xml:space="preserve">Joe Khoury</t>
        </is>
      </c>
      <c t="inlineStr" r="L83">
        <is>
          <t xml:space="preserve">Refer to Broker</t>
        </is>
      </c>
    </row>
    <row r="84">
      <c t="str" r="A84" s="4">
        <f>HYPERLINK("https://linkbusiness.com/businesses-for-sale/LA0426/","LA0426")</f>
      </c>
      <c t="inlineStr" r="B84">
        <is>
          <t xml:space="preserve">&lt;none&gt;</t>
        </is>
      </c>
      <c r="C84" s="63">
        <v>1395000</v>
      </c>
      <c r="D84" s="63">
        <v>70280100</v>
      </c>
      <c t="inlineStr" r="E84">
        <is>
          <t xml:space="preserve">-----</t>
        </is>
      </c>
      <c r="F84" s="65">
        <v>0</v>
      </c>
      <c r="G84" s="65">
        <v>0</v>
      </c>
      <c t="inlineStr" r="H84">
        <is>
          <t xml:space="preserve">&lt;none&gt;</t>
        </is>
      </c>
      <c t="inlineStr" r="I84">
        <is>
          <t xml:space="preserve">&lt;none&gt;</t>
        </is>
      </c>
      <c t="inlineStr" r="L84">
        <is>
          <t xml:space="preserve">-----</t>
        </is>
      </c>
    </row>
    <row r="85">
      <c t="str" r="A85" s="4">
        <f>HYPERLINK("https://linkbusiness.com/businesses-for-sale/LA04263/Denny%27s-grossing-%2438MM-LA-County-(2)","LA04263")</f>
      </c>
      <c t="inlineStr" r="B85">
        <is>
          <t xml:space="preserve">Denny's grossing $3.8MM LA County (2)</t>
        </is>
      </c>
      <c r="C85" s="63">
        <v>3200000</v>
      </c>
      <c r="D85" s="63">
        <v>161216000</v>
      </c>
      <c t="inlineStr" r="E85">
        <is>
          <t xml:space="preserve">California</t>
        </is>
      </c>
      <c r="F85" s="65">
        <v>0</v>
      </c>
      <c r="G85" s="63">
        <v>698827</v>
      </c>
      <c t="inlineStr" r="H85">
        <is>
          <t xml:space="preserve">Restaurant</t>
        </is>
      </c>
      <c t="inlineStr" r="I85">
        <is>
          <t xml:space="preserve">Food Services and Drinking Places</t>
        </is>
      </c>
      <c t="inlineStr" r="J85">
        <is>
          <t xml:space="preserve">Joe Khoury</t>
        </is>
      </c>
      <c t="inlineStr" r="L85">
        <is>
          <t xml:space="preserve">-----</t>
        </is>
      </c>
    </row>
    <row r="86">
      <c t="str" r="A86" s="4">
        <f>HYPERLINK("https://linkbusiness.com/businesses-for-sale/LA04266/35-Years-Old%2c-Long-Established-Pet-Grooming-Business-For-Sale-In-Los-Angeles-County!","LA04266")</f>
      </c>
      <c t="inlineStr" r="B86">
        <is>
          <t xml:space="preserve">35 Years Old, Long Established Pet Grooming Business For Sale In Los Angeles County!</t>
        </is>
      </c>
      <c r="C86" s="63">
        <v>35000</v>
      </c>
      <c r="D86" s="63">
        <v>1763300</v>
      </c>
      <c t="inlineStr" r="E86">
        <is>
          <t xml:space="preserve">Los Angeles County</t>
        </is>
      </c>
      <c r="F86" s="65">
        <v>0</v>
      </c>
      <c r="G86" s="65">
        <v>0</v>
      </c>
      <c t="inlineStr" r="H86">
        <is>
          <t xml:space="preserve">Other Services (except public administration)</t>
        </is>
      </c>
      <c t="inlineStr" r="I86">
        <is>
          <t xml:space="preserve">Personal Care Services</t>
        </is>
      </c>
      <c t="inlineStr" r="L86">
        <is>
          <t xml:space="preserve">-----</t>
        </is>
      </c>
    </row>
    <row r="87">
      <c t="str" r="A87" s="4">
        <f>HYPERLINK("https://linkbusiness.com/businesses-for-sale/LA04270/Spa-Service-CompanySOLD","LA04270")</f>
      </c>
      <c t="inlineStr" r="B87">
        <is>
          <t xml:space="preserve">Spa Service Company.....SOLD</t>
        </is>
      </c>
      <c r="C87" s="63">
        <v>30000</v>
      </c>
      <c r="D87" s="63">
        <v>1511400</v>
      </c>
      <c t="inlineStr" r="E87">
        <is>
          <t xml:space="preserve">-----</t>
        </is>
      </c>
      <c r="F87" s="65">
        <v>0</v>
      </c>
      <c r="G87" s="63">
        <v>30000</v>
      </c>
      <c t="inlineStr" r="H87">
        <is>
          <t xml:space="preserve">Other Services (except public administration)</t>
        </is>
      </c>
      <c t="inlineStr" r="I87">
        <is>
          <t xml:space="preserve">&lt;none&gt;</t>
        </is>
      </c>
      <c t="inlineStr" r="L87">
        <is>
          <t xml:space="preserve">-----</t>
        </is>
      </c>
    </row>
    <row r="88">
      <c t="str" r="A88" s="4">
        <f>HYPERLINK("https://linkbusiness.com/businesses-for-sale/LA04272/Profitable-Self-Serve-DIY-Auto-Repair-and-Hobby-Shop-for-Auto-Enthusiasts!","LA04272")</f>
      </c>
      <c t="inlineStr" r="B88">
        <is>
          <t xml:space="preserve">Profitable Self Serve DIY Auto Repair and Hobby Shop for Auto Enthusiasts!</t>
        </is>
      </c>
      <c r="C88" s="63">
        <v>175000</v>
      </c>
      <c r="D88" s="63">
        <v>8816500</v>
      </c>
      <c t="inlineStr" r="E88">
        <is>
          <t xml:space="preserve">-----</t>
        </is>
      </c>
      <c r="F88" s="65">
        <v>0</v>
      </c>
      <c r="G88" s="63">
        <v>80243</v>
      </c>
      <c t="inlineStr" r="H88">
        <is>
          <t xml:space="preserve">Retail Trade</t>
        </is>
      </c>
      <c t="inlineStr" r="I88">
        <is>
          <t xml:space="preserve">&lt;none&gt;</t>
        </is>
      </c>
      <c t="inlineStr" r="J88">
        <is>
          <t xml:space="preserve">Rolf Danryd</t>
        </is>
      </c>
      <c t="inlineStr" r="L88">
        <is>
          <t xml:space="preserve">Includes $ 80,000.00 worth of tools.</t>
        </is>
      </c>
    </row>
    <row r="89">
      <c t="str" r="A89" s="4">
        <f>HYPERLINK("https://linkbusiness.com/businesses-for-sale/LA04293/SOLDTruck-Terminal","LA04293")</f>
      </c>
      <c t="inlineStr" r="B89">
        <is>
          <t xml:space="preserve">SOLD......Truck Terminal</t>
        </is>
      </c>
      <c r="C89" s="63">
        <v>1750000</v>
      </c>
      <c r="D89" s="63">
        <v>88165000</v>
      </c>
      <c t="inlineStr" r="E89">
        <is>
          <t xml:space="preserve">Los Angeles County</t>
        </is>
      </c>
      <c r="F89" s="65">
        <v>0</v>
      </c>
      <c r="G89" s="63">
        <v>576500</v>
      </c>
      <c t="inlineStr" r="H89">
        <is>
          <t xml:space="preserve">Transportation &amp; Warehousing</t>
        </is>
      </c>
      <c t="inlineStr" r="I89">
        <is>
          <t xml:space="preserve">Truck stops</t>
        </is>
      </c>
      <c t="inlineStr" r="L89">
        <is>
          <t xml:space="preserve">-----</t>
        </is>
      </c>
    </row>
    <row r="90">
      <c t="str" r="A90" s="4">
        <f>HYPERLINK("https://linkbusiness.com/businesses-for-sale/LA04298/Home-Delivery-Business-SOLD","LA04298")</f>
      </c>
      <c t="inlineStr" r="B90">
        <is>
          <t xml:space="preserve">Home Delivery Business SOLD</t>
        </is>
      </c>
      <c r="C90" s="63">
        <v>70000</v>
      </c>
      <c r="D90" s="63">
        <v>3526600</v>
      </c>
      <c t="inlineStr" r="E90">
        <is>
          <t xml:space="preserve">Orange County</t>
        </is>
      </c>
      <c r="F90" s="65">
        <v>0</v>
      </c>
      <c r="G90" s="63">
        <v>34000</v>
      </c>
      <c t="inlineStr" r="H90">
        <is>
          <t xml:space="preserve">Transportation &amp; Warehousing</t>
        </is>
      </c>
      <c t="inlineStr" r="I90">
        <is>
          <t xml:space="preserve">Milk hauling, local</t>
        </is>
      </c>
      <c t="inlineStr" r="L90">
        <is>
          <t xml:space="preserve">-----</t>
        </is>
      </c>
    </row>
    <row r="91">
      <c t="str" r="A91" s="4">
        <f>HYPERLINK("https://linkbusiness.com/businesses-for-sale/LA04306/Pre-Cast-%26-Cast-Stone-Manufacturer-SOLD","LA04306")</f>
      </c>
      <c t="inlineStr" r="B91">
        <is>
          <t xml:space="preserve">Pre Cast &amp; Cast Stone Manufacturer... SOLD</t>
        </is>
      </c>
      <c r="C91" s="63">
        <v>400000</v>
      </c>
      <c r="D91" s="63">
        <v>20152000</v>
      </c>
      <c t="inlineStr" r="E91">
        <is>
          <t xml:space="preserve">California</t>
        </is>
      </c>
      <c r="F91" s="65">
        <v>0</v>
      </c>
      <c r="G91" s="63">
        <v>201000</v>
      </c>
      <c t="inlineStr" r="H91">
        <is>
          <t xml:space="preserve">Construction</t>
        </is>
      </c>
      <c t="inlineStr" r="I91">
        <is>
          <t xml:space="preserve">&lt;none&gt;</t>
        </is>
      </c>
      <c t="inlineStr" r="L91">
        <is>
          <t xml:space="preserve">-----</t>
        </is>
      </c>
    </row>
    <row r="92">
      <c t="str" r="A92" s="4">
        <f>HYPERLINK("https://linkbusiness.com/businesses-for-sale/LA04308/Auto-repair-and-Autobody-shop-on-major-corner-in-Long-Beach","LA04308")</f>
      </c>
      <c t="inlineStr" r="B92">
        <is>
          <t xml:space="preserve">Auto repair and Autobody shop on major corner in Long Beach</t>
        </is>
      </c>
      <c r="C92" s="63">
        <v>300000</v>
      </c>
      <c r="D92" s="63">
        <v>15114000</v>
      </c>
      <c t="inlineStr" r="E92">
        <is>
          <t xml:space="preserve">California</t>
        </is>
      </c>
      <c r="F92" s="65">
        <v>0</v>
      </c>
      <c r="G92" s="65">
        <v>0</v>
      </c>
      <c t="inlineStr" r="H92">
        <is>
          <t xml:space="preserve">Retail Trade</t>
        </is>
      </c>
      <c t="inlineStr" r="I92">
        <is>
          <t xml:space="preserve">&lt;none&gt;</t>
        </is>
      </c>
      <c t="inlineStr" r="J92">
        <is>
          <t xml:space="preserve">Ved Sajnani</t>
        </is>
      </c>
      <c t="inlineStr" r="L92">
        <is>
          <t xml:space="preserve">-----</t>
        </is>
      </c>
    </row>
    <row r="93">
      <c t="str" r="A93" s="4">
        <f>HYPERLINK("https://linkbusiness.com/businesses-for-sale/LA04310/Successful-and-profitable-home-cleaning-and-janitorial","LA04310")</f>
      </c>
      <c t="inlineStr" r="B93">
        <is>
          <t xml:space="preserve">Successful and profitable home cleaning and janitorial</t>
        </is>
      </c>
      <c r="C93" s="63">
        <v>295000</v>
      </c>
      <c r="D93" s="63">
        <v>14862100</v>
      </c>
      <c t="inlineStr" r="E93">
        <is>
          <t xml:space="preserve">Orange County</t>
        </is>
      </c>
      <c r="F93" s="65">
        <v>0</v>
      </c>
      <c r="G93" s="63">
        <v>138000</v>
      </c>
      <c t="inlineStr" r="H93">
        <is>
          <t xml:space="preserve">Administrative &amp; Support &amp; Waste Management &amp; Remediation Services</t>
        </is>
      </c>
      <c t="inlineStr" r="I93">
        <is>
          <t xml:space="preserve">&lt;none&gt;</t>
        </is>
      </c>
      <c t="inlineStr" r="J93">
        <is>
          <t xml:space="preserve">Jim Moazez</t>
        </is>
      </c>
      <c t="inlineStr" r="L93">
        <is>
          <t xml:space="preserve">-----</t>
        </is>
      </c>
    </row>
    <row r="94">
      <c t="str" r="A94" s="4">
        <f>HYPERLINK("https://linkbusiness.com/businesses-for-sale/LA04315/Long-Established-Sports-Bar-SOLD","LA04315")</f>
      </c>
      <c t="inlineStr" r="B94">
        <is>
          <t xml:space="preserve">Long Established Sports Bar SOLD</t>
        </is>
      </c>
      <c r="C94" s="63">
        <v>275000</v>
      </c>
      <c r="D94" s="63">
        <v>13854500</v>
      </c>
      <c t="inlineStr" r="E94">
        <is>
          <t xml:space="preserve">California</t>
        </is>
      </c>
      <c r="F94" s="65">
        <v>0</v>
      </c>
      <c r="G94" s="63">
        <v>136800</v>
      </c>
      <c t="inlineStr" r="H94">
        <is>
          <t xml:space="preserve">Restaurant</t>
        </is>
      </c>
      <c t="inlineStr" r="I94">
        <is>
          <t xml:space="preserve">Food Services and Drinking Places</t>
        </is>
      </c>
      <c t="inlineStr" r="L94">
        <is>
          <t xml:space="preserve">-----</t>
        </is>
      </c>
    </row>
    <row r="95">
      <c t="str" r="A95" s="4">
        <f>HYPERLINK("https://linkbusiness.com/businesses-for-sale/LA04317/SOLD!!-WLA-Newly-Established-Pizza-Shop","LA04317")</f>
      </c>
      <c t="inlineStr" r="B95">
        <is>
          <t xml:space="preserve">SOLD!! WLA Newly Established Pizza Shop</t>
        </is>
      </c>
      <c r="C95" s="63">
        <v>180000</v>
      </c>
      <c r="D95" s="63">
        <v>9068400</v>
      </c>
      <c t="inlineStr" r="E95">
        <is>
          <t xml:space="preserve">California</t>
        </is>
      </c>
      <c r="F95" s="65">
        <v>0</v>
      </c>
      <c r="G95" s="65">
        <v>0</v>
      </c>
      <c t="inlineStr" r="H95">
        <is>
          <t xml:space="preserve">Restaurant</t>
        </is>
      </c>
      <c t="inlineStr" r="I95">
        <is>
          <t xml:space="preserve">Food Services and Drinking Places</t>
        </is>
      </c>
      <c t="inlineStr" r="L95">
        <is>
          <t xml:space="preserve">-----</t>
        </is>
      </c>
    </row>
    <row r="96">
      <c t="str" r="A96" s="4">
        <f>HYPERLINK("https://linkbusiness.com/businesses-for-sale/LA04326/Franchise-Education-Business-SOLD-in-Beautiful-South-Bay!","LA04326")</f>
      </c>
      <c t="inlineStr" r="B96">
        <is>
          <t xml:space="preserve">Franchise Education Business SOLD in Beautiful South Bay!</t>
        </is>
      </c>
      <c r="C96" s="63">
        <v>149000</v>
      </c>
      <c r="D96" s="63">
        <v>7506620</v>
      </c>
      <c t="inlineStr" r="E96">
        <is>
          <t xml:space="preserve">Los Angeles County</t>
        </is>
      </c>
      <c r="F96" s="65">
        <v>0</v>
      </c>
      <c r="G96" s="63">
        <v>66296</v>
      </c>
      <c t="inlineStr" r="H96">
        <is>
          <t xml:space="preserve">Educational Services</t>
        </is>
      </c>
      <c t="inlineStr" r="I96">
        <is>
          <t xml:space="preserve">&lt;none&gt;</t>
        </is>
      </c>
      <c t="inlineStr" r="L96">
        <is>
          <t xml:space="preserve">-----</t>
        </is>
      </c>
    </row>
    <row r="97">
      <c t="str" r="A97" s="4">
        <f>HYPERLINK("https://linkbusiness.com/businesses-for-sale/LA04330/Long-Established-Injection-Molds-Manufacturing-Business-For-Sale!","LA04330")</f>
      </c>
      <c t="inlineStr" r="B97">
        <is>
          <t xml:space="preserve">Long Established Injection Molds Manufacturing Business For Sale!</t>
        </is>
      </c>
      <c r="C97" s="63">
        <v>500000</v>
      </c>
      <c r="D97" s="63">
        <v>25190000</v>
      </c>
      <c t="inlineStr" r="E97">
        <is>
          <t xml:space="preserve">San Bernardino County</t>
        </is>
      </c>
      <c r="F97" s="65">
        <v>0</v>
      </c>
      <c r="G97" s="63">
        <v>181297</v>
      </c>
      <c t="inlineStr" r="H97">
        <is>
          <t xml:space="preserve">Manufacturing</t>
        </is>
      </c>
      <c t="inlineStr" r="I97">
        <is>
          <t xml:space="preserve">Plastics and Rubber Products Manufacturing</t>
        </is>
      </c>
      <c t="inlineStr" r="L97">
        <is>
          <t xml:space="preserve">-----</t>
        </is>
      </c>
    </row>
    <row r="98">
      <c t="str" r="A98" s="4">
        <f>HYPERLINK("https://linkbusiness.com/businesses-for-sale/LA04341/Beautiful-Pizzeria-Absentee-RunSOLD","LA04341")</f>
      </c>
      <c t="inlineStr" r="B98">
        <is>
          <t xml:space="preserve">Beautiful Pizzeria Absentee Run....SOLD</t>
        </is>
      </c>
      <c r="C98" s="63">
        <v>85000</v>
      </c>
      <c r="D98" s="63">
        <v>4282300</v>
      </c>
      <c t="inlineStr" r="E98">
        <is>
          <t xml:space="preserve">California</t>
        </is>
      </c>
      <c r="F98" s="65">
        <v>0</v>
      </c>
      <c r="G98" s="63">
        <v>60000</v>
      </c>
      <c t="inlineStr" r="H98">
        <is>
          <t xml:space="preserve">Restaurant</t>
        </is>
      </c>
      <c t="inlineStr" r="I98">
        <is>
          <t xml:space="preserve">Pizza delivery shops</t>
        </is>
      </c>
      <c t="inlineStr" r="L98">
        <is>
          <t xml:space="preserve">-----</t>
        </is>
      </c>
    </row>
    <row r="99">
      <c t="str" r="A99" s="4">
        <f>HYPERLINK("https://linkbusiness.com/businesses-for-sale/LA04343/Profitable-%26-Rewarding-Franchise-Education-In-West-LA!","LA04343")</f>
      </c>
      <c t="inlineStr" r="B99">
        <is>
          <t xml:space="preserve">Profitable &amp; Rewarding Franchise Education In West LA!</t>
        </is>
      </c>
      <c r="C99" s="63">
        <v>397000</v>
      </c>
      <c r="D99" s="63">
        <v>20000860</v>
      </c>
      <c t="inlineStr" r="E99">
        <is>
          <t xml:space="preserve">Los Angeles County</t>
        </is>
      </c>
      <c r="F99" s="65">
        <v>0</v>
      </c>
      <c r="G99" s="63">
        <v>180311</v>
      </c>
      <c t="inlineStr" r="H99">
        <is>
          <t xml:space="preserve">Educational Services</t>
        </is>
      </c>
      <c t="inlineStr" r="I99">
        <is>
          <t xml:space="preserve">Educational Services (Level 3)</t>
        </is>
      </c>
      <c t="inlineStr" r="L99">
        <is>
          <t xml:space="preserve">-----</t>
        </is>
      </c>
    </row>
    <row r="100">
      <c t="str" r="A100" s="4">
        <f>HYPERLINK("https://linkbusiness.com/businesses-for-sale/LA04345/Top-Franchise-Children%e2%80%99s-Education-For-Sale-In-Long-Beach!","LA04345")</f>
      </c>
      <c t="inlineStr" r="B100">
        <is>
          <t xml:space="preserve">Top Franchise Children’s Education For Sale In Long Beach!</t>
        </is>
      </c>
      <c r="C100" s="63">
        <v>277000</v>
      </c>
      <c r="D100" s="63">
        <v>13955260</v>
      </c>
      <c t="inlineStr" r="E100">
        <is>
          <t xml:space="preserve">Los Angeles County</t>
        </is>
      </c>
      <c r="F100" s="65">
        <v>0</v>
      </c>
      <c r="G100" s="63">
        <v>154400</v>
      </c>
      <c t="inlineStr" r="H100">
        <is>
          <t xml:space="preserve">Educational Services</t>
        </is>
      </c>
      <c t="inlineStr" r="I100">
        <is>
          <t xml:space="preserve">Educational Services (Level 3)</t>
        </is>
      </c>
      <c t="inlineStr" r="J100">
        <is>
          <t xml:space="preserve">Susie Kang</t>
        </is>
      </c>
      <c t="inlineStr" r="L100">
        <is>
          <t xml:space="preserve">-----</t>
        </is>
      </c>
    </row>
    <row r="101">
      <c t="str" r="A101" s="4">
        <f>HYPERLINK("https://linkbusiness.com/businesses-for-sale/LA04349/High-Volume-Fast-Food-Restaurant-with-drive-thru-OC","LA04349")</f>
      </c>
      <c t="inlineStr" r="B101">
        <is>
          <t xml:space="preserve">High Volume Fast Food Restaurant with drive thru OC</t>
        </is>
      </c>
      <c r="C101" s="63">
        <v>595000</v>
      </c>
      <c r="D101" s="63">
        <v>29976100</v>
      </c>
      <c t="inlineStr" r="E101">
        <is>
          <t xml:space="preserve">California</t>
        </is>
      </c>
      <c r="F101" s="65">
        <v>0</v>
      </c>
      <c r="G101" s="63">
        <v>180000</v>
      </c>
      <c t="inlineStr" r="H101">
        <is>
          <t xml:space="preserve">Restaurant</t>
        </is>
      </c>
      <c t="inlineStr" r="I101">
        <is>
          <t xml:space="preserve">Food Services and Drinking Places</t>
        </is>
      </c>
      <c t="inlineStr" r="J101">
        <is>
          <t xml:space="preserve">Paul Suh</t>
        </is>
      </c>
      <c t="inlineStr" r="L101">
        <is>
          <t xml:space="preserve">-----</t>
        </is>
      </c>
    </row>
    <row r="102">
      <c t="str" r="A102" s="4">
        <f>HYPERLINK("https://linkbusiness.com/businesses-for-sale/LA04350/Unique-Manufacturing-Printing-Business-SOLD","LA04350")</f>
      </c>
      <c t="inlineStr" r="B102">
        <is>
          <t xml:space="preserve">Unique Manufacturing Printing Business SOLD</t>
        </is>
      </c>
      <c r="C102" s="63">
        <v>200000</v>
      </c>
      <c r="D102" s="63">
        <v>10076000</v>
      </c>
      <c t="inlineStr" r="E102">
        <is>
          <t xml:space="preserve">United States of America (USA)</t>
        </is>
      </c>
      <c r="F102" s="65">
        <v>0</v>
      </c>
      <c r="G102" s="65">
        <v>0</v>
      </c>
      <c t="inlineStr" r="H102">
        <is>
          <t xml:space="preserve">Manufacturing</t>
        </is>
      </c>
      <c t="inlineStr" r="I102">
        <is>
          <t xml:space="preserve">Printing and Related Support Activities</t>
        </is>
      </c>
      <c t="inlineStr" r="L102">
        <is>
          <t xml:space="preserve">-----</t>
        </is>
      </c>
    </row>
    <row r="103">
      <c t="str" r="A103" s="4">
        <f>HYPERLINK("https://linkbusiness.com/businesses-for-sale/LA04357/Brand-New-Animal-Hospital-in-the-San-Gabriel-Valley-area","LA04357")</f>
      </c>
      <c t="inlineStr" r="B103">
        <is>
          <t xml:space="preserve">Brand New Animal Hospital in the San Gabriel Valley area</t>
        </is>
      </c>
      <c r="C103" s="63">
        <v>225000</v>
      </c>
      <c r="D103" s="63">
        <v>11335500</v>
      </c>
      <c t="inlineStr" r="E103">
        <is>
          <t xml:space="preserve">California</t>
        </is>
      </c>
      <c r="F103" s="65">
        <v>0</v>
      </c>
      <c r="G103" s="65">
        <v>0</v>
      </c>
      <c t="inlineStr" r="H103">
        <is>
          <t xml:space="preserve">Other Services (except public administration)</t>
        </is>
      </c>
      <c t="inlineStr" r="I103">
        <is>
          <t xml:space="preserve">&lt;none&gt;</t>
        </is>
      </c>
      <c t="inlineStr" r="J103">
        <is>
          <t xml:space="preserve">Ved Sajnani</t>
        </is>
      </c>
      <c t="inlineStr" r="L103">
        <is>
          <t xml:space="preserve">-----</t>
        </is>
      </c>
    </row>
    <row r="104">
      <c t="str" r="A104" s="4">
        <f>HYPERLINK("https://linkbusiness.com/businesses-for-sale/LA04358/WeHo-Sunset-Boulevard-Rest-%26-Bar","LA04358")</f>
      </c>
      <c t="inlineStr" r="B104">
        <is>
          <t xml:space="preserve">WeHo Sunset Boulevard Rest &amp; Bar</t>
        </is>
      </c>
      <c r="C104" s="63">
        <v>495000</v>
      </c>
      <c r="D104" s="63">
        <v>24938100</v>
      </c>
      <c t="inlineStr" r="E104">
        <is>
          <t xml:space="preserve">California</t>
        </is>
      </c>
      <c r="F104" s="65">
        <v>0</v>
      </c>
      <c r="G104" s="65">
        <v>0</v>
      </c>
      <c t="inlineStr" r="H104">
        <is>
          <t xml:space="preserve">Restaurant</t>
        </is>
      </c>
      <c t="inlineStr" r="I104">
        <is>
          <t xml:space="preserve">Food Services and Drinking Places</t>
        </is>
      </c>
      <c t="inlineStr" r="J104">
        <is>
          <t xml:space="preserve">Joe Khoury</t>
        </is>
      </c>
      <c t="inlineStr" r="L104">
        <is>
          <t xml:space="preserve">-----</t>
        </is>
      </c>
    </row>
    <row r="105">
      <c t="str" r="A105" s="4">
        <f>HYPERLINK("https://linkbusiness.com/businesses-for-sale/LA04365/High-Volume-Veterinary-Hospital-with-RE-in-Ventura-county","LA04365")</f>
      </c>
      <c t="inlineStr" r="B105">
        <is>
          <t xml:space="preserve">High Volume Veterinary Hospital with R.E. in Ventura county</t>
        </is>
      </c>
      <c r="C105" s="63">
        <v>600000</v>
      </c>
      <c r="D105" s="63">
        <v>30228000</v>
      </c>
      <c t="inlineStr" r="E105">
        <is>
          <t xml:space="preserve">California</t>
        </is>
      </c>
      <c r="F105" s="65">
        <v>0</v>
      </c>
      <c r="G105" s="63">
        <v>575000</v>
      </c>
      <c t="inlineStr" r="H105">
        <is>
          <t xml:space="preserve">Professional, Scientific and Technical Services</t>
        </is>
      </c>
      <c t="inlineStr" r="I105">
        <is>
          <t xml:space="preserve">&lt;none&gt;</t>
        </is>
      </c>
      <c t="inlineStr" r="J105">
        <is>
          <t xml:space="preserve">Ved Sajnani</t>
        </is>
      </c>
      <c t="inlineStr" r="L105">
        <is>
          <t xml:space="preserve">-----</t>
        </is>
      </c>
    </row>
    <row r="106">
      <c t="str" r="A106" s="4">
        <f>HYPERLINK("https://linkbusiness.com/businesses-for-sale/LA04366/SOLD32-years-old-driving-school","LA04366")</f>
      </c>
      <c t="inlineStr" r="B106">
        <is>
          <t xml:space="preserve">SOLD.........32 years old driving school</t>
        </is>
      </c>
      <c r="C106" s="63">
        <v>150000</v>
      </c>
      <c r="D106" s="63">
        <v>7557000</v>
      </c>
      <c t="inlineStr" r="E106">
        <is>
          <t xml:space="preserve">Los Angeles County</t>
        </is>
      </c>
      <c r="F106" s="65">
        <v>0</v>
      </c>
      <c r="G106" s="63">
        <v>70000</v>
      </c>
      <c t="inlineStr" r="H106">
        <is>
          <t xml:space="preserve">Educational Services</t>
        </is>
      </c>
      <c t="inlineStr" r="I106">
        <is>
          <t xml:space="preserve">Educational Services (Level 3)</t>
        </is>
      </c>
      <c t="inlineStr" r="L106">
        <is>
          <t xml:space="preserve">-----</t>
        </is>
      </c>
    </row>
    <row r="107">
      <c t="str" r="A107" s="4">
        <f>HYPERLINK("https://linkbusiness.com/businesses-for-sale/LA04372/Downey%252fPico-Rivera-Well-established-Mexican-Restaurant-%26-Bar","LA04372")</f>
      </c>
      <c t="inlineStr" r="B107">
        <is>
          <t xml:space="preserve">Downey/Pico Rivera Well established Mexican Restaurant &amp; Bar</t>
        </is>
      </c>
      <c r="C107" s="63">
        <v>125000</v>
      </c>
      <c r="D107" s="63">
        <v>6297500</v>
      </c>
      <c t="inlineStr" r="E107">
        <is>
          <t xml:space="preserve">California</t>
        </is>
      </c>
      <c r="F107" s="65">
        <v>0</v>
      </c>
      <c r="G107" s="65">
        <v>0</v>
      </c>
      <c t="inlineStr" r="H107">
        <is>
          <t xml:space="preserve">Restaurant</t>
        </is>
      </c>
      <c t="inlineStr" r="I107">
        <is>
          <t xml:space="preserve">&lt;none&gt;</t>
        </is>
      </c>
      <c t="inlineStr" r="L107">
        <is>
          <t xml:space="preserve">-----</t>
        </is>
      </c>
    </row>
    <row r="108">
      <c t="str" r="A108" s="4">
        <f>HYPERLINK("https://linkbusiness.com/businesses-for-sale/LA04374/WLA-Pizzeria-with-Beer-%26-Wine-with-excellent-traffic","LA04374")</f>
      </c>
      <c t="inlineStr" r="B108">
        <is>
          <t xml:space="preserve">WLA Pizzeria with Beer &amp; Wine with excellent traffic</t>
        </is>
      </c>
      <c r="C108" s="63">
        <v>299000</v>
      </c>
      <c r="D108" s="63">
        <v>15063620</v>
      </c>
      <c t="inlineStr" r="E108">
        <is>
          <t xml:space="preserve">California</t>
        </is>
      </c>
      <c r="F108" s="65">
        <v>0</v>
      </c>
      <c r="G108" s="65">
        <v>0</v>
      </c>
      <c t="inlineStr" r="H108">
        <is>
          <t xml:space="preserve">Restaurant</t>
        </is>
      </c>
      <c t="inlineStr" r="I108">
        <is>
          <t xml:space="preserve">Food Services and Drinking Places</t>
        </is>
      </c>
      <c t="inlineStr" r="J108">
        <is>
          <t xml:space="preserve">Joe Khoury</t>
        </is>
      </c>
      <c t="inlineStr" r="L108">
        <is>
          <t xml:space="preserve">-----</t>
        </is>
      </c>
    </row>
    <row r="109">
      <c t="str" r="A109" s="4">
        <f>HYPERLINK("https://linkbusiness.com/businesses-for-sale/LA04377/SOLD-Highly-Successful-Franchise-Restaurant-In-San-Bernardino!","LA04377")</f>
      </c>
      <c t="inlineStr" r="B109">
        <is>
          <t xml:space="preserve">SOLD ...Highly Successful Franchise Restaurant In San Bernardino!</t>
        </is>
      </c>
      <c r="C109" s="63">
        <v>119000</v>
      </c>
      <c r="D109" s="63">
        <v>5995220</v>
      </c>
      <c t="inlineStr" r="E109">
        <is>
          <t xml:space="preserve">San Bernardino County</t>
        </is>
      </c>
      <c r="F109" s="65">
        <v>0</v>
      </c>
      <c r="G109" s="63">
        <v>75000</v>
      </c>
      <c t="inlineStr" r="H109">
        <is>
          <t xml:space="preserve">Restaurant</t>
        </is>
      </c>
      <c t="inlineStr" r="I109">
        <is>
          <t xml:space="preserve">Food Services and Drinking Places</t>
        </is>
      </c>
      <c t="inlineStr" r="L109">
        <is>
          <t xml:space="preserve">-----</t>
        </is>
      </c>
    </row>
    <row r="110">
      <c t="str" r="A110" s="4">
        <f>HYPERLINK("https://linkbusiness.com/businesses-for-sale/LA04386/Highly-Profitable-Retail-Jewelry-Store-A-Gem-of-a-Business!","LA04386")</f>
      </c>
      <c t="inlineStr" r="B110">
        <is>
          <t xml:space="preserve">Highly Profitable Retail Jewelry Store. A Gem of a Business!</t>
        </is>
      </c>
      <c r="C110" s="63">
        <v>1350000</v>
      </c>
      <c r="D110" s="63">
        <v>68013000</v>
      </c>
      <c t="inlineStr" r="E110">
        <is>
          <t xml:space="preserve">Orange County</t>
        </is>
      </c>
      <c r="F110" s="65">
        <v>0</v>
      </c>
      <c r="G110" s="63">
        <v>350000</v>
      </c>
      <c t="inlineStr" r="H110">
        <is>
          <t xml:space="preserve">Retail Trade</t>
        </is>
      </c>
      <c t="inlineStr" r="I110">
        <is>
          <t xml:space="preserve">&lt;none&gt;</t>
        </is>
      </c>
      <c t="inlineStr" r="J110">
        <is>
          <t xml:space="preserve">Rolf Danryd</t>
        </is>
      </c>
      <c t="inlineStr" r="L110">
        <is>
          <t xml:space="preserve">-----</t>
        </is>
      </c>
    </row>
    <row r="111">
      <c t="str" r="A111" s="4">
        <f>HYPERLINK("https://linkbusiness.com/businesses-for-sale/LA04397/Extremely-Profitable-Electrical-Contractor-Business","LA04397")</f>
      </c>
      <c t="inlineStr" r="B111">
        <is>
          <t xml:space="preserve">Extremely Profitable Electrical Contractor Business</t>
        </is>
      </c>
      <c r="C111" s="63">
        <v>806000</v>
      </c>
      <c r="D111" s="63">
        <v>40606280</v>
      </c>
      <c t="inlineStr" r="E111">
        <is>
          <t xml:space="preserve">California</t>
        </is>
      </c>
      <c r="F111" s="65">
        <v>0</v>
      </c>
      <c r="G111" s="63">
        <v>403000</v>
      </c>
      <c t="inlineStr" r="H111">
        <is>
          <t xml:space="preserve">Other Services (except public administration)</t>
        </is>
      </c>
      <c t="inlineStr" r="I111">
        <is>
          <t xml:space="preserve">Repair and Maintenance</t>
        </is>
      </c>
      <c t="inlineStr" r="L111">
        <is>
          <t xml:space="preserve">-----</t>
        </is>
      </c>
    </row>
    <row r="112">
      <c t="str" r="A112" s="4">
        <f>HYPERLINK("https://linkbusiness.com/businesses-for-sale/LA04408/Legendary%2c-Iconic%2c-World-Famous-Entertainment-Venue","LA04408")</f>
      </c>
      <c t="inlineStr" r="B112">
        <is>
          <t xml:space="preserve">Legendary, Iconic, World Famous Entertainment Venue</t>
        </is>
      </c>
      <c r="C112" s="65">
        <v>0</v>
      </c>
      <c r="D112" s="65">
        <v>0</v>
      </c>
      <c t="inlineStr" r="E112">
        <is>
          <t xml:space="preserve">Southern California</t>
        </is>
      </c>
      <c r="F112" s="65">
        <v>0</v>
      </c>
      <c r="G112" s="65">
        <v>0</v>
      </c>
      <c t="inlineStr" r="H112">
        <is>
          <t xml:space="preserve">Arts, Entertainment &amp; Recreation</t>
        </is>
      </c>
      <c t="inlineStr" r="I112">
        <is>
          <t xml:space="preserve">Amusement, Gambling, and Recreation Industries</t>
        </is>
      </c>
      <c t="inlineStr" r="L112">
        <is>
          <t xml:space="preserve">Refer to Broker</t>
        </is>
      </c>
    </row>
    <row r="113">
      <c t="str" r="A113" s="4">
        <f>HYPERLINK("https://linkbusiness.com/businesses-for-sale/LA04409/Famous-Diner-SOLD","LA04409")</f>
      </c>
      <c t="inlineStr" r="B113">
        <is>
          <t xml:space="preserve">Famous Diner SOLD</t>
        </is>
      </c>
      <c r="C113" s="63">
        <v>595000</v>
      </c>
      <c r="D113" s="63">
        <v>29976100</v>
      </c>
      <c t="inlineStr" r="E113">
        <is>
          <t xml:space="preserve">California</t>
        </is>
      </c>
      <c r="F113" s="65">
        <v>0</v>
      </c>
      <c r="G113" s="63">
        <v>314000</v>
      </c>
      <c t="inlineStr" r="H113">
        <is>
          <t xml:space="preserve">Restaurant</t>
        </is>
      </c>
      <c t="inlineStr" r="I113">
        <is>
          <t xml:space="preserve">Food Services and Drinking Places</t>
        </is>
      </c>
      <c t="inlineStr" r="L113">
        <is>
          <t xml:space="preserve">-----</t>
        </is>
      </c>
    </row>
    <row r="114">
      <c t="str" r="A114" s="4">
        <f>HYPERLINK("https://linkbusiness.com/businesses-for-sale/LA04410/6-Days%2c-Short-hours-CafeSOLD","LA04410")</f>
      </c>
      <c t="inlineStr" r="B114">
        <is>
          <t xml:space="preserve">6 Days, Short hours Cafe....SOLD</t>
        </is>
      </c>
      <c r="C114" s="63">
        <v>129000</v>
      </c>
      <c r="D114" s="63">
        <v>6499020</v>
      </c>
      <c t="inlineStr" r="E114">
        <is>
          <t xml:space="preserve">Orange County</t>
        </is>
      </c>
      <c r="F114" s="65">
        <v>0</v>
      </c>
      <c r="G114" s="63">
        <v>52000</v>
      </c>
      <c t="inlineStr" r="H114">
        <is>
          <t xml:space="preserve">Restaurant</t>
        </is>
      </c>
      <c t="inlineStr" r="I114">
        <is>
          <t xml:space="preserve">Food Services and Drinking Places</t>
        </is>
      </c>
      <c t="inlineStr" r="L114">
        <is>
          <t xml:space="preserve">-----</t>
        </is>
      </c>
    </row>
    <row r="115">
      <c t="str" r="A115" s="4">
        <f>HYPERLINK("https://linkbusiness.com/businesses-for-sale/LA04416/45-Yelp-Review-Children%e2%80%99s-Indoor-Playground-Business-For-Sale-Near-Beach-City-In-LA-County!","LA04416")</f>
      </c>
      <c t="inlineStr" r="B115">
        <is>
          <t xml:space="preserve">4.5 Yelp Review Children’s Indoor Playground Business For Sale Near Beach City In LA County!</t>
        </is>
      </c>
      <c r="C115" s="63">
        <v>39000</v>
      </c>
      <c r="D115" s="63">
        <v>1964820</v>
      </c>
      <c t="inlineStr" r="E115">
        <is>
          <t xml:space="preserve">Los Angeles County</t>
        </is>
      </c>
      <c r="F115" s="65">
        <v>0</v>
      </c>
      <c r="G115" s="65">
        <v>0</v>
      </c>
      <c t="inlineStr" r="H115">
        <is>
          <t xml:space="preserve">Arts, Entertainment &amp; Recreation</t>
        </is>
      </c>
      <c t="inlineStr" r="I115">
        <is>
          <t xml:space="preserve">&lt;none&gt;</t>
        </is>
      </c>
      <c t="inlineStr" r="J115">
        <is>
          <t xml:space="preserve">Susie Kang</t>
        </is>
      </c>
      <c t="inlineStr" r="L115">
        <is>
          <t xml:space="preserve">-----</t>
        </is>
      </c>
    </row>
    <row r="116">
      <c t="str" r="A116" s="4">
        <f>HYPERLINK("https://linkbusiness.com/businesses-for-sale/LA04417/Auto-Body-shop-in-the-South-Bay-w-8-bays-Incl-2-PAINT-BOOTHS","LA04417")</f>
      </c>
      <c t="inlineStr" r="B116">
        <is>
          <t xml:space="preserve">Auto Body shop in the South Bay w 8 bays Incl. 2 PAINT BOOTHS</t>
        </is>
      </c>
      <c r="C116" s="63">
        <v>299000</v>
      </c>
      <c r="D116" s="63">
        <v>15063620</v>
      </c>
      <c t="inlineStr" r="E116">
        <is>
          <t xml:space="preserve">California</t>
        </is>
      </c>
      <c r="F116" s="65">
        <v>0</v>
      </c>
      <c r="G116" s="63">
        <v>150000</v>
      </c>
      <c t="inlineStr" r="H116">
        <is>
          <t xml:space="preserve">Other Services (except public administration)</t>
        </is>
      </c>
      <c t="inlineStr" r="I116">
        <is>
          <t xml:space="preserve">Repair and Maintenance</t>
        </is>
      </c>
      <c t="inlineStr" r="J116">
        <is>
          <t xml:space="preserve">Jim Moazez</t>
        </is>
      </c>
      <c t="inlineStr" r="K116">
        <is>
          <t xml:space="preserve">Joe Khoury</t>
        </is>
      </c>
      <c t="inlineStr" r="L116">
        <is>
          <t xml:space="preserve">-----</t>
        </is>
      </c>
    </row>
    <row r="117">
      <c t="str" r="A117" s="4">
        <f>HYPERLINK("https://linkbusiness.com/businesses-for-sale/LA04419/Manufacturer-of-FlagsSOLD","LA04419")</f>
      </c>
      <c t="inlineStr" r="B117">
        <is>
          <t xml:space="preserve">Manufacturer of Flags....SOLD</t>
        </is>
      </c>
      <c r="C117" s="63">
        <v>1250000</v>
      </c>
      <c r="D117" s="63">
        <v>62975000</v>
      </c>
      <c t="inlineStr" r="E117">
        <is>
          <t xml:space="preserve">California</t>
        </is>
      </c>
      <c r="F117" s="65">
        <v>0</v>
      </c>
      <c r="G117" s="63">
        <v>443416</v>
      </c>
      <c t="inlineStr" r="H117">
        <is>
          <t xml:space="preserve">Manufacturing</t>
        </is>
      </c>
      <c t="inlineStr" r="I117">
        <is>
          <t xml:space="preserve">Fabricated Metal Product Manufacturing</t>
        </is>
      </c>
      <c t="inlineStr" r="L117">
        <is>
          <t xml:space="preserve">Includes $293,000 inventory, 3 trucks &amp; equipment</t>
        </is>
      </c>
    </row>
    <row r="118">
      <c t="str" r="A118" s="4">
        <f>HYPERLINK("https://linkbusiness.com/businesses-for-sale/LA04420/SOLDSecurity-Fencing-Manufacture-Company","LA04420")</f>
      </c>
      <c t="inlineStr" r="B118">
        <is>
          <t xml:space="preserve">SOLD....Security Fencing Manufacture Company</t>
        </is>
      </c>
      <c r="C118" s="63">
        <v>550000</v>
      </c>
      <c r="D118" s="63">
        <v>27709000</v>
      </c>
      <c t="inlineStr" r="E118">
        <is>
          <t xml:space="preserve">California</t>
        </is>
      </c>
      <c r="F118" s="65">
        <v>0</v>
      </c>
      <c r="G118" s="63">
        <v>307000</v>
      </c>
      <c t="inlineStr" r="H118">
        <is>
          <t xml:space="preserve">Manufacturing</t>
        </is>
      </c>
      <c t="inlineStr" r="I118">
        <is>
          <t xml:space="preserve">Fabricated Metal Product Manufacturing</t>
        </is>
      </c>
      <c t="inlineStr" r="L118">
        <is>
          <t xml:space="preserve">-----</t>
        </is>
      </c>
    </row>
    <row r="119">
      <c t="str" r="A119" s="4">
        <f>HYPERLINK("https://linkbusiness.com/businesses-for-sale/LA04426/SOLD12-year-old-Bodyshop","LA04426")</f>
      </c>
      <c t="inlineStr" r="B119">
        <is>
          <t xml:space="preserve">SOLD...............12 year old Bodyshop</t>
        </is>
      </c>
      <c r="C119" s="63">
        <v>595000</v>
      </c>
      <c r="D119" s="63">
        <v>29976100</v>
      </c>
      <c t="inlineStr" r="E119">
        <is>
          <t xml:space="preserve">-----</t>
        </is>
      </c>
      <c r="F119" s="65">
        <v>0</v>
      </c>
      <c r="G119" s="63">
        <v>350000</v>
      </c>
      <c t="inlineStr" r="H119">
        <is>
          <t xml:space="preserve">Other Services (except public administration)</t>
        </is>
      </c>
      <c t="inlineStr" r="I119">
        <is>
          <t xml:space="preserve">&lt;none&gt;</t>
        </is>
      </c>
      <c t="inlineStr" r="L119">
        <is>
          <t xml:space="preserve">All Cash</t>
        </is>
      </c>
    </row>
    <row r="120">
      <c t="str" r="A120" s="4">
        <f>HYPERLINK("https://linkbusiness.com/businesses-for-sale/LA04428/SOLDATM-Route-Business-with-Long-Term-Contracts","LA04428")</f>
      </c>
      <c t="inlineStr" r="B120">
        <is>
          <t xml:space="preserve">SOLD...............ATM Route Business with Long Term Contracts</t>
        </is>
      </c>
      <c r="C120" s="63">
        <v>325000</v>
      </c>
      <c r="D120" s="63">
        <v>16373500</v>
      </c>
      <c t="inlineStr" r="E120">
        <is>
          <t xml:space="preserve">-----</t>
        </is>
      </c>
      <c r="F120" s="65">
        <v>0</v>
      </c>
      <c r="G120" s="63">
        <v>103000</v>
      </c>
      <c t="inlineStr" r="H120">
        <is>
          <t xml:space="preserve">Other Services (except public administration)</t>
        </is>
      </c>
      <c t="inlineStr" r="I120">
        <is>
          <t xml:space="preserve">&lt;none&gt;</t>
        </is>
      </c>
      <c t="inlineStr" r="L120">
        <is>
          <t xml:space="preserve">-----</t>
        </is>
      </c>
    </row>
    <row r="121">
      <c t="str" r="A121" s="4">
        <f>HYPERLINK("https://linkbusiness.com/businesses-for-sale/LA04431/Dry-Cleaning-Plant-with-property%2c-free-standing%2c-corner-lot%2c-Semi-Absentee","LA04431")</f>
      </c>
      <c t="inlineStr" r="B121">
        <is>
          <t xml:space="preserve">Dry Cleaning Plant with property, free standing, corner lot, Semi Absentee</t>
        </is>
      </c>
      <c r="C121" s="63">
        <v>1750000</v>
      </c>
      <c r="D121" s="63">
        <v>88165000</v>
      </c>
      <c t="inlineStr" r="E121">
        <is>
          <t xml:space="preserve">-----</t>
        </is>
      </c>
      <c r="F121" s="65">
        <v>0</v>
      </c>
      <c r="G121" s="63">
        <v>60000</v>
      </c>
      <c t="inlineStr" r="H121">
        <is>
          <t xml:space="preserve">Other Services (except public administration)</t>
        </is>
      </c>
      <c t="inlineStr" r="I121">
        <is>
          <t xml:space="preserve">&lt;none&gt;</t>
        </is>
      </c>
      <c t="inlineStr" r="J121">
        <is>
          <t xml:space="preserve">Jim Moazez</t>
        </is>
      </c>
      <c t="inlineStr" r="L121">
        <is>
          <t xml:space="preserve">-----</t>
        </is>
      </c>
    </row>
    <row r="122">
      <c t="str" r="A122" s="4">
        <f>HYPERLINK("https://linkbusiness.com/businesses-for-sale/LA04434/SOLD!!Pizzeria","LA04434")</f>
      </c>
      <c t="inlineStr" r="B122">
        <is>
          <t xml:space="preserve">SOLD!!.....Pizzeria</t>
        </is>
      </c>
      <c r="C122" s="63">
        <v>49000</v>
      </c>
      <c r="D122" s="63">
        <v>2468620</v>
      </c>
      <c t="inlineStr" r="E122">
        <is>
          <t xml:space="preserve">-----</t>
        </is>
      </c>
      <c r="F122" s="65">
        <v>0</v>
      </c>
      <c r="G122" s="65">
        <v>0</v>
      </c>
      <c t="inlineStr" r="H122">
        <is>
          <t xml:space="preserve">Restaurant</t>
        </is>
      </c>
      <c t="inlineStr" r="I122">
        <is>
          <t xml:space="preserve">&lt;none&gt;</t>
        </is>
      </c>
      <c t="inlineStr" r="L122">
        <is>
          <t xml:space="preserve">-----</t>
        </is>
      </c>
    </row>
    <row r="123">
      <c t="str" r="A123" s="4">
        <f>HYPERLINK("https://linkbusiness.com/businesses-for-sale/LA04435/Franchise-Sandwich-Shop%2c-A%2b-Location%2c-Seller-Financing","LA04435")</f>
      </c>
      <c t="inlineStr" r="B123">
        <is>
          <t xml:space="preserve">Franchise Sandwich Shop, A+ Location, Seller Financing</t>
        </is>
      </c>
      <c r="C123" s="63">
        <v>169000</v>
      </c>
      <c r="D123" s="63">
        <v>8514220</v>
      </c>
      <c t="inlineStr" r="E123">
        <is>
          <t xml:space="preserve">South Orange County</t>
        </is>
      </c>
      <c r="F123" s="65">
        <v>0</v>
      </c>
      <c r="G123" s="63">
        <v>80000</v>
      </c>
      <c t="inlineStr" r="H123">
        <is>
          <t xml:space="preserve">Franchises</t>
        </is>
      </c>
      <c t="inlineStr" r="I123">
        <is>
          <t xml:space="preserve">&lt;none&gt;</t>
        </is>
      </c>
      <c t="inlineStr" r="J123">
        <is>
          <t xml:space="preserve">Jim Moazez</t>
        </is>
      </c>
      <c t="inlineStr" r="L123">
        <is>
          <t xml:space="preserve">-----</t>
        </is>
      </c>
    </row>
    <row r="124">
      <c t="str" r="A124" s="4">
        <f>HYPERLINK("https://linkbusiness.com/businesses-for-sale/LA0444/","LA0444")</f>
      </c>
      <c t="inlineStr" r="B124">
        <is>
          <t xml:space="preserve">&lt;none&gt;</t>
        </is>
      </c>
      <c r="C124" s="63">
        <v>625000</v>
      </c>
      <c r="D124" s="63">
        <v>31487500</v>
      </c>
      <c t="inlineStr" r="E124">
        <is>
          <t xml:space="preserve">-----</t>
        </is>
      </c>
      <c r="F124" s="65">
        <v>0</v>
      </c>
      <c r="G124" s="65">
        <v>0</v>
      </c>
      <c t="inlineStr" r="H124">
        <is>
          <t xml:space="preserve">Manufacturing</t>
        </is>
      </c>
      <c t="inlineStr" r="I124">
        <is>
          <t xml:space="preserve">&lt;none&gt;</t>
        </is>
      </c>
      <c t="inlineStr" r="L124">
        <is>
          <t xml:space="preserve">-----</t>
        </is>
      </c>
    </row>
    <row r="125">
      <c t="str" r="A125" s="4">
        <f>HYPERLINK("https://linkbusiness.com/businesses-for-sale/LA04442/SOLDSan-Fernando-Valley-Area-Cafe","LA04442")</f>
      </c>
      <c t="inlineStr" r="B125">
        <is>
          <t xml:space="preserve">SOLD.......San Fernando Valley Area Cafe</t>
        </is>
      </c>
      <c r="C125" s="63">
        <v>99000</v>
      </c>
      <c r="D125" s="63">
        <v>4987620</v>
      </c>
      <c t="inlineStr" r="E125">
        <is>
          <t xml:space="preserve">North Los Angeles County</t>
        </is>
      </c>
      <c r="F125" s="65">
        <v>0</v>
      </c>
      <c r="G125" s="65">
        <v>0</v>
      </c>
      <c t="inlineStr" r="H125">
        <is>
          <t xml:space="preserve">Restaurant</t>
        </is>
      </c>
      <c t="inlineStr" r="I125">
        <is>
          <t xml:space="preserve">Food Services and Drinking Places</t>
        </is>
      </c>
      <c t="inlineStr" r="L125">
        <is>
          <t xml:space="preserve">-----</t>
        </is>
      </c>
    </row>
    <row r="126">
      <c t="str" r="A126" s="4">
        <f>HYPERLINK("https://linkbusiness.com/businesses-for-sale/LA04448/High-Volume-Restaurant-Cafe-%2c-Riverside-County","LA04448")</f>
      </c>
      <c t="inlineStr" r="B126">
        <is>
          <t xml:space="preserve">High Volume Restaurant Cafe , Riverside County</t>
        </is>
      </c>
      <c r="C126" s="63">
        <v>699000</v>
      </c>
      <c r="D126" s="63">
        <v>35215620</v>
      </c>
      <c t="inlineStr" r="E126">
        <is>
          <t xml:space="preserve">East Los Angeles County</t>
        </is>
      </c>
      <c r="F126" s="65">
        <v>0</v>
      </c>
      <c r="G126" s="63">
        <v>312000</v>
      </c>
      <c t="inlineStr" r="H126">
        <is>
          <t xml:space="preserve">Restaurant</t>
        </is>
      </c>
      <c t="inlineStr" r="I126">
        <is>
          <t xml:space="preserve">Food Services and Drinking Places</t>
        </is>
      </c>
      <c t="inlineStr" r="L126">
        <is>
          <t xml:space="preserve">-----</t>
        </is>
      </c>
    </row>
    <row r="127">
      <c t="str" r="A127" s="4">
        <f>HYPERLINK("https://linkbusiness.com/businesses-for-sale/LA04456/Animal-Hospital-for-sale-in-Southern-California","LA04456")</f>
      </c>
      <c t="inlineStr" r="B127">
        <is>
          <t xml:space="preserve">Animal Hospital for sale in Southern California</t>
        </is>
      </c>
      <c r="C127" s="63">
        <v>900000</v>
      </c>
      <c r="D127" s="63">
        <v>45342000</v>
      </c>
      <c t="inlineStr" r="E127">
        <is>
          <t xml:space="preserve">California</t>
        </is>
      </c>
      <c r="F127" s="65">
        <v>0</v>
      </c>
      <c r="G127" s="63">
        <v>350000</v>
      </c>
      <c t="inlineStr" r="H127">
        <is>
          <t xml:space="preserve">Professional, Scientific and Technical Services</t>
        </is>
      </c>
      <c t="inlineStr" r="I127">
        <is>
          <t xml:space="preserve">&lt;none&gt;</t>
        </is>
      </c>
      <c t="inlineStr" r="J127">
        <is>
          <t xml:space="preserve">Ved Sajnani</t>
        </is>
      </c>
      <c t="inlineStr" r="L127">
        <is>
          <t xml:space="preserve">-----</t>
        </is>
      </c>
    </row>
    <row r="128">
      <c t="str" r="A128" s="4">
        <f>HYPERLINK("https://linkbusiness.com/businesses-for-sale/LA04462/High-Visibility-Auto-Repair-Shop%2c-7-Bays%2c-Seller-Carry","LA04462")</f>
      </c>
      <c t="inlineStr" r="B128">
        <is>
          <t xml:space="preserve">High Visibility Auto Repair Shop, 7 Bays, Seller Carry</t>
        </is>
      </c>
      <c r="C128" s="63">
        <v>250000</v>
      </c>
      <c r="D128" s="63">
        <v>12595000</v>
      </c>
      <c t="inlineStr" r="E128">
        <is>
          <t xml:space="preserve">South Bay Cities &amp; Long Beach</t>
        </is>
      </c>
      <c r="F128" s="65">
        <v>0</v>
      </c>
      <c r="G128" s="63">
        <v>130000</v>
      </c>
      <c t="inlineStr" r="H128">
        <is>
          <t xml:space="preserve">Other Services (except public administration)</t>
        </is>
      </c>
      <c t="inlineStr" r="I128">
        <is>
          <t xml:space="preserve">Repair and Maintenance</t>
        </is>
      </c>
      <c t="inlineStr" r="J128">
        <is>
          <t xml:space="preserve">Jim Moazez</t>
        </is>
      </c>
      <c t="inlineStr" r="L128">
        <is>
          <t xml:space="preserve">-----</t>
        </is>
      </c>
    </row>
    <row r="129">
      <c t="str" r="A129" s="4">
        <f>HYPERLINK("https://linkbusiness.com/businesses-for-sale/LA04464/Barrel-%26-Screw-inventory%2c-Huge-price-reduction-and-SELLER-FINANCING","LA04464")</f>
      </c>
      <c t="inlineStr" r="B129">
        <is>
          <t xml:space="preserve">Barrel &amp; Screw inventory, Huge price reduction and SELLER FINANCING</t>
        </is>
      </c>
      <c r="C129" s="63">
        <v>425000</v>
      </c>
      <c r="D129" s="63">
        <v>21411500</v>
      </c>
      <c t="inlineStr" r="E129">
        <is>
          <t xml:space="preserve">California</t>
        </is>
      </c>
      <c r="F129" s="65">
        <v>0</v>
      </c>
      <c r="G129" s="65">
        <v>0</v>
      </c>
      <c t="inlineStr" r="H129">
        <is>
          <t xml:space="preserve">Manufacturing</t>
        </is>
      </c>
      <c t="inlineStr" r="I129">
        <is>
          <t xml:space="preserve">&lt;none&gt;</t>
        </is>
      </c>
      <c t="inlineStr" r="J129">
        <is>
          <t xml:space="preserve">John Chiapella</t>
        </is>
      </c>
      <c t="inlineStr" r="L129">
        <is>
          <t xml:space="preserve">-----</t>
        </is>
      </c>
    </row>
    <row r="130">
      <c t="str" r="A130" s="4">
        <f>HYPERLINK("https://linkbusiness.com/businesses-for-sale/LA04465/Absentee-Run-Poke-Bar-Restaurant-Asset-Sale","LA04465")</f>
      </c>
      <c t="inlineStr" r="B130">
        <is>
          <t xml:space="preserve">Absentee Run Poke Bar Restaurant ....Asset Sale</t>
        </is>
      </c>
      <c r="C130" s="63">
        <v>45000</v>
      </c>
      <c r="D130" s="63">
        <v>2267100</v>
      </c>
      <c t="inlineStr" r="E130">
        <is>
          <t xml:space="preserve">Los Angeles County</t>
        </is>
      </c>
      <c r="F130" s="65">
        <v>0</v>
      </c>
      <c r="G130" s="65">
        <v>0</v>
      </c>
      <c t="inlineStr" r="H130">
        <is>
          <t xml:space="preserve">Restaurant</t>
        </is>
      </c>
      <c t="inlineStr" r="I130">
        <is>
          <t xml:space="preserve">Food Services and Drinking Places</t>
        </is>
      </c>
      <c t="inlineStr" r="L130">
        <is>
          <t xml:space="preserve">-----</t>
        </is>
      </c>
    </row>
    <row r="131">
      <c t="str" r="A131" s="4">
        <f>HYPERLINK("https://linkbusiness.com/businesses-for-sale/LA04466/6-day-week-Teriyaki-Grill--close-to-Beach","LA04466")</f>
      </c>
      <c t="inlineStr" r="B131">
        <is>
          <t xml:space="preserve">6 day week Teriyaki Grill  close to Beach</t>
        </is>
      </c>
      <c r="C131" s="63">
        <v>95000</v>
      </c>
      <c r="D131" s="63">
        <v>4786100</v>
      </c>
      <c t="inlineStr" r="E131">
        <is>
          <t xml:space="preserve">South Orange County</t>
        </is>
      </c>
      <c r="F131" s="65">
        <v>0</v>
      </c>
      <c r="G131" s="65">
        <v>0</v>
      </c>
      <c t="inlineStr" r="H131">
        <is>
          <t xml:space="preserve">Restaurant</t>
        </is>
      </c>
      <c t="inlineStr" r="I131">
        <is>
          <t xml:space="preserve">Food Services and Drinking Places</t>
        </is>
      </c>
      <c t="inlineStr" r="L131">
        <is>
          <t xml:space="preserve">-----</t>
        </is>
      </c>
    </row>
    <row r="132">
      <c t="str" r="A132" s="4">
        <f>HYPERLINK("https://linkbusiness.com/businesses-for-sale/LA04468/Gorgeous-Outdoor-Food-Court-Los-Angeles-County","LA04468")</f>
      </c>
      <c t="inlineStr" r="B132">
        <is>
          <t xml:space="preserve">Gorgeous Outdoor Food Court Los Angeles County</t>
        </is>
      </c>
      <c r="C132" s="63">
        <v>129000</v>
      </c>
      <c r="D132" s="63">
        <v>6499020</v>
      </c>
      <c t="inlineStr" r="E132">
        <is>
          <t xml:space="preserve">California</t>
        </is>
      </c>
      <c r="F132" s="65">
        <v>0</v>
      </c>
      <c r="G132" s="63">
        <v>96000</v>
      </c>
      <c t="inlineStr" r="H132">
        <is>
          <t xml:space="preserve">Restaurant</t>
        </is>
      </c>
      <c t="inlineStr" r="I132">
        <is>
          <t xml:space="preserve">Food Services and Drinking Places</t>
        </is>
      </c>
      <c t="inlineStr" r="J132">
        <is>
          <t xml:space="preserve">Paul Suh</t>
        </is>
      </c>
      <c t="inlineStr" r="L132">
        <is>
          <t xml:space="preserve">-----</t>
        </is>
      </c>
    </row>
    <row r="133">
      <c t="str" r="A133" s="4">
        <f>HYPERLINK("https://linkbusiness.com/businesses-for-sale/LA04469/SOLDWholesale-Distribution-of-Frozen-Cappuccino-Beverage-Equipment","LA04469")</f>
      </c>
      <c t="inlineStr" r="B133">
        <is>
          <t xml:space="preserve">SOLD........Wholesale Distribution of Frozen Cappuccino Beverage Equipment</t>
        </is>
      </c>
      <c r="C133" s="63">
        <v>1050000</v>
      </c>
      <c r="D133" s="63">
        <v>52899000</v>
      </c>
      <c t="inlineStr" r="E133">
        <is>
          <t xml:space="preserve">Southern California</t>
        </is>
      </c>
      <c r="F133" s="65">
        <v>0</v>
      </c>
      <c r="G133" s="63">
        <v>203000</v>
      </c>
      <c t="inlineStr" r="H133">
        <is>
          <t xml:space="preserve">Wholesale Trade</t>
        </is>
      </c>
      <c t="inlineStr" r="I133">
        <is>
          <t xml:space="preserve">&lt;none&gt;</t>
        </is>
      </c>
      <c t="inlineStr" r="L133">
        <is>
          <t xml:space="preserve">-----</t>
        </is>
      </c>
    </row>
    <row r="134">
      <c t="str" r="A134" s="4">
        <f>HYPERLINK("https://linkbusiness.com/businesses-for-sale/LA04470/Full-Service-CPA-Firm%2c-Shadows-of-Disneyland","LA04470")</f>
      </c>
      <c t="inlineStr" r="B134">
        <is>
          <t xml:space="preserve">Full Service CPA Firm, Shadows of Disneyland</t>
        </is>
      </c>
      <c r="C134" s="63">
        <v>1250000</v>
      </c>
      <c r="D134" s="63">
        <v>62975000</v>
      </c>
      <c t="inlineStr" r="E134">
        <is>
          <t xml:space="preserve">Orange County</t>
        </is>
      </c>
      <c r="F134" s="65">
        <v>0</v>
      </c>
      <c r="G134" s="63">
        <v>132673</v>
      </c>
      <c t="inlineStr" r="H134">
        <is>
          <t xml:space="preserve">Professional, Scientific and Technical Services</t>
        </is>
      </c>
      <c t="inlineStr" r="I134">
        <is>
          <t xml:space="preserve">&lt;none&gt;</t>
        </is>
      </c>
      <c t="inlineStr" r="J134">
        <is>
          <t xml:space="preserve">Stuart Greenberg</t>
        </is>
      </c>
      <c t="inlineStr" r="L134">
        <is>
          <t xml:space="preserve">Seller Financing</t>
        </is>
      </c>
    </row>
    <row r="135">
      <c t="str" r="A135" s="4">
        <f>HYPERLINK("https://linkbusiness.com/businesses-for-sale/LA04471/Solar-ContractorSOLD","LA04471")</f>
      </c>
      <c t="inlineStr" r="B135">
        <is>
          <t xml:space="preserve">Solar Contractor....SOLD</t>
        </is>
      </c>
      <c r="C135" s="63">
        <v>415000</v>
      </c>
      <c r="D135" s="63">
        <v>20907700</v>
      </c>
      <c t="inlineStr" r="E135">
        <is>
          <t xml:space="preserve">California</t>
        </is>
      </c>
      <c r="F135" s="65">
        <v>0</v>
      </c>
      <c r="G135" s="63">
        <v>278703</v>
      </c>
      <c t="inlineStr" r="H135">
        <is>
          <t xml:space="preserve">Construction</t>
        </is>
      </c>
      <c t="inlineStr" r="I135">
        <is>
          <t xml:space="preserve">Specialty Trade Contractors</t>
        </is>
      </c>
      <c t="inlineStr" r="L135">
        <is>
          <t xml:space="preserve">-----</t>
        </is>
      </c>
    </row>
    <row r="136">
      <c t="str" r="A136" s="4">
        <f>HYPERLINK("https://linkbusiness.com/businesses-for-sale/LA04472/PROFITABLE-VEHICLE-WRAP-COMPANY-WITH-GROWTH-POTENTIAL!","LA04472")</f>
      </c>
      <c t="inlineStr" r="B136">
        <is>
          <t xml:space="preserve">PROFITABLE VEHICLE WRAP COMPANY WITH GROWTH POTENTIAL!</t>
        </is>
      </c>
      <c r="C136" s="63">
        <v>350000</v>
      </c>
      <c r="D136" s="63">
        <v>17633000</v>
      </c>
      <c t="inlineStr" r="E136">
        <is>
          <t xml:space="preserve">Ventura &amp; Santa Barbara Counties</t>
        </is>
      </c>
      <c r="F136" s="65">
        <v>0</v>
      </c>
      <c r="G136" s="63">
        <v>213980</v>
      </c>
      <c t="inlineStr" r="H136">
        <is>
          <t xml:space="preserve">Other Services (except public administration)</t>
        </is>
      </c>
      <c t="inlineStr" r="I136">
        <is>
          <t xml:space="preserve">&lt;none&gt;</t>
        </is>
      </c>
      <c t="inlineStr" r="L136">
        <is>
          <t xml:space="preserve">REASONABLE OFFERS WILL BE CONSIDERED</t>
        </is>
      </c>
    </row>
    <row r="137">
      <c t="str" r="A137" s="4">
        <f>HYPERLINK("https://linkbusiness.com/businesses-for-sale/LA04473/Niche-50-Year-Old-Aerospace-and-Tube-Manufacturer","LA04473")</f>
      </c>
      <c t="inlineStr" r="B137">
        <is>
          <t xml:space="preserve">Niche 50 Year Old Aerospace and Tube Manufacturer</t>
        </is>
      </c>
      <c r="C137" s="63">
        <v>125000</v>
      </c>
      <c r="D137" s="63">
        <v>6297500</v>
      </c>
      <c t="inlineStr" r="E137">
        <is>
          <t xml:space="preserve">Southern California</t>
        </is>
      </c>
      <c r="F137" s="65">
        <v>0</v>
      </c>
      <c r="G137" s="63">
        <v>120658</v>
      </c>
      <c t="inlineStr" r="H137">
        <is>
          <t xml:space="preserve">Manufacturing</t>
        </is>
      </c>
      <c t="inlineStr" r="I137">
        <is>
          <t xml:space="preserve">Fabricated Metal Product Manufacturing</t>
        </is>
      </c>
      <c t="inlineStr" r="L137">
        <is>
          <t xml:space="preserve">-----</t>
        </is>
      </c>
    </row>
    <row r="138">
      <c t="str" r="A138" s="4">
        <f>HYPERLINK("https://linkbusiness.com/businesses-for-sale/LA04475/West-Hollywood-Private-Club-w-Stunning-Rooftop-Terrace","LA04475")</f>
      </c>
      <c t="inlineStr" r="B138">
        <is>
          <t xml:space="preserve">West Hollywood Private Club w Stunning Rooftop Terrace</t>
        </is>
      </c>
      <c r="C138" s="63">
        <v>795000</v>
      </c>
      <c r="D138" s="63">
        <v>40052100</v>
      </c>
      <c t="inlineStr" r="E138">
        <is>
          <t xml:space="preserve">Los Angeles County</t>
        </is>
      </c>
      <c r="F138" s="65">
        <v>0</v>
      </c>
      <c r="G138" s="65">
        <v>0</v>
      </c>
      <c t="inlineStr" r="H138">
        <is>
          <t xml:space="preserve">Restaurant</t>
        </is>
      </c>
      <c t="inlineStr" r="I138">
        <is>
          <t xml:space="preserve">Food Services and Drinking Places</t>
        </is>
      </c>
      <c t="inlineStr" r="J138">
        <is>
          <t xml:space="preserve">Kellie Fish</t>
        </is>
      </c>
      <c t="inlineStr" r="K138">
        <is>
          <t xml:space="preserve">Joe Khoury</t>
        </is>
      </c>
      <c t="inlineStr" r="L138">
        <is>
          <t xml:space="preserve">-----</t>
        </is>
      </c>
    </row>
    <row r="139">
      <c t="str" r="A139" s="4">
        <f>HYPERLINK("https://linkbusiness.com/businesses-for-sale/LA04476/Profitable-Bar-%26-Grill-Restaurant-with-47-License-in-LA-County","LA04476")</f>
      </c>
      <c t="inlineStr" r="B139">
        <is>
          <t xml:space="preserve">Profitable Bar &amp; Grill Restaurant with 47 License in LA County</t>
        </is>
      </c>
      <c r="C139" s="63">
        <v>350000</v>
      </c>
      <c r="D139" s="63">
        <v>17633000</v>
      </c>
      <c t="inlineStr" r="E139">
        <is>
          <t xml:space="preserve">San Gabriel Valley</t>
        </is>
      </c>
      <c r="F139" s="65">
        <v>0</v>
      </c>
      <c r="G139" s="63">
        <v>144000</v>
      </c>
      <c t="inlineStr" r="H139">
        <is>
          <t xml:space="preserve">Restaurant</t>
        </is>
      </c>
      <c t="inlineStr" r="I139">
        <is>
          <t xml:space="preserve">Food Services and Drinking Places</t>
        </is>
      </c>
      <c t="inlineStr" r="J139">
        <is>
          <t xml:space="preserve">Paul Suh</t>
        </is>
      </c>
      <c t="inlineStr" r="L139">
        <is>
          <t xml:space="preserve">-----</t>
        </is>
      </c>
    </row>
    <row r="140">
      <c t="str" r="A140" s="4">
        <f>HYPERLINK("https://linkbusiness.com/businesses-for-sale/LA04477/Shockingly-Profitable-Electrical-Contractor%2c-Home-Based-in-SF-Valley","LA04477")</f>
      </c>
      <c t="inlineStr" r="B140">
        <is>
          <t xml:space="preserve">Shockingly Profitable Electrical Contractor, Home Based in SF Valley</t>
        </is>
      </c>
      <c r="C140" s="63">
        <v>195000</v>
      </c>
      <c r="D140" s="63">
        <v>9824100</v>
      </c>
      <c t="inlineStr" r="E140">
        <is>
          <t xml:space="preserve">North Los Angeles County</t>
        </is>
      </c>
      <c r="F140" s="65">
        <v>0</v>
      </c>
      <c r="G140" s="63">
        <v>93918</v>
      </c>
      <c t="inlineStr" r="H140">
        <is>
          <t xml:space="preserve">Construction</t>
        </is>
      </c>
      <c t="inlineStr" r="I140">
        <is>
          <t xml:space="preserve">Specialty Trade Contractors</t>
        </is>
      </c>
      <c t="inlineStr" r="J140">
        <is>
          <t xml:space="preserve">Wes Lewison</t>
        </is>
      </c>
      <c t="inlineStr" r="K140">
        <is>
          <t xml:space="preserve">Stuart Greenberg</t>
        </is>
      </c>
      <c t="inlineStr" r="L140">
        <is>
          <t xml:space="preserve">Seller Financing</t>
        </is>
      </c>
    </row>
    <row r="141">
      <c t="str" r="A141" s="4">
        <f>HYPERLINK("https://linkbusiness.com/businesses-for-sale/LA04480/Turn-Key-Auto-Repair-Shop-at-Bargain-Price","LA04480")</f>
      </c>
      <c t="inlineStr" r="B141">
        <is>
          <t xml:space="preserve">Turn Key Auto Repair Shop at Bargain Price</t>
        </is>
      </c>
      <c r="C141" s="63">
        <v>49000</v>
      </c>
      <c r="D141" s="63">
        <v>2468620</v>
      </c>
      <c t="inlineStr" r="E141">
        <is>
          <t xml:space="preserve">South Bay Cities &amp; Long Beach</t>
        </is>
      </c>
      <c r="F141" s="65">
        <v>0</v>
      </c>
      <c r="G141" s="65">
        <v>0</v>
      </c>
      <c t="inlineStr" r="H141">
        <is>
          <t xml:space="preserve">Other Services (except public administration)</t>
        </is>
      </c>
      <c t="inlineStr" r="I141">
        <is>
          <t xml:space="preserve">Repair and Maintenance</t>
        </is>
      </c>
      <c t="inlineStr" r="J141">
        <is>
          <t xml:space="preserve">Peter Magaziotis</t>
        </is>
      </c>
      <c t="inlineStr" r="L141">
        <is>
          <t xml:space="preserve">-----</t>
        </is>
      </c>
    </row>
    <row r="142">
      <c t="str" r="A142" s="4">
        <f>HYPERLINK("https://linkbusiness.com/businesses-for-sale/LA04483/High-Volume-Free-Standing-Mexican-Restaurant","LA04483")</f>
      </c>
      <c t="inlineStr" r="B142">
        <is>
          <t xml:space="preserve">High Volume Free Standing Mexican Restaurant</t>
        </is>
      </c>
      <c r="C142" s="63">
        <v>500000</v>
      </c>
      <c r="D142" s="63">
        <v>25190000</v>
      </c>
      <c t="inlineStr" r="E142">
        <is>
          <t xml:space="preserve">Southern California</t>
        </is>
      </c>
      <c r="F142" s="65">
        <v>0</v>
      </c>
      <c r="G142" s="65">
        <v>0</v>
      </c>
      <c t="inlineStr" r="H142">
        <is>
          <t xml:space="preserve">Restaurant</t>
        </is>
      </c>
      <c t="inlineStr" r="I142">
        <is>
          <t xml:space="preserve">Food Services and Drinking Places</t>
        </is>
      </c>
      <c t="inlineStr" r="J142">
        <is>
          <t xml:space="preserve">Joe Khoury</t>
        </is>
      </c>
      <c t="inlineStr" r="L142">
        <is>
          <t xml:space="preserve">-----</t>
        </is>
      </c>
    </row>
    <row r="143">
      <c t="str" r="A143" s="4">
        <f>HYPERLINK("https://linkbusiness.com/businesses-for-sale/LA04484/Great-Neighborhood-Restaurant-With-Full-Liquor-%26-Seller-Financing","LA04484")</f>
      </c>
      <c t="inlineStr" r="B143">
        <is>
          <t xml:space="preserve">Great Neighborhood Restaurant With Full Liquor &amp; Seller Financing</t>
        </is>
      </c>
      <c r="C143" s="65">
        <v>0</v>
      </c>
      <c r="D143" s="65">
        <v>0</v>
      </c>
      <c t="inlineStr" r="E143">
        <is>
          <t xml:space="preserve">Southern California</t>
        </is>
      </c>
      <c r="F143" s="65">
        <v>0</v>
      </c>
      <c r="G143" s="65">
        <v>0</v>
      </c>
      <c t="inlineStr" r="H143">
        <is>
          <t xml:space="preserve">Restaurant</t>
        </is>
      </c>
      <c t="inlineStr" r="I143">
        <is>
          <t xml:space="preserve">Food Services and Drinking Places</t>
        </is>
      </c>
      <c t="inlineStr" r="J143">
        <is>
          <t xml:space="preserve">Joe Khoury</t>
        </is>
      </c>
      <c t="inlineStr" r="L143">
        <is>
          <t xml:space="preserve">Refer to Broker</t>
        </is>
      </c>
    </row>
    <row r="144">
      <c t="str" r="A144" s="4">
        <f>HYPERLINK("https://linkbusiness.com/businesses-for-sale/LA04485/Family-Fun-Money-MakerSOLD","LA04485")</f>
      </c>
      <c t="inlineStr" r="B144">
        <is>
          <t xml:space="preserve">Family Fun Money Maker....SOLD</t>
        </is>
      </c>
      <c r="C144" s="63">
        <v>58000</v>
      </c>
      <c r="D144" s="63">
        <v>2922040</v>
      </c>
      <c t="inlineStr" r="E144">
        <is>
          <t xml:space="preserve">North Los Angeles County</t>
        </is>
      </c>
      <c r="F144" s="65">
        <v>0</v>
      </c>
      <c r="G144" s="63">
        <v>60292</v>
      </c>
      <c t="inlineStr" r="H144">
        <is>
          <t xml:space="preserve">Arts, Entertainment &amp; Recreation</t>
        </is>
      </c>
      <c t="inlineStr" r="I144">
        <is>
          <t xml:space="preserve">Amusement, Gambling, and Recreation Industries</t>
        </is>
      </c>
      <c t="inlineStr" r="L144">
        <is>
          <t xml:space="preserve">-----</t>
        </is>
      </c>
    </row>
    <row r="145">
      <c t="str" r="A145" s="4">
        <f>HYPERLINK("https://linkbusiness.com/businesses-for-sale/LA04490/Banquet-Hall-for-Lease-in-Northridge","LA04490")</f>
      </c>
      <c t="inlineStr" r="B145">
        <is>
          <t xml:space="preserve">Banquet Hall for Lease in Northridge</t>
        </is>
      </c>
      <c r="C145" s="65">
        <v>0</v>
      </c>
      <c r="D145" s="65">
        <v>0</v>
      </c>
      <c t="inlineStr" r="E145">
        <is>
          <t xml:space="preserve">North Los Angeles County</t>
        </is>
      </c>
      <c r="F145" s="65">
        <v>0</v>
      </c>
      <c r="G145" s="65">
        <v>0</v>
      </c>
      <c t="inlineStr" r="H145">
        <is>
          <t xml:space="preserve">Real Estate and Rental &amp; Leasing</t>
        </is>
      </c>
      <c t="inlineStr" r="I145">
        <is>
          <t xml:space="preserve">&lt;none&gt;</t>
        </is>
      </c>
      <c t="inlineStr" r="L145">
        <is>
          <t xml:space="preserve">Refer to Broker</t>
        </is>
      </c>
    </row>
    <row r="146">
      <c t="str" r="A146" s="4">
        <f>HYPERLINK("https://linkbusiness.com/businesses-for-sale/LA04491/Healthy-Raw-Organic-Pressed-Juicery","LA04491")</f>
      </c>
      <c t="inlineStr" r="B146">
        <is>
          <t xml:space="preserve">Healthy Raw Organic Pressed Juicery</t>
        </is>
      </c>
      <c r="C146" s="63">
        <v>99000</v>
      </c>
      <c r="D146" s="63">
        <v>4987620</v>
      </c>
      <c t="inlineStr" r="E146">
        <is>
          <t xml:space="preserve">South Bay Cities &amp; Long Beach</t>
        </is>
      </c>
      <c r="F146" s="65">
        <v>0</v>
      </c>
      <c r="G146" s="63">
        <v>94800</v>
      </c>
      <c t="inlineStr" r="H146">
        <is>
          <t xml:space="preserve">Retail Trade</t>
        </is>
      </c>
      <c t="inlineStr" r="I146">
        <is>
          <t xml:space="preserve">&lt;none&gt;</t>
        </is>
      </c>
      <c t="inlineStr" r="L146">
        <is>
          <t xml:space="preserve">-----</t>
        </is>
      </c>
    </row>
    <row r="147">
      <c t="str" r="A147" s="4">
        <f>HYPERLINK("https://linkbusiness.com/businesses-for-sale/LA04492/Juice-To-Your-Health","LA04492")</f>
      </c>
      <c t="inlineStr" r="B147">
        <is>
          <t xml:space="preserve">Juice To Your Health</t>
        </is>
      </c>
      <c r="C147" s="63">
        <v>149000</v>
      </c>
      <c r="D147" s="63">
        <v>7506620</v>
      </c>
      <c t="inlineStr" r="E147">
        <is>
          <t xml:space="preserve">Pasadena &amp; Glendale Area</t>
        </is>
      </c>
      <c r="F147" s="65">
        <v>0</v>
      </c>
      <c r="G147" s="63">
        <v>94800</v>
      </c>
      <c t="inlineStr" r="H147">
        <is>
          <t xml:space="preserve">Retail Trade</t>
        </is>
      </c>
      <c t="inlineStr" r="I147">
        <is>
          <t xml:space="preserve">&lt;none&gt;</t>
        </is>
      </c>
      <c t="inlineStr" r="J147">
        <is>
          <t xml:space="preserve">Peter Magaziotis</t>
        </is>
      </c>
      <c t="inlineStr" r="L147">
        <is>
          <t xml:space="preserve">-----</t>
        </is>
      </c>
    </row>
    <row r="148">
      <c t="str" r="A148" s="4">
        <f>HYPERLINK("https://linkbusiness.com/businesses-for-sale/LA04493/Healthy-Favorite-Juice-in-Southbay","LA04493")</f>
      </c>
      <c t="inlineStr" r="B148">
        <is>
          <t xml:space="preserve">Healthy Favorite Juice in Southbay</t>
        </is>
      </c>
      <c r="C148" s="63">
        <v>149000</v>
      </c>
      <c r="D148" s="63">
        <v>7506620</v>
      </c>
      <c t="inlineStr" r="E148">
        <is>
          <t xml:space="preserve">North Orange County</t>
        </is>
      </c>
      <c r="F148" s="65">
        <v>0</v>
      </c>
      <c r="G148" s="63">
        <v>94800</v>
      </c>
      <c t="inlineStr" r="H148">
        <is>
          <t xml:space="preserve">Retail Trade</t>
        </is>
      </c>
      <c t="inlineStr" r="I148">
        <is>
          <t xml:space="preserve">&lt;none&gt;</t>
        </is>
      </c>
      <c t="inlineStr" r="L148">
        <is>
          <t xml:space="preserve">-----</t>
        </is>
      </c>
    </row>
    <row r="149">
      <c t="str" r="A149" s="4">
        <f>HYPERLINK("https://linkbusiness.com/businesses-for-sale/LA04494/Seller-Carry-Must-Sell-in-Hollywood--Fully-Equipped--Gourmet-Kitchen","LA04494")</f>
      </c>
      <c t="inlineStr" r="B149">
        <is>
          <t xml:space="preserve">Seller Carry Must Sell in Hollywood  Fully Equipped  Gourmet Kitchen</t>
        </is>
      </c>
      <c r="C149" s="65">
        <v>0</v>
      </c>
      <c r="D149" s="65">
        <v>0</v>
      </c>
      <c t="inlineStr" r="E149">
        <is>
          <t xml:space="preserve">Los Angeles County</t>
        </is>
      </c>
      <c r="F149" s="65">
        <v>0</v>
      </c>
      <c r="G149" s="65">
        <v>0</v>
      </c>
      <c t="inlineStr" r="H149">
        <is>
          <t xml:space="preserve">Restaurant</t>
        </is>
      </c>
      <c t="inlineStr" r="I149">
        <is>
          <t xml:space="preserve">Food Services and Drinking Places</t>
        </is>
      </c>
      <c t="inlineStr" r="L149">
        <is>
          <t xml:space="preserve">Refer to Broker</t>
        </is>
      </c>
    </row>
    <row r="150">
      <c t="str" r="A150" s="4">
        <f>HYPERLINK("https://linkbusiness.com/businesses-for-sale/LA04500/6-Bay-Auto-Repair-with-Lots-of-Parking%2c-Heart-of-SF-Valley","LA04500")</f>
      </c>
      <c t="inlineStr" r="B150">
        <is>
          <t xml:space="preserve">6 Bay Auto Repair with Lots of Parking, Heart of SF Valley</t>
        </is>
      </c>
      <c r="C150" s="63">
        <v>229000</v>
      </c>
      <c r="D150" s="63">
        <v>11537020</v>
      </c>
      <c t="inlineStr" r="E150">
        <is>
          <t xml:space="preserve">San Fernando Valley</t>
        </is>
      </c>
      <c r="F150" s="65">
        <v>0</v>
      </c>
      <c r="G150" s="63">
        <v>121581</v>
      </c>
      <c t="inlineStr" r="H150">
        <is>
          <t xml:space="preserve">Other Services (except public administration)</t>
        </is>
      </c>
      <c t="inlineStr" r="I150">
        <is>
          <t xml:space="preserve">Repair and Maintenance</t>
        </is>
      </c>
      <c t="inlineStr" r="J150">
        <is>
          <t xml:space="preserve">Stuart Greenberg</t>
        </is>
      </c>
      <c t="inlineStr" r="L150">
        <is>
          <t xml:space="preserve">includes substantial inventory</t>
        </is>
      </c>
    </row>
    <row r="151">
      <c t="str" r="A151" s="4">
        <f>HYPERLINK("https://linkbusiness.com/businesses-for-sale/LA04502/Highly-Profitable-3-Bay-Complete-Auto-Repair-Business-Serving-Busy-SF-Valley","LA04502")</f>
      </c>
      <c t="inlineStr" r="B151">
        <is>
          <t xml:space="preserve">Highly Profitable 3 Bay Complete Auto Repair Business Serving Busy SF Valley</t>
        </is>
      </c>
      <c r="C151" s="63">
        <v>295000</v>
      </c>
      <c r="D151" s="63">
        <v>14862100</v>
      </c>
      <c t="inlineStr" r="E151">
        <is>
          <t xml:space="preserve">North Los Angeles County</t>
        </is>
      </c>
      <c r="F151" s="65">
        <v>0</v>
      </c>
      <c r="G151" s="63">
        <v>105852</v>
      </c>
      <c t="inlineStr" r="H151">
        <is>
          <t xml:space="preserve">Other Services (except public administration)</t>
        </is>
      </c>
      <c t="inlineStr" r="I151">
        <is>
          <t xml:space="preserve">Repair and Maintenance</t>
        </is>
      </c>
      <c t="inlineStr" r="J151">
        <is>
          <t xml:space="preserve">Donna Alexander</t>
        </is>
      </c>
      <c t="inlineStr" r="K151">
        <is>
          <t xml:space="preserve">Stuart Greenberg</t>
        </is>
      </c>
      <c t="inlineStr" r="L151">
        <is>
          <t xml:space="preserve">-----</t>
        </is>
      </c>
    </row>
    <row r="152">
      <c t="str" r="A152" s="4">
        <f>HYPERLINK("https://linkbusiness.com/businesses-for-sale/LA04507/Long-Beach-Retail-for-Lease","LA04507")</f>
      </c>
      <c t="inlineStr" r="B152">
        <is>
          <t xml:space="preserve">Long Beach Retail for Lease</t>
        </is>
      </c>
      <c r="C152" s="63">
        <v>60000</v>
      </c>
      <c r="D152" s="63">
        <v>3022800</v>
      </c>
      <c t="inlineStr" r="E152">
        <is>
          <t xml:space="preserve">Los Angeles County</t>
        </is>
      </c>
      <c r="F152" s="65">
        <v>0</v>
      </c>
      <c r="G152" s="65">
        <v>0</v>
      </c>
      <c t="inlineStr" r="H152">
        <is>
          <t xml:space="preserve">Real Estate and Rental &amp; Leasing</t>
        </is>
      </c>
      <c t="inlineStr" r="I152">
        <is>
          <t xml:space="preserve">&lt;none&gt;</t>
        </is>
      </c>
      <c t="inlineStr" r="L152">
        <is>
          <t xml:space="preserve">-----</t>
        </is>
      </c>
    </row>
    <row r="153">
      <c t="str" r="A153" s="4">
        <f>HYPERLINK("https://linkbusiness.com/businesses-for-sale/LA04508/Fast-Casual-Concept-For-Sale-in-LA-County","LA04508")</f>
      </c>
      <c t="inlineStr" r="B153">
        <is>
          <t xml:space="preserve">Fast Casual Concept For Sale in LA County</t>
        </is>
      </c>
      <c r="C153" s="63">
        <v>2100000</v>
      </c>
      <c r="D153" s="63">
        <v>105798000</v>
      </c>
      <c t="inlineStr" r="E153">
        <is>
          <t xml:space="preserve">California</t>
        </is>
      </c>
      <c r="F153" s="65">
        <v>0</v>
      </c>
      <c r="G153" s="63">
        <v>670000</v>
      </c>
      <c t="inlineStr" r="H153">
        <is>
          <t xml:space="preserve">Restaurant</t>
        </is>
      </c>
      <c t="inlineStr" r="I153">
        <is>
          <t xml:space="preserve">Food Services and Drinking Places</t>
        </is>
      </c>
      <c t="inlineStr" r="J153">
        <is>
          <t xml:space="preserve">Paul Suh</t>
        </is>
      </c>
      <c t="inlineStr" r="K153">
        <is>
          <t xml:space="preserve">Joe Khoury</t>
        </is>
      </c>
      <c t="inlineStr" r="L153">
        <is>
          <t xml:space="preserve">-----</t>
        </is>
      </c>
    </row>
    <row r="154">
      <c t="str" r="A154" s="4">
        <f>HYPERLINK("https://linkbusiness.com/businesses-for-sale/LA04510/Profitable-Turnkey-Machine-Shop-With-Strong-Customer-Base","LA04510")</f>
      </c>
      <c t="inlineStr" r="B154">
        <is>
          <t xml:space="preserve">Profitable Turnkey Machine Shop With Strong Customer Base</t>
        </is>
      </c>
      <c r="C154" s="63">
        <v>601000</v>
      </c>
      <c r="D154" s="63">
        <v>30278380</v>
      </c>
      <c t="inlineStr" r="E154">
        <is>
          <t xml:space="preserve">North Orange County</t>
        </is>
      </c>
      <c r="F154" s="65">
        <v>0</v>
      </c>
      <c r="G154" s="63">
        <v>372900</v>
      </c>
      <c t="inlineStr" r="H154">
        <is>
          <t xml:space="preserve">Manufacturing</t>
        </is>
      </c>
      <c t="inlineStr" r="I154">
        <is>
          <t xml:space="preserve">Machinery Manufacturing</t>
        </is>
      </c>
      <c t="inlineStr" r="L154">
        <is>
          <t xml:space="preserve">-----</t>
        </is>
      </c>
    </row>
    <row r="155">
      <c t="str" r="A155" s="4">
        <f>HYPERLINK("https://linkbusiness.com/businesses-for-sale/LA04511/Pizza-Restaurant-Located-in-High-Traffic-Location-on-the-West-Side","LA04511")</f>
      </c>
      <c t="inlineStr" r="B155">
        <is>
          <t xml:space="preserve">Pizza Restaurant Located in High Traffic Location on the West Side</t>
        </is>
      </c>
      <c r="C155" s="63">
        <v>125000</v>
      </c>
      <c r="D155" s="63">
        <v>6297500</v>
      </c>
      <c t="inlineStr" r="E155">
        <is>
          <t xml:space="preserve">Los Angeles County</t>
        </is>
      </c>
      <c r="F155" s="65">
        <v>0</v>
      </c>
      <c r="G155" s="65">
        <v>0</v>
      </c>
      <c t="inlineStr" r="H155">
        <is>
          <t xml:space="preserve">Restaurant</t>
        </is>
      </c>
      <c t="inlineStr" r="I155">
        <is>
          <t xml:space="preserve">Food Services and Drinking Places</t>
        </is>
      </c>
      <c t="inlineStr" r="L155">
        <is>
          <t xml:space="preserve">-----</t>
        </is>
      </c>
    </row>
    <row r="156">
      <c t="str" r="A156" s="4">
        <f>HYPERLINK("https://linkbusiness.com/businesses-for-sale/LA04512/Fully-Operational-Breakfast-%26-Lunch-Cafe-in-Orange-County","LA04512")</f>
      </c>
      <c t="inlineStr" r="B156">
        <is>
          <t xml:space="preserve">Fully Operational Breakfast &amp; Lunch Cafe in Orange County</t>
        </is>
      </c>
      <c r="C156" s="63">
        <v>425000</v>
      </c>
      <c r="D156" s="63">
        <v>21411500</v>
      </c>
      <c t="inlineStr" r="E156">
        <is>
          <t xml:space="preserve">South Orange County</t>
        </is>
      </c>
      <c r="F156" s="65">
        <v>0</v>
      </c>
      <c r="G156" s="63">
        <v>144000</v>
      </c>
      <c t="inlineStr" r="H156">
        <is>
          <t xml:space="preserve">Restaurant</t>
        </is>
      </c>
      <c t="inlineStr" r="I156">
        <is>
          <t xml:space="preserve">Food Services and Drinking Places</t>
        </is>
      </c>
      <c t="inlineStr" r="J156">
        <is>
          <t xml:space="preserve">Paul Suh</t>
        </is>
      </c>
      <c t="inlineStr" r="L156">
        <is>
          <t xml:space="preserve">-----</t>
        </is>
      </c>
    </row>
    <row r="157">
      <c t="str" r="A157" s="4">
        <f>HYPERLINK("https://linkbusiness.com/businesses-for-sale/LA04513/Quaint-Yogurt-and-Snack-Store-in-Beautiful-Northern-San-Diego-County","LA04513")</f>
      </c>
      <c t="inlineStr" r="B157">
        <is>
          <t xml:space="preserve">Quaint Yogurt and Snack Store in Beautiful Northern San Diego County</t>
        </is>
      </c>
      <c r="C157" s="63">
        <v>90000</v>
      </c>
      <c r="D157" s="63">
        <v>4534200</v>
      </c>
      <c t="inlineStr" r="E157">
        <is>
          <t xml:space="preserve">San Diego County</t>
        </is>
      </c>
      <c r="F157" s="65">
        <v>0</v>
      </c>
      <c r="G157" s="63">
        <v>72000</v>
      </c>
      <c t="inlineStr" r="H157">
        <is>
          <t xml:space="preserve">Retail Trade</t>
        </is>
      </c>
      <c t="inlineStr" r="I157">
        <is>
          <t xml:space="preserve">Food and Beverage Stores</t>
        </is>
      </c>
      <c t="inlineStr" r="J157">
        <is>
          <t xml:space="preserve">Donna Alexander</t>
        </is>
      </c>
      <c t="inlineStr" r="L157">
        <is>
          <t xml:space="preserve">-----</t>
        </is>
      </c>
    </row>
    <row r="158">
      <c t="str" r="A158" s="4">
        <f>HYPERLINK("https://linkbusiness.com/businesses-for-sale/LA04516/Interactive-Video-Lead-Generation-Software-Service-SF-Bay-Area","LA04516")</f>
      </c>
      <c t="inlineStr" r="B158">
        <is>
          <t xml:space="preserve">Interactive Video Lead Generation Software Service SF Bay Area</t>
        </is>
      </c>
      <c r="C158" s="63">
        <v>5000000</v>
      </c>
      <c r="D158" s="63">
        <v>251900000</v>
      </c>
      <c t="inlineStr" r="E158">
        <is>
          <t xml:space="preserve">Los Angeles County</t>
        </is>
      </c>
      <c r="F158" s="65">
        <v>0</v>
      </c>
      <c r="G158" s="65">
        <v>0</v>
      </c>
      <c t="inlineStr" r="H158">
        <is>
          <t xml:space="preserve">Professional, Scientific and Technical Services</t>
        </is>
      </c>
      <c t="inlineStr" r="I158">
        <is>
          <t xml:space="preserve">&lt;none&gt;</t>
        </is>
      </c>
      <c t="inlineStr" r="J158">
        <is>
          <t xml:space="preserve">Wes Lewison</t>
        </is>
      </c>
      <c t="inlineStr" r="K158">
        <is>
          <t xml:space="preserve">Donna Alexander</t>
        </is>
      </c>
      <c t="inlineStr" r="L158">
        <is>
          <t xml:space="preserve">-----</t>
        </is>
      </c>
    </row>
    <row r="159">
      <c t="str" r="A159" s="4">
        <f>HYPERLINK("https://linkbusiness.com/businesses-for-sale/LA04517/Revolutionary-New-Corporate-Wellness-Solution-Ready-to-Launch","LA04517")</f>
      </c>
      <c t="inlineStr" r="B159">
        <is>
          <t xml:space="preserve">Revolutionary New Corporate Wellness Solution Ready to Launch</t>
        </is>
      </c>
      <c r="C159" s="63">
        <v>300000</v>
      </c>
      <c r="D159" s="63">
        <v>15114000</v>
      </c>
      <c t="inlineStr" r="E159">
        <is>
          <t xml:space="preserve">California</t>
        </is>
      </c>
      <c r="F159" s="65">
        <v>0</v>
      </c>
      <c r="G159" s="65">
        <v>0</v>
      </c>
      <c t="inlineStr" r="H159">
        <is>
          <t xml:space="preserve">Health Care &amp; Social Assistance</t>
        </is>
      </c>
      <c t="inlineStr" r="I159">
        <is>
          <t xml:space="preserve">Ambulatory Health Care Services</t>
        </is>
      </c>
      <c t="inlineStr" r="J159">
        <is>
          <t xml:space="preserve">Stuart Greenberg</t>
        </is>
      </c>
      <c t="inlineStr" r="L159">
        <is>
          <t xml:space="preserve">-----</t>
        </is>
      </c>
    </row>
    <row r="160">
      <c t="str" r="A160" s="4">
        <f>HYPERLINK("https://linkbusiness.com/businesses-for-sale/LA04518/SOLD!!-5-Day-Sandwich-Shop","LA04518")</f>
      </c>
      <c t="inlineStr" r="B160">
        <is>
          <t xml:space="preserve">SOLD!! 5 Day Sandwich Shop</t>
        </is>
      </c>
      <c r="C160" s="63">
        <v>225000</v>
      </c>
      <c r="D160" s="63">
        <v>11335500</v>
      </c>
      <c t="inlineStr" r="E160">
        <is>
          <t xml:space="preserve">East Los Angeles County</t>
        </is>
      </c>
      <c r="F160" s="65">
        <v>0</v>
      </c>
      <c r="G160" s="65">
        <v>0</v>
      </c>
      <c t="inlineStr" r="H160">
        <is>
          <t xml:space="preserve">Restaurant</t>
        </is>
      </c>
      <c t="inlineStr" r="I160">
        <is>
          <t xml:space="preserve">Food Services and Drinking Places</t>
        </is>
      </c>
      <c t="inlineStr" r="L160">
        <is>
          <t xml:space="preserve">-----</t>
        </is>
      </c>
    </row>
    <row r="161">
      <c t="str" r="A161" s="4">
        <f>HYPERLINK("https://linkbusiness.com/businesses-for-sale/LA04523/SOLDBeutiful-Nail-Spa","LA04523")</f>
      </c>
      <c t="inlineStr" r="B161">
        <is>
          <t xml:space="preserve">SOLD....Beutiful Nail Spa</t>
        </is>
      </c>
      <c r="C161" s="63">
        <v>79000</v>
      </c>
      <c r="D161" s="63">
        <v>3980020</v>
      </c>
      <c t="inlineStr" r="E161">
        <is>
          <t xml:space="preserve">California</t>
        </is>
      </c>
      <c r="F161" s="65">
        <v>0</v>
      </c>
      <c r="G161" s="63">
        <v>42000</v>
      </c>
      <c t="inlineStr" r="H161">
        <is>
          <t xml:space="preserve">Health Care &amp; Social Assistance</t>
        </is>
      </c>
      <c t="inlineStr" r="I161">
        <is>
          <t xml:space="preserve">Nail salons</t>
        </is>
      </c>
      <c t="inlineStr" r="L161">
        <is>
          <t xml:space="preserve">-----</t>
        </is>
      </c>
    </row>
    <row r="162">
      <c t="str" r="A162" s="4">
        <f>HYPERLINK("https://linkbusiness.com/businesses-for-sale/LA04524/Trendy-Fitness-facility%2c-Great-Parking%2c-Central-Location","LA04524")</f>
      </c>
      <c t="inlineStr" r="B162">
        <is>
          <t xml:space="preserve">Trendy Fitness facility, Great Parking, Central Location</t>
        </is>
      </c>
      <c r="C162" s="63">
        <v>770000</v>
      </c>
      <c r="D162" s="63">
        <v>38792600</v>
      </c>
      <c t="inlineStr" r="E162">
        <is>
          <t xml:space="preserve">Los Angeles County</t>
        </is>
      </c>
      <c r="F162" s="65">
        <v>0</v>
      </c>
      <c r="G162" s="65">
        <v>0</v>
      </c>
      <c t="inlineStr" r="H162">
        <is>
          <t xml:space="preserve">Arts, Entertainment &amp; Recreation</t>
        </is>
      </c>
      <c t="inlineStr" r="I162">
        <is>
          <t xml:space="preserve">Performing Arts, Spectator Sports, and Related Industries</t>
        </is>
      </c>
      <c t="inlineStr" r="J162">
        <is>
          <t xml:space="preserve">Stuart Greenberg</t>
        </is>
      </c>
      <c t="inlineStr" r="L162">
        <is>
          <t xml:space="preserve">-----</t>
        </is>
      </c>
    </row>
    <row r="163">
      <c t="str" r="A163" s="4">
        <f>HYPERLINK("https://linkbusiness.com/businesses-for-sale/LA04527/Homemade-Burgers-For-You-and-Family","LA04527")</f>
      </c>
      <c t="inlineStr" r="B163">
        <is>
          <t xml:space="preserve">Homemade Burgers For You and Family</t>
        </is>
      </c>
      <c r="C163" s="63">
        <v>1103000</v>
      </c>
      <c r="D163" s="63">
        <v>55569140</v>
      </c>
      <c t="inlineStr" r="E163">
        <is>
          <t xml:space="preserve">East Los Angeles County</t>
        </is>
      </c>
      <c r="F163" s="65">
        <v>0</v>
      </c>
      <c r="G163" s="63">
        <v>240000</v>
      </c>
      <c t="inlineStr" r="H163">
        <is>
          <t xml:space="preserve">Restaurant</t>
        </is>
      </c>
      <c t="inlineStr" r="I163">
        <is>
          <t xml:space="preserve">Food Services and Drinking Places</t>
        </is>
      </c>
      <c t="inlineStr" r="J163">
        <is>
          <t xml:space="preserve">Peter Magaziotis</t>
        </is>
      </c>
      <c t="inlineStr" r="L163">
        <is>
          <t xml:space="preserve">-----</t>
        </is>
      </c>
    </row>
    <row r="164">
      <c t="str" r="A164" s="4">
        <f>HYPERLINK("https://linkbusiness.com/businesses-for-sale/LA04529/Fun-Modern-Burger-Restaurant-With-Beer","LA04529")</f>
      </c>
      <c t="inlineStr" r="B164">
        <is>
          <t xml:space="preserve">Fun Modern Burger Restaurant With Beer</t>
        </is>
      </c>
      <c r="C164" s="63">
        <v>382000</v>
      </c>
      <c r="D164" s="63">
        <v>19245160</v>
      </c>
      <c t="inlineStr" r="E164">
        <is>
          <t xml:space="preserve">North Orange County</t>
        </is>
      </c>
      <c r="F164" s="65">
        <v>0</v>
      </c>
      <c r="G164" s="65">
        <v>0</v>
      </c>
      <c t="inlineStr" r="H164">
        <is>
          <t xml:space="preserve">Restaurant</t>
        </is>
      </c>
      <c t="inlineStr" r="I164">
        <is>
          <t xml:space="preserve">Food Services and Drinking Places</t>
        </is>
      </c>
      <c t="inlineStr" r="J164">
        <is>
          <t xml:space="preserve">Peter Magaziotis</t>
        </is>
      </c>
      <c t="inlineStr" r="L164">
        <is>
          <t xml:space="preserve">this is an asset sale</t>
        </is>
      </c>
    </row>
    <row r="165">
      <c t="str" r="A165" s="4">
        <f>HYPERLINK("https://linkbusiness.com/businesses-for-sale/LA04530/Juicy-Burgers-That-You-Pick-And-They-Cook-For-You","LA04530")</f>
      </c>
      <c t="inlineStr" r="B165">
        <is>
          <t xml:space="preserve">Juicy Burgers That You Pick And They Cook For You</t>
        </is>
      </c>
      <c r="C165" s="63">
        <v>499000</v>
      </c>
      <c r="D165" s="63">
        <v>25139620</v>
      </c>
      <c t="inlineStr" r="E165">
        <is>
          <t xml:space="preserve">West Los Angeles County</t>
        </is>
      </c>
      <c r="F165" s="65">
        <v>0</v>
      </c>
      <c r="G165" s="63">
        <v>144000</v>
      </c>
      <c t="inlineStr" r="H165">
        <is>
          <t xml:space="preserve">Restaurant</t>
        </is>
      </c>
      <c t="inlineStr" r="I165">
        <is>
          <t xml:space="preserve">Food Services and Drinking Places</t>
        </is>
      </c>
      <c t="inlineStr" r="J165">
        <is>
          <t xml:space="preserve">Peter Magaziotis</t>
        </is>
      </c>
      <c t="inlineStr" r="L165">
        <is>
          <t xml:space="preserve">-----</t>
        </is>
      </c>
    </row>
    <row r="166">
      <c t="str" r="A166" s="4">
        <f>HYPERLINK("https://linkbusiness.com/businesses-for-sale/LA04531/Fast-Casual-%26-Healthy-Fish-Market","LA04531")</f>
      </c>
      <c t="inlineStr" r="B166">
        <is>
          <t xml:space="preserve">Fast Casual &amp; Healthy Fish Market</t>
        </is>
      </c>
      <c r="C166" s="63">
        <v>490000</v>
      </c>
      <c r="D166" s="63">
        <v>24686200</v>
      </c>
      <c t="inlineStr" r="E166">
        <is>
          <t xml:space="preserve">South Bay Cities &amp; Long Beach</t>
        </is>
      </c>
      <c r="F166" s="65">
        <v>0</v>
      </c>
      <c r="G166" s="63">
        <v>156000</v>
      </c>
      <c t="inlineStr" r="H166">
        <is>
          <t xml:space="preserve">Restaurant</t>
        </is>
      </c>
      <c t="inlineStr" r="I166">
        <is>
          <t xml:space="preserve">Food Services and Drinking Places</t>
        </is>
      </c>
      <c t="inlineStr" r="J166">
        <is>
          <t xml:space="preserve">Peter Magaziotis</t>
        </is>
      </c>
      <c t="inlineStr" r="L166">
        <is>
          <t xml:space="preserve">-----</t>
        </is>
      </c>
    </row>
    <row r="167">
      <c t="str" r="A167" s="4">
        <f>HYPERLINK("https://linkbusiness.com/businesses-for-sale/LA04533/Big-Profit!-Freight%252fTransportation%252fTrucking%252fLogistics-Broker-Business-for-Sale-in-SoCal","LA04533")</f>
      </c>
      <c t="inlineStr" r="B167">
        <is>
          <t xml:space="preserve">Big Profit! Freight/Transportation/Trucking/Logistics Broker Business for Sale in SoCal</t>
        </is>
      </c>
      <c r="C167" s="63">
        <v>1667000</v>
      </c>
      <c r="D167" s="63">
        <v>83983460</v>
      </c>
      <c t="inlineStr" r="E167">
        <is>
          <t xml:space="preserve">California</t>
        </is>
      </c>
      <c r="F167" s="65">
        <v>0</v>
      </c>
      <c r="G167" s="63">
        <v>335000</v>
      </c>
      <c t="inlineStr" r="H167">
        <is>
          <t xml:space="preserve">Transportation &amp; Warehousing</t>
        </is>
      </c>
      <c t="inlineStr" r="I167">
        <is>
          <t xml:space="preserve">Truck Transportation</t>
        </is>
      </c>
      <c t="inlineStr" r="L167">
        <is>
          <t xml:space="preserve">-----</t>
        </is>
      </c>
    </row>
    <row r="168">
      <c t="str" r="A168" s="4">
        <f>HYPERLINK("https://linkbusiness.com/businesses-for-sale/LA04534/Mexican-Restaurant-in-Costa-Mesa","LA04534")</f>
      </c>
      <c t="inlineStr" r="B168">
        <is>
          <t xml:space="preserve">Mexican Restaurant in Costa Mesa</t>
        </is>
      </c>
      <c r="C168" s="63">
        <v>149000</v>
      </c>
      <c r="D168" s="63">
        <v>7506620</v>
      </c>
      <c t="inlineStr" r="E168">
        <is>
          <t xml:space="preserve">North Orange County</t>
        </is>
      </c>
      <c r="F168" s="65">
        <v>0</v>
      </c>
      <c r="G168" s="63">
        <v>48000</v>
      </c>
      <c t="inlineStr" r="H168">
        <is>
          <t xml:space="preserve">Restaurant</t>
        </is>
      </c>
      <c t="inlineStr" r="I168">
        <is>
          <t xml:space="preserve">Food Services and Drinking Places</t>
        </is>
      </c>
      <c t="inlineStr" r="J168">
        <is>
          <t xml:space="preserve">Paul Suh</t>
        </is>
      </c>
      <c t="inlineStr" r="L168">
        <is>
          <t xml:space="preserve">-----</t>
        </is>
      </c>
    </row>
    <row r="169">
      <c t="str" r="A169" s="4">
        <f>HYPERLINK("https://linkbusiness.com/businesses-for-sale/LA04535/Award-Winning-Franchise-Frozen-Yogurt-For-Sale","LA04535")</f>
      </c>
      <c t="inlineStr" r="B169">
        <is>
          <t xml:space="preserve">Award Winning Franchise Frozen Yogurt For Sale</t>
        </is>
      </c>
      <c r="C169" s="63">
        <v>1000000</v>
      </c>
      <c r="D169" s="63">
        <v>50380000</v>
      </c>
      <c t="inlineStr" r="E169">
        <is>
          <t xml:space="preserve">California</t>
        </is>
      </c>
      <c r="F169" s="65">
        <v>0</v>
      </c>
      <c r="G169" s="65">
        <v>0</v>
      </c>
      <c t="inlineStr" r="H169">
        <is>
          <t xml:space="preserve">Retail Trade</t>
        </is>
      </c>
      <c t="inlineStr" r="I169">
        <is>
          <t xml:space="preserve">Food and Beverage Stores</t>
        </is>
      </c>
      <c t="inlineStr" r="J169">
        <is>
          <t xml:space="preserve">Ethan Skugrud</t>
        </is>
      </c>
      <c t="inlineStr" r="K169">
        <is>
          <t xml:space="preserve">Wes Lewison</t>
        </is>
      </c>
      <c r="L169" s="65">
        <v>0</v>
      </c>
    </row>
    <row r="170">
      <c t="str" r="A170" s="4">
        <f>HYPERLINK("https://linkbusiness.com/businesses-for-sale/LA04538/5-Day-Profitable-Snacks-%26-Caf%c3%a9-Shop-in-OC","LA04538")</f>
      </c>
      <c t="inlineStr" r="B170">
        <is>
          <t xml:space="preserve">5 Day Profitable Snacks &amp; Café Shop in OC</t>
        </is>
      </c>
      <c r="C170" s="63">
        <v>119000</v>
      </c>
      <c r="D170" s="63">
        <v>5995220</v>
      </c>
      <c t="inlineStr" r="E170">
        <is>
          <t xml:space="preserve">California</t>
        </is>
      </c>
      <c r="F170" s="65">
        <v>0</v>
      </c>
      <c r="G170" s="63">
        <v>60000</v>
      </c>
      <c t="inlineStr" r="H170">
        <is>
          <t xml:space="preserve">Restaurant</t>
        </is>
      </c>
      <c t="inlineStr" r="I170">
        <is>
          <t xml:space="preserve">Food Services and Drinking Places</t>
        </is>
      </c>
      <c t="inlineStr" r="J170">
        <is>
          <t xml:space="preserve">Paul Suh</t>
        </is>
      </c>
      <c t="inlineStr" r="L170">
        <is>
          <t xml:space="preserve">-----</t>
        </is>
      </c>
    </row>
    <row r="171">
      <c t="str" r="A171" s="4">
        <f>HYPERLINK("https://linkbusiness.com/businesses-for-sale/LA04539/Beautiful-Free-Standing-Hamburger-Restaurant-W%252f-Drive-thru-in-LA-County","LA04539")</f>
      </c>
      <c t="inlineStr" r="B171">
        <is>
          <t xml:space="preserve">Beautiful Free Standing Hamburger Restaurant W/ Drive thru in LA County</t>
        </is>
      </c>
      <c r="C171" s="63">
        <v>225000</v>
      </c>
      <c r="D171" s="63">
        <v>11335500</v>
      </c>
      <c t="inlineStr" r="E171">
        <is>
          <t xml:space="preserve">East Los Angeles County</t>
        </is>
      </c>
      <c r="F171" s="65">
        <v>0</v>
      </c>
      <c r="G171" s="63">
        <v>84000</v>
      </c>
      <c t="inlineStr" r="H171">
        <is>
          <t xml:space="preserve">Restaurant</t>
        </is>
      </c>
      <c t="inlineStr" r="I171">
        <is>
          <t xml:space="preserve">&lt;none&gt;</t>
        </is>
      </c>
      <c t="inlineStr" r="J171">
        <is>
          <t xml:space="preserve">Paul Suh</t>
        </is>
      </c>
      <c t="inlineStr" r="L171">
        <is>
          <t xml:space="preserve">-----</t>
        </is>
      </c>
    </row>
    <row r="172">
      <c t="str" r="A172" s="4">
        <f>HYPERLINK("https://linkbusiness.com/businesses-for-sale/LA04540/Mobile-Screen-Service-Keeping-Bugs-Out-Throughout-LA","LA04540")</f>
      </c>
      <c t="inlineStr" r="B172">
        <is>
          <t xml:space="preserve">Mobile Screen Service Keeping Bugs Out Throughout LA</t>
        </is>
      </c>
      <c r="C172" s="63">
        <v>250000</v>
      </c>
      <c r="D172" s="63">
        <v>12595000</v>
      </c>
      <c t="inlineStr" r="E172">
        <is>
          <t xml:space="preserve">Los Angeles County</t>
        </is>
      </c>
      <c r="F172" s="65">
        <v>0</v>
      </c>
      <c r="G172" s="63">
        <v>75000</v>
      </c>
      <c t="inlineStr" r="H172">
        <is>
          <t xml:space="preserve">Manufacturing</t>
        </is>
      </c>
      <c t="inlineStr" r="I172">
        <is>
          <t xml:space="preserve">Fabricated Metal Product Manufacturing</t>
        </is>
      </c>
      <c t="inlineStr" r="J172">
        <is>
          <t xml:space="preserve">Stuart Greenberg</t>
        </is>
      </c>
      <c t="inlineStr" r="L172">
        <is>
          <t xml:space="preserve">-----</t>
        </is>
      </c>
    </row>
    <row r="173">
      <c t="str" r="A173" s="4">
        <f>HYPERLINK("https://linkbusiness.com/businesses-for-sale/LA04541/Family-Restaurant-Money-Maker-in-The-Center-of-The-Town","LA04541")</f>
      </c>
      <c t="inlineStr" r="B173">
        <is>
          <t xml:space="preserve">Family Restaurant Money Maker in The Center of The Town</t>
        </is>
      </c>
      <c r="C173" s="63">
        <v>979000</v>
      </c>
      <c r="D173" s="63">
        <v>49322020</v>
      </c>
      <c t="inlineStr" r="E173">
        <is>
          <t xml:space="preserve">California</t>
        </is>
      </c>
      <c r="F173" s="65">
        <v>0</v>
      </c>
      <c r="G173" s="63">
        <v>240000</v>
      </c>
      <c t="inlineStr" r="H173">
        <is>
          <t xml:space="preserve">Restaurant</t>
        </is>
      </c>
      <c t="inlineStr" r="I173">
        <is>
          <t xml:space="preserve">Accommodation</t>
        </is>
      </c>
      <c t="inlineStr" r="J173">
        <is>
          <t xml:space="preserve">Peter Magaziotis</t>
        </is>
      </c>
      <c t="inlineStr" r="L173">
        <is>
          <t xml:space="preserve">-----</t>
        </is>
      </c>
    </row>
    <row r="174">
      <c t="str" r="A174" s="4">
        <f>HYPERLINK("https://linkbusiness.com/businesses-for-sale/LA04542/Commercial-Janitorial-Service-W%252f-High-Profit","LA04542")</f>
      </c>
      <c t="inlineStr" r="B174">
        <is>
          <t xml:space="preserve">Commercial Janitorial Service W/ High Profit</t>
        </is>
      </c>
      <c r="C174" s="63">
        <v>550000</v>
      </c>
      <c r="D174" s="63">
        <v>27709000</v>
      </c>
      <c t="inlineStr" r="E174">
        <is>
          <t xml:space="preserve">California</t>
        </is>
      </c>
      <c r="F174" s="65">
        <v>0</v>
      </c>
      <c r="G174" s="63">
        <v>248000</v>
      </c>
      <c t="inlineStr" r="H174">
        <is>
          <t xml:space="preserve">Other Services (except public administration)</t>
        </is>
      </c>
      <c t="inlineStr" r="I174">
        <is>
          <t xml:space="preserve">Other Personal Services</t>
        </is>
      </c>
      <c t="inlineStr" r="J174">
        <is>
          <t xml:space="preserve">Roger Civalleri</t>
        </is>
      </c>
      <c t="inlineStr" r="L174">
        <is>
          <t xml:space="preserve">-----</t>
        </is>
      </c>
    </row>
    <row r="175">
      <c t="str" r="A175" s="4">
        <f>HYPERLINK("https://linkbusiness.com/businesses-for-sale/LA04548/Healthy-Food-Delivered-To-You","LA04548")</f>
      </c>
      <c t="inlineStr" r="B175">
        <is>
          <t xml:space="preserve">Healthy Food Delivered To You</t>
        </is>
      </c>
      <c r="C175" s="63">
        <v>110000</v>
      </c>
      <c r="D175" s="63">
        <v>5541800</v>
      </c>
      <c t="inlineStr" r="E175">
        <is>
          <t xml:space="preserve">California</t>
        </is>
      </c>
      <c r="F175" s="65">
        <v>0</v>
      </c>
      <c r="G175" s="63">
        <v>47553</v>
      </c>
      <c t="inlineStr" r="H175">
        <is>
          <t xml:space="preserve">Retail Trade</t>
        </is>
      </c>
      <c t="inlineStr" r="I175">
        <is>
          <t xml:space="preserve">Food and Beverage Stores</t>
        </is>
      </c>
      <c t="inlineStr" r="J175">
        <is>
          <t xml:space="preserve">Peter Magaziotis</t>
        </is>
      </c>
      <c t="inlineStr" r="L175">
        <is>
          <t xml:space="preserve">-----</t>
        </is>
      </c>
    </row>
    <row r="176">
      <c t="str" r="A176" s="4">
        <f>HYPERLINK("https://linkbusiness.com/businesses-for-sale/LA04550/Highly-Profitable-Commercial-Window-Covering-Company-with-Growth-Potential","LA04550")</f>
      </c>
      <c t="inlineStr" r="B176">
        <is>
          <t xml:space="preserve">Highly Profitable Commercial Window Covering Company with Growth Potential</t>
        </is>
      </c>
      <c r="C176" s="63">
        <v>395000</v>
      </c>
      <c r="D176" s="63">
        <v>19900100</v>
      </c>
      <c t="inlineStr" r="E176">
        <is>
          <t xml:space="preserve">Greater San Francisco Bay Area</t>
        </is>
      </c>
      <c r="F176" s="65">
        <v>0</v>
      </c>
      <c r="G176" s="65">
        <v>0</v>
      </c>
      <c t="inlineStr" r="H176">
        <is>
          <t xml:space="preserve">Construction</t>
        </is>
      </c>
      <c t="inlineStr" r="I176">
        <is>
          <t xml:space="preserve">Specialty Trade Contractors</t>
        </is>
      </c>
      <c t="inlineStr" r="L176">
        <is>
          <t xml:space="preserve">-----</t>
        </is>
      </c>
    </row>
    <row r="177">
      <c t="str" r="A177" s="4">
        <f>HYPERLINK("https://linkbusiness.com/businesses-for-sale/LA04555/Absentee-Run-%26-Profitable-Subway-Restaurant-in-Los-Angeles","LA04555")</f>
      </c>
      <c t="inlineStr" r="B177">
        <is>
          <t xml:space="preserve">Absentee Run &amp; Profitable Subway Restaurant in Los Angeles</t>
        </is>
      </c>
      <c r="C177" s="63">
        <v>125000</v>
      </c>
      <c r="D177" s="63">
        <v>6297500</v>
      </c>
      <c t="inlineStr" r="E177">
        <is>
          <t xml:space="preserve">Los Angeles County</t>
        </is>
      </c>
      <c r="F177" s="65">
        <v>0</v>
      </c>
      <c r="G177" s="63">
        <v>60000</v>
      </c>
      <c t="inlineStr" r="H177">
        <is>
          <t xml:space="preserve">Restaurant</t>
        </is>
      </c>
      <c t="inlineStr" r="I177">
        <is>
          <t xml:space="preserve">Food Services and Drinking Places</t>
        </is>
      </c>
      <c t="inlineStr" r="J177">
        <is>
          <t xml:space="preserve">Conrad Partida</t>
        </is>
      </c>
      <c t="inlineStr" r="K177">
        <is>
          <t xml:space="preserve">Joe Khoury</t>
        </is>
      </c>
      <c t="inlineStr" r="L177">
        <is>
          <t xml:space="preserve">-----</t>
        </is>
      </c>
    </row>
    <row r="178">
      <c t="str" r="A178" s="4">
        <f>HYPERLINK("https://linkbusiness.com/businesses-for-sale/LA04557/Fast-Food-Restaurant-with-Drive-thru-In-San-Bernardino-City","LA04557")</f>
      </c>
      <c t="inlineStr" r="B178">
        <is>
          <t xml:space="preserve">Fast Food Restaurant with Drive thru In San Bernardino City</t>
        </is>
      </c>
      <c r="C178" s="63">
        <v>295000</v>
      </c>
      <c r="D178" s="63">
        <v>14862100</v>
      </c>
      <c t="inlineStr" r="E178">
        <is>
          <t xml:space="preserve">California</t>
        </is>
      </c>
      <c r="F178" s="65">
        <v>0</v>
      </c>
      <c r="G178" s="63">
        <v>120000</v>
      </c>
      <c t="inlineStr" r="H178">
        <is>
          <t xml:space="preserve">Restaurant</t>
        </is>
      </c>
      <c t="inlineStr" r="I178">
        <is>
          <t xml:space="preserve">Food Services and Drinking Places</t>
        </is>
      </c>
      <c t="inlineStr" r="L178">
        <is>
          <t xml:space="preserve">-----</t>
        </is>
      </c>
    </row>
    <row r="179">
      <c t="str" r="A179" s="4">
        <f>HYPERLINK("https://linkbusiness.com/businesses-for-sale/LA04562/Internationally-Renown-Cosmetic-Testing-Manufacturer","LA04562")</f>
      </c>
      <c t="inlineStr" r="B179">
        <is>
          <t xml:space="preserve">Internationally Renown Cosmetic Testing Manufacturer</t>
        </is>
      </c>
      <c r="C179" s="65">
        <v>0</v>
      </c>
      <c r="D179" s="65">
        <v>0</v>
      </c>
      <c t="inlineStr" r="E179">
        <is>
          <t xml:space="preserve">California</t>
        </is>
      </c>
      <c r="F179" s="65">
        <v>0</v>
      </c>
      <c r="G179" s="63">
        <v>319000</v>
      </c>
      <c t="inlineStr" r="H179">
        <is>
          <t xml:space="preserve">Professional, Scientific and Technical Services</t>
        </is>
      </c>
      <c t="inlineStr" r="I179">
        <is>
          <t xml:space="preserve">&lt;none&gt;</t>
        </is>
      </c>
      <c t="inlineStr" r="J179">
        <is>
          <t xml:space="preserve">Conrad Partida</t>
        </is>
      </c>
      <c t="inlineStr" r="K179">
        <is>
          <t xml:space="preserve">Joe Khoury</t>
        </is>
      </c>
      <c t="inlineStr" r="L179">
        <is>
          <t xml:space="preserve">Refer to Broker</t>
        </is>
      </c>
    </row>
    <row r="180">
      <c t="str" r="A180" s="4">
        <f>HYPERLINK("https://linkbusiness.com/businesses-for-sale/LA04563/Home-Based-and-Established-Marketing-and-Advertising-Company","LA04563")</f>
      </c>
      <c t="inlineStr" r="B180">
        <is>
          <t xml:space="preserve">Home Based and Established Marketing and Advertising Company</t>
        </is>
      </c>
      <c r="C180" s="63">
        <v>39000</v>
      </c>
      <c r="D180" s="63">
        <v>1964820</v>
      </c>
      <c t="inlineStr" r="E180">
        <is>
          <t xml:space="preserve">Los Angeles County</t>
        </is>
      </c>
      <c r="F180" s="65">
        <v>0</v>
      </c>
      <c r="G180" s="63">
        <v>25000</v>
      </c>
      <c t="inlineStr" r="H180">
        <is>
          <t xml:space="preserve">Other Services (except public administration)</t>
        </is>
      </c>
      <c t="inlineStr" r="I180">
        <is>
          <t xml:space="preserve">Other Personal Services</t>
        </is>
      </c>
      <c t="inlineStr" r="J180">
        <is>
          <t xml:space="preserve">Joe Khoury</t>
        </is>
      </c>
      <c t="inlineStr" r="L180">
        <is>
          <t xml:space="preserve">-----</t>
        </is>
      </c>
    </row>
    <row r="181">
      <c t="str" r="A181" s="4">
        <f>HYPERLINK("https://linkbusiness.com/businesses-for-sale/LA04564/Retiring-After-40-Years-in-Showroom-Kitchen-%26-Bath-With-Established-Accounts","LA04564")</f>
      </c>
      <c t="inlineStr" r="B181">
        <is>
          <t xml:space="preserve">Retiring After 40 Years in Showroom Kitchen &amp; Bath With Established Accounts</t>
        </is>
      </c>
      <c r="C181" s="63">
        <v>425000</v>
      </c>
      <c r="D181" s="63">
        <v>21411500</v>
      </c>
      <c t="inlineStr" r="E181">
        <is>
          <t xml:space="preserve">California</t>
        </is>
      </c>
      <c r="F181" s="65">
        <v>0</v>
      </c>
      <c r="G181" s="65">
        <v>0</v>
      </c>
      <c t="inlineStr" r="H181">
        <is>
          <t xml:space="preserve">Retail Trade</t>
        </is>
      </c>
      <c t="inlineStr" r="I181">
        <is>
          <t xml:space="preserve">Building Material and Garden Equipment and Supplies Dealers</t>
        </is>
      </c>
      <c t="inlineStr" r="J181">
        <is>
          <t xml:space="preserve">Joe Khoury</t>
        </is>
      </c>
      <c t="inlineStr" r="L181">
        <is>
          <t xml:space="preserve">-----</t>
        </is>
      </c>
    </row>
    <row r="182">
      <c t="str" r="A182" s="4">
        <f>HYPERLINK("https://linkbusiness.com/businesses-for-sale/LA04565/Established-Dry-Cleaning-Plant%2c-Good-Visibility%2c-Low-Rent","LA04565")</f>
      </c>
      <c t="inlineStr" r="B182">
        <is>
          <t xml:space="preserve">Established Dry Cleaning Plant, Good Visibility, Low Rent</t>
        </is>
      </c>
      <c r="C182" s="63">
        <v>135000</v>
      </c>
      <c r="D182" s="63">
        <v>6801300</v>
      </c>
      <c t="inlineStr" r="E182">
        <is>
          <t xml:space="preserve">Los Angeles County</t>
        </is>
      </c>
      <c r="F182" s="65">
        <v>0</v>
      </c>
      <c r="G182" s="63">
        <v>60000</v>
      </c>
      <c t="inlineStr" r="H182">
        <is>
          <t xml:space="preserve">Other Services (except public administration)</t>
        </is>
      </c>
      <c t="inlineStr" r="I182">
        <is>
          <t xml:space="preserve">Drycleaning and Laundry Services</t>
        </is>
      </c>
      <c t="inlineStr" r="J182">
        <is>
          <t xml:space="preserve">Jim Moazez</t>
        </is>
      </c>
      <c t="inlineStr" r="L182">
        <is>
          <t xml:space="preserve">-----</t>
        </is>
      </c>
    </row>
    <row r="183">
      <c t="str" r="A183" s="4">
        <f>HYPERLINK("https://linkbusiness.com/businesses-for-sale/LA04566/Southern-California-Premier-Staffing-Agency","LA04566")</f>
      </c>
      <c t="inlineStr" r="B183">
        <is>
          <t xml:space="preserve">Southern California Premier Staffing Agency</t>
        </is>
      </c>
      <c r="C183" s="63">
        <v>1175000</v>
      </c>
      <c r="D183" s="63">
        <v>59196500</v>
      </c>
      <c t="inlineStr" r="E183">
        <is>
          <t xml:space="preserve">Southern California</t>
        </is>
      </c>
      <c r="F183" s="65">
        <v>0</v>
      </c>
      <c r="G183" s="63">
        <v>375937</v>
      </c>
      <c t="inlineStr" r="H183">
        <is>
          <t xml:space="preserve">Administrative &amp; Support &amp; Waste Management &amp; Remediation Services</t>
        </is>
      </c>
      <c t="inlineStr" r="I183">
        <is>
          <t xml:space="preserve">Administrative and Support Services</t>
        </is>
      </c>
      <c t="inlineStr" r="J183">
        <is>
          <t xml:space="preserve">Daniel Alway</t>
        </is>
      </c>
      <c t="inlineStr" r="K183">
        <is>
          <t xml:space="preserve">Shawn Davis</t>
        </is>
      </c>
      <c t="inlineStr" r="L183">
        <is>
          <t xml:space="preserve">-----</t>
        </is>
      </c>
    </row>
    <row r="184">
      <c t="str" r="A184" s="4">
        <f>HYPERLINK("https://linkbusiness.com/businesses-for-sale/LA04567/Amazing-Long-Beach-Paint-and-Sip-Art-School-Opportunity","LA04567")</f>
      </c>
      <c t="inlineStr" r="B184">
        <is>
          <t xml:space="preserve">Amazing Long Beach Paint and Sip Art School Opportunity</t>
        </is>
      </c>
      <c r="C184" s="63">
        <v>66000</v>
      </c>
      <c r="D184" s="63">
        <v>3325080</v>
      </c>
      <c t="inlineStr" r="E184">
        <is>
          <t xml:space="preserve">Southern California</t>
        </is>
      </c>
      <c r="F184" s="65">
        <v>0</v>
      </c>
      <c r="G184" s="63">
        <v>66086</v>
      </c>
      <c t="inlineStr" r="H184">
        <is>
          <t xml:space="preserve">Arts, Entertainment &amp; Recreation</t>
        </is>
      </c>
      <c t="inlineStr" r="I184">
        <is>
          <t xml:space="preserve">&lt;none&gt;</t>
        </is>
      </c>
      <c t="inlineStr" r="J184">
        <is>
          <t xml:space="preserve">Daniel Alway</t>
        </is>
      </c>
      <c t="inlineStr" r="K184">
        <is>
          <t xml:space="preserve">Shawn Davis</t>
        </is>
      </c>
      <c t="inlineStr" r="L184">
        <is>
          <t xml:space="preserve">-----</t>
        </is>
      </c>
    </row>
    <row r="185">
      <c t="str" r="A185" s="4">
        <f>HYPERLINK("https://linkbusiness.com/businesses-for-sale/LA04568/Fully-Equipped-Restaurant-in-Westwood-with-Beer-%26-Wine","LA04568")</f>
      </c>
      <c t="inlineStr" r="B185">
        <is>
          <t xml:space="preserve">Fully Equipped Restaurant in Westwood with Beer &amp; Wine</t>
        </is>
      </c>
      <c r="C185" s="63">
        <v>249000</v>
      </c>
      <c r="D185" s="63">
        <v>12544620</v>
      </c>
      <c t="inlineStr" r="E185">
        <is>
          <t xml:space="preserve">California</t>
        </is>
      </c>
      <c r="F185" s="65">
        <v>0</v>
      </c>
      <c r="G185" s="65">
        <v>0</v>
      </c>
      <c t="inlineStr" r="H185">
        <is>
          <t xml:space="preserve">Restaurant</t>
        </is>
      </c>
      <c t="inlineStr" r="I185">
        <is>
          <t xml:space="preserve">Food Services and Drinking Places</t>
        </is>
      </c>
      <c t="inlineStr" r="L185">
        <is>
          <t xml:space="preserve">-----</t>
        </is>
      </c>
    </row>
    <row r="186">
      <c t="str" r="A186" s="4">
        <f>HYPERLINK("https://linkbusiness.com/businesses-for-sale/LA04569/Hollywood-Fully-Equipped-Restaurant-With-Beer-%26-Wine","LA04569")</f>
      </c>
      <c t="inlineStr" r="B186">
        <is>
          <t xml:space="preserve">Hollywood Fully Equipped Restaurant With Beer &amp; Wine</t>
        </is>
      </c>
      <c r="C186" s="63">
        <v>350000</v>
      </c>
      <c r="D186" s="63">
        <v>17633000</v>
      </c>
      <c t="inlineStr" r="E186">
        <is>
          <t xml:space="preserve">California</t>
        </is>
      </c>
      <c r="F186" s="65">
        <v>0</v>
      </c>
      <c r="G186" s="65">
        <v>0</v>
      </c>
      <c t="inlineStr" r="H186">
        <is>
          <t xml:space="preserve">Restaurant</t>
        </is>
      </c>
      <c t="inlineStr" r="I186">
        <is>
          <t xml:space="preserve">Food Services and Drinking Places</t>
        </is>
      </c>
      <c t="inlineStr" r="J186">
        <is>
          <t xml:space="preserve">Joe Khoury</t>
        </is>
      </c>
      <c t="inlineStr" r="L186">
        <is>
          <t xml:space="preserve">-----</t>
        </is>
      </c>
    </row>
    <row r="187">
      <c t="str" r="A187" s="4">
        <f>HYPERLINK("https://linkbusiness.com/businesses-for-sale/LA04572/So-Cal-Coin-Laundry","LA04572")</f>
      </c>
      <c t="inlineStr" r="B187">
        <is>
          <t xml:space="preserve">So Cal Coin Laundry</t>
        </is>
      </c>
      <c r="C187" s="65">
        <v>0</v>
      </c>
      <c r="D187" s="65">
        <v>0</v>
      </c>
      <c t="inlineStr" r="E187">
        <is>
          <t xml:space="preserve">Southern California</t>
        </is>
      </c>
      <c r="F187" s="65">
        <v>0</v>
      </c>
      <c r="G187" s="65">
        <v>0</v>
      </c>
      <c t="inlineStr" r="H187">
        <is>
          <t xml:space="preserve">Retail Trade</t>
        </is>
      </c>
      <c t="inlineStr" r="I187">
        <is>
          <t xml:space="preserve">&lt;none&gt;</t>
        </is>
      </c>
      <c t="inlineStr" r="L187">
        <is>
          <t xml:space="preserve">Refer to Broker</t>
        </is>
      </c>
    </row>
    <row r="188">
      <c t="str" r="A188" s="4">
        <f>HYPERLINK("https://linkbusiness.com/businesses-for-sale/LA04573/Profitable-Resort-and-Casual-Wear-eCommerce-Website-and-Fashion-Company-with-Great-Potential-for-Gro","LA04573")</f>
      </c>
      <c t="inlineStr" r="B188">
        <is>
          <t xml:space="preserve">Profitable Resort and Casual Wear eCommerce Website and Fashion Company with Great Potential for Gro</t>
        </is>
      </c>
      <c r="C188" s="63">
        <v>99000</v>
      </c>
      <c r="D188" s="63">
        <v>4987620</v>
      </c>
      <c t="inlineStr" r="E188">
        <is>
          <t xml:space="preserve">Los Angeles County</t>
        </is>
      </c>
      <c r="F188" s="65">
        <v>0</v>
      </c>
      <c r="G188" s="63">
        <v>35000</v>
      </c>
      <c t="inlineStr" r="H188">
        <is>
          <t xml:space="preserve">Manufacturing</t>
        </is>
      </c>
      <c t="inlineStr" r="I188">
        <is>
          <t xml:space="preserve">Apparel Manufacturing</t>
        </is>
      </c>
      <c t="inlineStr" r="J188">
        <is>
          <t xml:space="preserve">Rolf Danryd</t>
        </is>
      </c>
      <c t="inlineStr" r="L188">
        <is>
          <t xml:space="preserve">Asset Sale</t>
        </is>
      </c>
    </row>
    <row r="189">
      <c t="str" r="A189" s="4">
        <f>HYPERLINK("https://linkbusiness.com/businesses-for-sale/LA04579/Medium-Sized-Trucking-Company","LA04579")</f>
      </c>
      <c t="inlineStr" r="B189">
        <is>
          <t xml:space="preserve">Medium Sized Trucking Company</t>
        </is>
      </c>
      <c r="C189" s="63">
        <v>450000</v>
      </c>
      <c r="D189" s="63">
        <v>22671000</v>
      </c>
      <c t="inlineStr" r="E189">
        <is>
          <t xml:space="preserve">California</t>
        </is>
      </c>
      <c r="F189" s="65">
        <v>0</v>
      </c>
      <c r="G189" s="65">
        <v>0</v>
      </c>
      <c t="inlineStr" r="H189">
        <is>
          <t xml:space="preserve">Transportation &amp; Warehousing</t>
        </is>
      </c>
      <c t="inlineStr" r="I189">
        <is>
          <t xml:space="preserve">Truck Transportation</t>
        </is>
      </c>
      <c t="inlineStr" r="J189">
        <is>
          <t xml:space="preserve">Daniel Alway</t>
        </is>
      </c>
      <c t="inlineStr" r="K189">
        <is>
          <t xml:space="preserve">Shawn Davis</t>
        </is>
      </c>
      <c t="inlineStr" r="L189">
        <is>
          <t xml:space="preserve">-----</t>
        </is>
      </c>
    </row>
    <row r="190">
      <c t="str" r="A190" s="4">
        <f>HYPERLINK("https://linkbusiness.com/businesses-for-sale/LA04580/Money-Making-Medical-Equipment-Company","LA04580")</f>
      </c>
      <c t="inlineStr" r="B190">
        <is>
          <t xml:space="preserve">Money Making Medical Equipment Company</t>
        </is>
      </c>
      <c r="C190" s="63">
        <v>1500000</v>
      </c>
      <c r="D190" s="63">
        <v>75570000</v>
      </c>
      <c t="inlineStr" r="E190">
        <is>
          <t xml:space="preserve">California</t>
        </is>
      </c>
      <c r="F190" s="65">
        <v>0</v>
      </c>
      <c r="G190" s="65">
        <v>0</v>
      </c>
      <c t="inlineStr" r="H190">
        <is>
          <t xml:space="preserve">Manufacturing</t>
        </is>
      </c>
      <c t="inlineStr" r="I190">
        <is>
          <t xml:space="preserve">&lt;none&gt;</t>
        </is>
      </c>
      <c t="inlineStr" r="J190">
        <is>
          <t xml:space="preserve">Daniel Alway</t>
        </is>
      </c>
      <c t="inlineStr" r="K190">
        <is>
          <t xml:space="preserve">Shawn Davis</t>
        </is>
      </c>
      <c t="inlineStr" r="L190">
        <is>
          <t xml:space="preserve">-----</t>
        </is>
      </c>
    </row>
    <row r="191">
      <c t="str" r="A191" s="4">
        <f>HYPERLINK("https://linkbusiness.com/businesses-for-sale/LA04581/Manufacturing-%26-Tooling-Maintenance-20%2b-yr-loyal-wholesale-clients","LA04581")</f>
      </c>
      <c t="inlineStr" r="B191">
        <is>
          <t xml:space="preserve">Manufacturing &amp; Tooling Maintenance 20+ yr loyal wholesale clients</t>
        </is>
      </c>
      <c r="C191" s="63">
        <v>475000</v>
      </c>
      <c r="D191" s="63">
        <v>23930500</v>
      </c>
      <c t="inlineStr" r="E191">
        <is>
          <t xml:space="preserve">Riverside County</t>
        </is>
      </c>
      <c r="F191" s="65">
        <v>0</v>
      </c>
      <c r="G191" s="63">
        <v>155061</v>
      </c>
      <c t="inlineStr" r="H191">
        <is>
          <t xml:space="preserve">Manufacturing</t>
        </is>
      </c>
      <c t="inlineStr" r="I191">
        <is>
          <t xml:space="preserve">&lt;none&gt;</t>
        </is>
      </c>
      <c t="inlineStr" r="J191">
        <is>
          <t xml:space="preserve">Ethan Skugrud</t>
        </is>
      </c>
      <c t="inlineStr" r="K191">
        <is>
          <t xml:space="preserve">Wes Lewison</t>
        </is>
      </c>
      <c t="inlineStr" r="L191">
        <is>
          <t xml:space="preserve">-----</t>
        </is>
      </c>
    </row>
    <row r="192">
      <c t="str" r="A192" s="4">
        <f>HYPERLINK("https://linkbusiness.com/businesses-for-sale/LA04582/Auto-Dealership-of-Used-cars%2c-with-ability-to-live-onsite","LA04582")</f>
      </c>
      <c t="inlineStr" r="B192">
        <is>
          <t xml:space="preserve">Auto Dealership of Used cars, with ability to live onsite</t>
        </is>
      </c>
      <c r="C192" s="63">
        <v>45000</v>
      </c>
      <c r="D192" s="63">
        <v>2267100</v>
      </c>
      <c t="inlineStr" r="E192">
        <is>
          <t xml:space="preserve">East Los Angeles County</t>
        </is>
      </c>
      <c r="F192" s="65">
        <v>0</v>
      </c>
      <c r="G192" s="63">
        <v>50000</v>
      </c>
      <c t="inlineStr" r="H192">
        <is>
          <t xml:space="preserve">Retail Trade</t>
        </is>
      </c>
      <c t="inlineStr" r="I192">
        <is>
          <t xml:space="preserve">&lt;none&gt;</t>
        </is>
      </c>
      <c t="inlineStr" r="J192">
        <is>
          <t xml:space="preserve">Keith O'Toole</t>
        </is>
      </c>
      <c t="inlineStr" r="K192">
        <is>
          <t xml:space="preserve">Wes Lewison</t>
        </is>
      </c>
      <c t="inlineStr" r="L192">
        <is>
          <t xml:space="preserve">-----</t>
        </is>
      </c>
    </row>
    <row r="193">
      <c t="str" r="A193" s="4">
        <f>HYPERLINK("https://linkbusiness.com/businesses-for-sale/LA04584/Commercial-Office-Space","LA04584")</f>
      </c>
      <c t="inlineStr" r="B193">
        <is>
          <t xml:space="preserve">Commercial Office Space</t>
        </is>
      </c>
      <c r="C193" s="63">
        <v>1800000</v>
      </c>
      <c r="D193" s="63">
        <v>90684000</v>
      </c>
      <c t="inlineStr" r="E193">
        <is>
          <t xml:space="preserve">Southern California</t>
        </is>
      </c>
      <c r="F193" s="65">
        <v>0</v>
      </c>
      <c r="G193" s="65">
        <v>0</v>
      </c>
      <c t="inlineStr" r="H193">
        <is>
          <t xml:space="preserve">Real Estate and Rental &amp; Leasing</t>
        </is>
      </c>
      <c t="inlineStr" r="I193">
        <is>
          <t xml:space="preserve">&lt;none&gt;</t>
        </is>
      </c>
      <c t="inlineStr" r="J193">
        <is>
          <t xml:space="preserve">Daniel Alway</t>
        </is>
      </c>
      <c t="inlineStr" r="K193">
        <is>
          <t xml:space="preserve">Shawn Davis</t>
        </is>
      </c>
      <c t="inlineStr" r="L193">
        <is>
          <t xml:space="preserve">-----</t>
        </is>
      </c>
    </row>
    <row r="194">
      <c t="str" r="A194" s="4">
        <f>HYPERLINK("https://linkbusiness.com/businesses-for-sale/LA04585/Well-Established-Filipino-Restaurant","LA04585")</f>
      </c>
      <c t="inlineStr" r="B194">
        <is>
          <t xml:space="preserve">Well Established Filipino Restaurant</t>
        </is>
      </c>
      <c r="C194" s="63">
        <v>80000</v>
      </c>
      <c r="D194" s="63">
        <v>4030400</v>
      </c>
      <c t="inlineStr" r="E194">
        <is>
          <t xml:space="preserve">San Fernando Valley</t>
        </is>
      </c>
      <c r="F194" s="65">
        <v>0</v>
      </c>
      <c r="G194" s="65">
        <v>0</v>
      </c>
      <c t="inlineStr" r="H194">
        <is>
          <t xml:space="preserve">Restaurant</t>
        </is>
      </c>
      <c t="inlineStr" r="I194">
        <is>
          <t xml:space="preserve">&lt;none&gt;</t>
        </is>
      </c>
      <c t="inlineStr" r="L194">
        <is>
          <t xml:space="preserve">-----</t>
        </is>
      </c>
    </row>
    <row r="195">
      <c t="str" r="A195" s="4">
        <f>HYPERLINK("https://linkbusiness.com/businesses-for-sale/LA04587/Be-Your-Own-Boss-Operating-A-Home-Based-Sewing-Company","LA04587")</f>
      </c>
      <c t="inlineStr" r="B195">
        <is>
          <t xml:space="preserve">Be Your Own Boss Operating A Home Based Sewing Company</t>
        </is>
      </c>
      <c r="C195" s="63">
        <v>170000</v>
      </c>
      <c r="D195" s="63">
        <v>8564600</v>
      </c>
      <c t="inlineStr" r="E195">
        <is>
          <t xml:space="preserve">Southern California</t>
        </is>
      </c>
      <c r="F195" s="65">
        <v>0</v>
      </c>
      <c r="G195" s="63">
        <v>53665</v>
      </c>
      <c t="inlineStr" r="H195">
        <is>
          <t xml:space="preserve">Manufacturing</t>
        </is>
      </c>
      <c t="inlineStr" r="I195">
        <is>
          <t xml:space="preserve">&lt;none&gt;</t>
        </is>
      </c>
      <c t="inlineStr" r="J195">
        <is>
          <t xml:space="preserve">Daniel Alway</t>
        </is>
      </c>
      <c t="inlineStr" r="K195">
        <is>
          <t xml:space="preserve">Shawn Davis</t>
        </is>
      </c>
      <c t="inlineStr" r="L195">
        <is>
          <t xml:space="preserve">-----</t>
        </is>
      </c>
    </row>
    <row r="196">
      <c t="str" r="A196" s="4">
        <f>HYPERLINK("https://linkbusiness.com/businesses-for-sale/LA04588/Non-Union-Electrical-Contractor-31-Years-in-Central-LA","LA04588")</f>
      </c>
      <c t="inlineStr" r="B196">
        <is>
          <t xml:space="preserve">Non Union Electrical Contractor 31 Years in Central LA</t>
        </is>
      </c>
      <c r="C196" s="63">
        <v>1025000</v>
      </c>
      <c r="D196" s="63">
        <v>51639500</v>
      </c>
      <c t="inlineStr" r="E196">
        <is>
          <t xml:space="preserve">Los Angeles County</t>
        </is>
      </c>
      <c r="F196" s="65">
        <v>0</v>
      </c>
      <c r="G196" s="63">
        <v>452519</v>
      </c>
      <c t="inlineStr" r="H196">
        <is>
          <t xml:space="preserve">Construction</t>
        </is>
      </c>
      <c t="inlineStr" r="I196">
        <is>
          <t xml:space="preserve">Specialty Trade Contractors</t>
        </is>
      </c>
      <c t="inlineStr" r="J196">
        <is>
          <t xml:space="preserve">Wes Lewison</t>
        </is>
      </c>
      <c t="inlineStr" r="K196">
        <is>
          <t xml:space="preserve">Stuart Greenberg</t>
        </is>
      </c>
      <c t="inlineStr" r="L196">
        <is>
          <t xml:space="preserve">-----</t>
        </is>
      </c>
    </row>
    <row r="197">
      <c t="str" r="A197" s="4">
        <f>HYPERLINK("https://linkbusiness.com/businesses-for-sale/LA04589/Durable-Medical-Equipment-Business%2c-Relocatable%2c-Seller-Carry","LA04589")</f>
      </c>
      <c t="inlineStr" r="B197">
        <is>
          <t xml:space="preserve">Durable Medical Equipment Business, Relocatable, Seller Carry</t>
        </is>
      </c>
      <c r="C197" s="63">
        <v>195000</v>
      </c>
      <c r="D197" s="63">
        <v>9824100</v>
      </c>
      <c t="inlineStr" r="E197">
        <is>
          <t xml:space="preserve">North Los Angeles County</t>
        </is>
      </c>
      <c r="F197" s="65">
        <v>0</v>
      </c>
      <c r="G197" s="63">
        <v>100000</v>
      </c>
      <c t="inlineStr" r="H197">
        <is>
          <t xml:space="preserve">Retail Trade</t>
        </is>
      </c>
      <c t="inlineStr" r="I197">
        <is>
          <t xml:space="preserve">Health and Personal Care Stores</t>
        </is>
      </c>
      <c t="inlineStr" r="L197">
        <is>
          <t xml:space="preserve">-----</t>
        </is>
      </c>
    </row>
    <row r="198">
      <c t="str" r="A198" s="4">
        <f>HYPERLINK("https://linkbusiness.com/businesses-for-sale/LA04590/Packaging-and-Box-Manufacturer%2c-Unique-Capabilities","LA04590")</f>
      </c>
      <c t="inlineStr" r="B198">
        <is>
          <t xml:space="preserve">Packaging and Box Manufacturer, Unique Capabilities</t>
        </is>
      </c>
      <c r="C198" s="63">
        <v>1800000</v>
      </c>
      <c r="D198" s="63">
        <v>90684000</v>
      </c>
      <c t="inlineStr" r="E198">
        <is>
          <t xml:space="preserve">Los Angeles County</t>
        </is>
      </c>
      <c r="F198" s="65">
        <v>0</v>
      </c>
      <c r="G198" s="63">
        <v>577965</v>
      </c>
      <c t="inlineStr" r="H198">
        <is>
          <t xml:space="preserve">Manufacturing</t>
        </is>
      </c>
      <c t="inlineStr" r="I198">
        <is>
          <t xml:space="preserve">Paper Manufacturing</t>
        </is>
      </c>
      <c t="inlineStr" r="J198">
        <is>
          <t xml:space="preserve">Stuart Greenberg</t>
        </is>
      </c>
      <c t="inlineStr" r="L198">
        <is>
          <t xml:space="preserve">-----</t>
        </is>
      </c>
    </row>
    <row r="199">
      <c t="str" r="A199" s="4">
        <f>HYPERLINK("https://linkbusiness.com/businesses-for-sale/LA04592/One-of-A-Kind-Battery-Fire-Suppression-Technology%2c-Patented","LA04592")</f>
      </c>
      <c t="inlineStr" r="B199">
        <is>
          <t xml:space="preserve">One of A Kind Battery Fire Suppression Technology, Patented</t>
        </is>
      </c>
      <c r="C199" s="63">
        <v>3500000</v>
      </c>
      <c r="D199" s="63">
        <v>176330000</v>
      </c>
      <c t="inlineStr" r="E199">
        <is>
          <t xml:space="preserve">Undisclosed</t>
        </is>
      </c>
      <c r="F199" s="65">
        <v>0</v>
      </c>
      <c r="G199" s="65">
        <v>0</v>
      </c>
      <c t="inlineStr" r="H199">
        <is>
          <t xml:space="preserve">Manufacturing</t>
        </is>
      </c>
      <c t="inlineStr" r="I199">
        <is>
          <t xml:space="preserve">&lt;none&gt;</t>
        </is>
      </c>
      <c t="inlineStr" r="J199">
        <is>
          <t xml:space="preserve">Jim Moazez</t>
        </is>
      </c>
      <c t="inlineStr" r="L199">
        <is>
          <t xml:space="preserve">-----</t>
        </is>
      </c>
    </row>
    <row r="200">
      <c t="str" r="A200" s="4">
        <f>HYPERLINK("https://linkbusiness.com/businesses-for-sale/LA04593/HIGHLY-RATED-2-BAY-AUTO-REPAIR%2c-LOS-ANGELES-COUNTY","LA04593")</f>
      </c>
      <c t="inlineStr" r="B200">
        <is>
          <t xml:space="preserve">HIGHLY RATED 2 BAY AUTO REPAIR, LOS ANGELES COUNTY</t>
        </is>
      </c>
      <c r="C200" s="63">
        <v>50000</v>
      </c>
      <c r="D200" s="63">
        <v>2519000</v>
      </c>
      <c t="inlineStr" r="E200">
        <is>
          <t xml:space="preserve">East Los Angeles County</t>
        </is>
      </c>
      <c r="F200" s="65">
        <v>0</v>
      </c>
      <c r="G200" s="65">
        <v>0</v>
      </c>
      <c t="inlineStr" r="H200">
        <is>
          <t xml:space="preserve">Other Services (except public administration)</t>
        </is>
      </c>
      <c t="inlineStr" r="I200">
        <is>
          <t xml:space="preserve">Repair and Maintenance</t>
        </is>
      </c>
      <c t="inlineStr" r="J200">
        <is>
          <t xml:space="preserve">Merrill Eastcott</t>
        </is>
      </c>
      <c t="inlineStr" r="L200">
        <is>
          <t xml:space="preserve">-----</t>
        </is>
      </c>
    </row>
    <row r="201">
      <c t="str" r="A201" s="4">
        <f>HYPERLINK("https://linkbusiness.com/businesses-for-sale/LA04597/Elegant-Fine-Dining-Highly-Profitable-with-HUGE-Upside","LA04597")</f>
      </c>
      <c t="inlineStr" r="B201">
        <is>
          <t xml:space="preserve">Elegant Fine Dining Highly Profitable with HUGE Upside</t>
        </is>
      </c>
      <c r="C201" s="63">
        <v>435000</v>
      </c>
      <c r="D201" s="63">
        <v>21915300</v>
      </c>
      <c t="inlineStr" r="E201">
        <is>
          <t xml:space="preserve">Riverside County</t>
        </is>
      </c>
      <c r="F201" s="65">
        <v>0</v>
      </c>
      <c r="G201" s="63">
        <v>251864</v>
      </c>
      <c t="inlineStr" r="H201">
        <is>
          <t xml:space="preserve">Restaurant</t>
        </is>
      </c>
      <c t="inlineStr" r="I201">
        <is>
          <t xml:space="preserve">&lt;none&gt;</t>
        </is>
      </c>
      <c t="inlineStr" r="J201">
        <is>
          <t xml:space="preserve">Ethan Skugrud</t>
        </is>
      </c>
      <c t="inlineStr" r="L201">
        <is>
          <t xml:space="preserve">-----</t>
        </is>
      </c>
    </row>
    <row r="202">
      <c t="str" r="A202" s="4">
        <f>HYPERLINK("https://linkbusiness.com/businesses-for-sale/LA04599/Profitable-and-Well-Established-Carpet-Company-Specializing-In-Complete-Remodeling","LA04599")</f>
      </c>
      <c t="inlineStr" r="B202">
        <is>
          <t xml:space="preserve">Profitable and Well Established Carpet Company Specializing In Complete Remodeling.</t>
        </is>
      </c>
      <c r="C202" s="63">
        <v>499000</v>
      </c>
      <c r="D202" s="63">
        <v>25139620</v>
      </c>
      <c t="inlineStr" r="E202">
        <is>
          <t xml:space="preserve">Riverside County</t>
        </is>
      </c>
      <c r="F202" s="65">
        <v>0</v>
      </c>
      <c r="G202" s="63">
        <v>160834</v>
      </c>
      <c t="inlineStr" r="H202">
        <is>
          <t xml:space="preserve">Construction</t>
        </is>
      </c>
      <c t="inlineStr" r="I202">
        <is>
          <t xml:space="preserve">&lt;none&gt;</t>
        </is>
      </c>
      <c t="inlineStr" r="J202">
        <is>
          <t xml:space="preserve">Rolf Danryd</t>
        </is>
      </c>
      <c t="inlineStr" r="L202">
        <is>
          <t xml:space="preserve">-----</t>
        </is>
      </c>
    </row>
    <row r="203">
      <c t="str" r="A203" s="4">
        <f>HYPERLINK("https://linkbusiness.com/businesses-for-sale/LA04600/Dance-and-More-in-Thriving-Valencia%252fSanta-Clarita","LA04600")</f>
      </c>
      <c t="inlineStr" r="B203">
        <is>
          <t xml:space="preserve">Dance and More in Thriving Valencia/Santa Clarita</t>
        </is>
      </c>
      <c r="C203" s="63">
        <v>189000</v>
      </c>
      <c r="D203" s="63">
        <v>9521820</v>
      </c>
      <c t="inlineStr" r="E203">
        <is>
          <t xml:space="preserve">California</t>
        </is>
      </c>
      <c r="F203" s="65">
        <v>0</v>
      </c>
      <c r="G203" s="63">
        <v>90000</v>
      </c>
      <c t="inlineStr" r="H203">
        <is>
          <t xml:space="preserve">Arts, Entertainment &amp; Recreation</t>
        </is>
      </c>
      <c t="inlineStr" r="I203">
        <is>
          <t xml:space="preserve">Performing Arts, Spectator Sports, and Related Industries</t>
        </is>
      </c>
      <c t="inlineStr" r="L203">
        <is>
          <t xml:space="preserve">-----</t>
        </is>
      </c>
    </row>
    <row r="204">
      <c t="str" r="A204" s="4">
        <f>HYPERLINK("https://linkbusiness.com/businesses-for-sale/LA04604/Ecommerce-Resins-Dealer-That-Can-Be-Easily-Relocated","LA04604")</f>
      </c>
      <c t="inlineStr" r="B204">
        <is>
          <t xml:space="preserve">Ecommerce Resins Dealer That Can Be Easily Relocated</t>
        </is>
      </c>
      <c r="C204" s="63">
        <v>150000</v>
      </c>
      <c r="D204" s="63">
        <v>7557000</v>
      </c>
      <c t="inlineStr" r="E204">
        <is>
          <t xml:space="preserve">California</t>
        </is>
      </c>
      <c r="F204" s="65">
        <v>0</v>
      </c>
      <c r="G204" s="63">
        <v>108440</v>
      </c>
      <c t="inlineStr" r="H204">
        <is>
          <t xml:space="preserve">Wholesale Trade</t>
        </is>
      </c>
      <c t="inlineStr" r="I204">
        <is>
          <t xml:space="preserve">&lt;none&gt;</t>
        </is>
      </c>
      <c t="inlineStr" r="L204">
        <is>
          <t xml:space="preserve">-----</t>
        </is>
      </c>
    </row>
    <row r="205">
      <c t="str" r="A205" s="4">
        <f>HYPERLINK("https://linkbusiness.com/businesses-for-sale/LA04605/Former-Starbucks%2c-5-day-Coffee-and-Tea%2c-OC","LA04605")</f>
      </c>
      <c t="inlineStr" r="B205">
        <is>
          <t xml:space="preserve">Former Starbucks, 5 day Coffee and Tea, OC</t>
        </is>
      </c>
      <c r="C205" s="63">
        <v>149000</v>
      </c>
      <c r="D205" s="63">
        <v>7506620</v>
      </c>
      <c t="inlineStr" r="E205">
        <is>
          <t xml:space="preserve">California</t>
        </is>
      </c>
      <c r="F205" s="65">
        <v>0</v>
      </c>
      <c r="G205" s="63">
        <v>54000</v>
      </c>
      <c t="inlineStr" r="H205">
        <is>
          <t xml:space="preserve">Restaurant</t>
        </is>
      </c>
      <c t="inlineStr" r="I205">
        <is>
          <t xml:space="preserve">&lt;none&gt;</t>
        </is>
      </c>
      <c t="inlineStr" r="J205">
        <is>
          <t xml:space="preserve">Paul Suh</t>
        </is>
      </c>
      <c t="inlineStr" r="L205">
        <is>
          <t xml:space="preserve">-----</t>
        </is>
      </c>
    </row>
    <row r="206">
      <c t="str" r="A206" s="4">
        <f>HYPERLINK("https://linkbusiness.com/businesses-for-sale/LA04606/Japanese-Eatery-With-Beer-And-Wine-in-OC","LA04606")</f>
      </c>
      <c t="inlineStr" r="B206">
        <is>
          <t xml:space="preserve">Japanese Eatery With Beer And Wine in OC</t>
        </is>
      </c>
      <c r="C206" s="63">
        <v>99000</v>
      </c>
      <c r="D206" s="63">
        <v>4987620</v>
      </c>
      <c t="inlineStr" r="E206">
        <is>
          <t xml:space="preserve">California</t>
        </is>
      </c>
      <c r="F206" s="65">
        <v>0</v>
      </c>
      <c r="G206" s="65">
        <v>0</v>
      </c>
      <c t="inlineStr" r="H206">
        <is>
          <t xml:space="preserve">Restaurant</t>
        </is>
      </c>
      <c t="inlineStr" r="I206">
        <is>
          <t xml:space="preserve">Food Services and Drinking Places</t>
        </is>
      </c>
      <c t="inlineStr" r="L206">
        <is>
          <t xml:space="preserve">-----</t>
        </is>
      </c>
    </row>
    <row r="207">
      <c t="str" r="A207" s="4">
        <f>HYPERLINK("https://linkbusiness.com/businesses-for-sale/LA04607/Fast-Food-Restaurant-with-Drive-Thru-in-LA-County","LA04607")</f>
      </c>
      <c t="inlineStr" r="B207">
        <is>
          <t xml:space="preserve">Fast Food Restaurant with Drive Thru in LA County</t>
        </is>
      </c>
      <c r="C207" s="63">
        <v>395000</v>
      </c>
      <c r="D207" s="63">
        <v>19900100</v>
      </c>
      <c t="inlineStr" r="E207">
        <is>
          <t xml:space="preserve">California</t>
        </is>
      </c>
      <c r="F207" s="65">
        <v>0</v>
      </c>
      <c r="G207" s="63">
        <v>144000</v>
      </c>
      <c t="inlineStr" r="H207">
        <is>
          <t xml:space="preserve">Restaurant</t>
        </is>
      </c>
      <c t="inlineStr" r="I207">
        <is>
          <t xml:space="preserve">Food Services and Drinking Places</t>
        </is>
      </c>
      <c t="inlineStr" r="J207">
        <is>
          <t xml:space="preserve">Paul Suh</t>
        </is>
      </c>
      <c t="inlineStr" r="L207">
        <is>
          <t xml:space="preserve">-----</t>
        </is>
      </c>
    </row>
    <row r="208">
      <c t="str" r="A208" s="4">
        <f>HYPERLINK("https://linkbusiness.com/businesses-for-sale/LA04609/Profitable-Restaurant-With-DriveThru","LA04609")</f>
      </c>
      <c t="inlineStr" r="B208">
        <is>
          <t xml:space="preserve">Profitable Restaurant With DriveThru</t>
        </is>
      </c>
      <c r="C208" s="63">
        <v>345000</v>
      </c>
      <c r="D208" s="63">
        <v>17381100</v>
      </c>
      <c t="inlineStr" r="E208">
        <is>
          <t xml:space="preserve">North Orange County</t>
        </is>
      </c>
      <c r="F208" s="65">
        <v>0</v>
      </c>
      <c r="G208" s="63">
        <v>119000</v>
      </c>
      <c t="inlineStr" r="H208">
        <is>
          <t xml:space="preserve">Restaurant</t>
        </is>
      </c>
      <c t="inlineStr" r="I208">
        <is>
          <t xml:space="preserve">Accommodation</t>
        </is>
      </c>
      <c t="inlineStr" r="J208">
        <is>
          <t xml:space="preserve">Peter Magaziotis</t>
        </is>
      </c>
      <c t="inlineStr" r="L208">
        <is>
          <t xml:space="preserve">-----</t>
        </is>
      </c>
    </row>
    <row r="209">
      <c t="str" r="A209" s="4">
        <f>HYPERLINK("https://linkbusiness.com/businesses-for-sale/LA04610/Profitable-Seafood-Processing-Company","LA04610")</f>
      </c>
      <c t="inlineStr" r="B209">
        <is>
          <t xml:space="preserve">Profitable Seafood Processing Company</t>
        </is>
      </c>
      <c r="C209" s="63">
        <v>2000000</v>
      </c>
      <c r="D209" s="63">
        <v>100760000</v>
      </c>
      <c t="inlineStr" r="E209">
        <is>
          <t xml:space="preserve">South Bay Cities &amp; Long Beach</t>
        </is>
      </c>
      <c r="F209" s="65">
        <v>0</v>
      </c>
      <c r="G209" s="63">
        <v>550000</v>
      </c>
      <c t="inlineStr" r="H209">
        <is>
          <t xml:space="preserve">Manufacturing</t>
        </is>
      </c>
      <c t="inlineStr" r="I209">
        <is>
          <t xml:space="preserve">Food Manufacturing</t>
        </is>
      </c>
      <c t="inlineStr" r="L209">
        <is>
          <t xml:space="preserve">-----</t>
        </is>
      </c>
    </row>
    <row r="210">
      <c t="str" r="A210" s="4">
        <f>HYPERLINK("https://linkbusiness.com/businesses-for-sale/LA04617/Manufacturer-for-DOD-Products-Seeks-CEO-Level-Buyer","LA04617")</f>
      </c>
      <c t="inlineStr" r="B210">
        <is>
          <t xml:space="preserve">Manufacturer for DOD Products Seeks CEO Level Buyer</t>
        </is>
      </c>
      <c r="C210" s="63">
        <v>3798900</v>
      </c>
      <c r="D210" s="63">
        <v>191388582</v>
      </c>
      <c t="inlineStr" r="E210">
        <is>
          <t xml:space="preserve">Los Angeles County</t>
        </is>
      </c>
      <c r="F210" s="65">
        <v>0</v>
      </c>
      <c r="G210" s="65">
        <v>0</v>
      </c>
      <c t="inlineStr" r="H210">
        <is>
          <t xml:space="preserve">Construction</t>
        </is>
      </c>
      <c t="inlineStr" r="I210">
        <is>
          <t xml:space="preserve">Specialty Trade Contractors</t>
        </is>
      </c>
      <c t="inlineStr" r="J210">
        <is>
          <t xml:space="preserve">Keith O'Toole</t>
        </is>
      </c>
      <c t="inlineStr" r="K210">
        <is>
          <t xml:space="preserve">Wes Lewison</t>
        </is>
      </c>
      <c t="inlineStr" r="L210">
        <is>
          <t xml:space="preserve">-----</t>
        </is>
      </c>
    </row>
    <row r="211">
      <c t="str" r="A211" s="4">
        <f>HYPERLINK("https://linkbusiness.com/businesses-for-sale/LA04618/Established-Southern-California-Wholesale-Fastener-Distribution-Company","LA04618")</f>
      </c>
      <c t="inlineStr" r="B211">
        <is>
          <t xml:space="preserve">Established Southern California Wholesale Fastener Distribution Company</t>
        </is>
      </c>
      <c r="C211" s="63">
        <v>350000</v>
      </c>
      <c r="D211" s="63">
        <v>17633000</v>
      </c>
      <c t="inlineStr" r="E211">
        <is>
          <t xml:space="preserve">Southern California</t>
        </is>
      </c>
      <c r="F211" s="65">
        <v>0</v>
      </c>
      <c r="G211" s="63">
        <v>135830</v>
      </c>
      <c t="inlineStr" r="H211">
        <is>
          <t xml:space="preserve">Wholesale Trade</t>
        </is>
      </c>
      <c t="inlineStr" r="I211">
        <is>
          <t xml:space="preserve">Merchant Wholesalers, Durable Goods</t>
        </is>
      </c>
      <c t="inlineStr" r="L211">
        <is>
          <t xml:space="preserve">-----</t>
        </is>
      </c>
    </row>
    <row r="212">
      <c t="str" r="A212" s="4">
        <f>HYPERLINK("https://linkbusiness.com/businesses-for-sale/LA04623/Medical-Practice-Near-Regional-Hospital","LA04623")</f>
      </c>
      <c t="inlineStr" r="B212">
        <is>
          <t xml:space="preserve">Medical Practice Near Regional Hospital</t>
        </is>
      </c>
      <c r="C212" s="63">
        <v>700000</v>
      </c>
      <c r="D212" s="63">
        <v>35266000</v>
      </c>
      <c t="inlineStr" r="E212">
        <is>
          <t xml:space="preserve">North Los Angeles County</t>
        </is>
      </c>
      <c r="F212" s="65">
        <v>0</v>
      </c>
      <c r="G212" s="63">
        <v>525000</v>
      </c>
      <c t="inlineStr" r="H212">
        <is>
          <t xml:space="preserve">Health Care &amp; Social Assistance</t>
        </is>
      </c>
      <c t="inlineStr" r="I212">
        <is>
          <t xml:space="preserve">Ambulatory Health Care Services</t>
        </is>
      </c>
      <c t="inlineStr" r="J212">
        <is>
          <t xml:space="preserve">Stuart Greenberg</t>
        </is>
      </c>
      <c t="inlineStr" r="L212">
        <is>
          <t xml:space="preserve">-----</t>
        </is>
      </c>
    </row>
    <row r="213">
      <c t="str" r="A213" s="4">
        <f>HYPERLINK("https://linkbusiness.com/businesses-for-sale/LA04624/Well-Established-Deli-%26-Bakery-in-Conejo-Valley","LA04624")</f>
      </c>
      <c t="inlineStr" r="B213">
        <is>
          <t xml:space="preserve">Well Established Deli &amp; Bakery in Conejo Valley</t>
        </is>
      </c>
      <c r="C213" s="63">
        <v>199000</v>
      </c>
      <c r="D213" s="63">
        <v>10025620</v>
      </c>
      <c t="inlineStr" r="E213">
        <is>
          <t xml:space="preserve">California</t>
        </is>
      </c>
      <c r="F213" s="65">
        <v>0</v>
      </c>
      <c r="G213" s="65">
        <v>0</v>
      </c>
      <c t="inlineStr" r="H213">
        <is>
          <t xml:space="preserve">Restaurant</t>
        </is>
      </c>
      <c t="inlineStr" r="I213">
        <is>
          <t xml:space="preserve">Food Services and Drinking Places</t>
        </is>
      </c>
      <c t="inlineStr" r="J213">
        <is>
          <t xml:space="preserve">Joe Khoury</t>
        </is>
      </c>
      <c t="inlineStr" r="L213">
        <is>
          <t xml:space="preserve">-----</t>
        </is>
      </c>
    </row>
    <row r="214">
      <c t="str" r="A214" s="4">
        <f>HYPERLINK("https://linkbusiness.com/businesses-for-sale/LA04625/Profitable-Custom-Car-Accessory-Company","LA04625")</f>
      </c>
      <c t="inlineStr" r="B214">
        <is>
          <t xml:space="preserve">Profitable Custom Car Accessory Company</t>
        </is>
      </c>
      <c r="C214" s="63">
        <v>350000</v>
      </c>
      <c r="D214" s="63">
        <v>17633000</v>
      </c>
      <c t="inlineStr" r="E214">
        <is>
          <t xml:space="preserve">Orange County</t>
        </is>
      </c>
      <c r="F214" s="65">
        <v>0</v>
      </c>
      <c r="G214" s="63">
        <v>166450</v>
      </c>
      <c t="inlineStr" r="H214">
        <is>
          <t xml:space="preserve">Other Services (except public administration)</t>
        </is>
      </c>
      <c t="inlineStr" r="I214">
        <is>
          <t xml:space="preserve">&lt;none&gt;</t>
        </is>
      </c>
      <c t="inlineStr" r="J214">
        <is>
          <t xml:space="preserve">Jim Moazez</t>
        </is>
      </c>
      <c t="inlineStr" r="L214">
        <is>
          <t xml:space="preserve">-----</t>
        </is>
      </c>
    </row>
    <row r="215">
      <c t="str" r="A215" s="4">
        <f>HYPERLINK("https://linkbusiness.com/businesses-for-sale/LA04626/Profitable-European-Auto-Repair-Shop","LA04626")</f>
      </c>
      <c t="inlineStr" r="B215">
        <is>
          <t xml:space="preserve">Profitable European Auto Repair Shop</t>
        </is>
      </c>
      <c r="C215" s="63">
        <v>100000</v>
      </c>
      <c r="D215" s="63">
        <v>5038000</v>
      </c>
      <c t="inlineStr" r="E215">
        <is>
          <t xml:space="preserve">Orange County</t>
        </is>
      </c>
      <c r="F215" s="65">
        <v>0</v>
      </c>
      <c r="G215" s="63">
        <v>115000</v>
      </c>
      <c t="inlineStr" r="H215">
        <is>
          <t xml:space="preserve">Other Services (except public administration)</t>
        </is>
      </c>
      <c t="inlineStr" r="I215">
        <is>
          <t xml:space="preserve">Repair and Maintenance</t>
        </is>
      </c>
      <c t="inlineStr" r="J215">
        <is>
          <t xml:space="preserve">Kellie Fish</t>
        </is>
      </c>
      <c t="inlineStr" r="L215">
        <is>
          <t xml:space="preserve">-----</t>
        </is>
      </c>
    </row>
    <row r="216">
      <c t="str" r="A216" s="4">
        <f>HYPERLINK("https://linkbusiness.com/businesses-for-sale/LA04627/Extremely-Busy-Appliance-Repair-in-the-Heart-of-Los-Angeles","LA04627")</f>
      </c>
      <c t="inlineStr" r="B216">
        <is>
          <t xml:space="preserve">Extremely Busy Appliance Repair in the Heart of Los Angeles</t>
        </is>
      </c>
      <c r="C216" s="63">
        <v>595000</v>
      </c>
      <c r="D216" s="63">
        <v>29976100</v>
      </c>
      <c t="inlineStr" r="E216">
        <is>
          <t xml:space="preserve">Los Angeles County</t>
        </is>
      </c>
      <c r="F216" s="65">
        <v>0</v>
      </c>
      <c r="G216" s="63">
        <v>157015</v>
      </c>
      <c t="inlineStr" r="H216">
        <is>
          <t xml:space="preserve">Other Services (except public administration)</t>
        </is>
      </c>
      <c t="inlineStr" r="I216">
        <is>
          <t xml:space="preserve">Repair and Maintenance</t>
        </is>
      </c>
      <c t="inlineStr" r="J216">
        <is>
          <t xml:space="preserve">Stuart Greenberg</t>
        </is>
      </c>
      <c t="inlineStr" r="L216">
        <is>
          <t xml:space="preserve">-----</t>
        </is>
      </c>
    </row>
    <row r="217">
      <c t="str" r="A217" s="4">
        <f>HYPERLINK("https://linkbusiness.com/businesses-for-sale/LA04628/State-Of-the-Art-Bodyshop%2c-Upscale-area%2c-Semi-Absentee-run","LA04628")</f>
      </c>
      <c t="inlineStr" r="B217">
        <is>
          <t xml:space="preserve">State Of the Art Bodyshop, Upscale area, Semi Absentee run</t>
        </is>
      </c>
      <c r="C217" s="63">
        <v>200000</v>
      </c>
      <c r="D217" s="63">
        <v>10076000</v>
      </c>
      <c t="inlineStr" r="E217">
        <is>
          <t xml:space="preserve">Pasadena &amp; Glendale Area</t>
        </is>
      </c>
      <c r="F217" s="65">
        <v>0</v>
      </c>
      <c r="G217" s="65">
        <v>0</v>
      </c>
      <c t="inlineStr" r="H217">
        <is>
          <t xml:space="preserve">Other Services (except public administration)</t>
        </is>
      </c>
      <c t="inlineStr" r="I217">
        <is>
          <t xml:space="preserve">Repair and Maintenance</t>
        </is>
      </c>
      <c t="inlineStr" r="J217">
        <is>
          <t xml:space="preserve">Jim Moazez</t>
        </is>
      </c>
      <c t="inlineStr" r="L217">
        <is>
          <t xml:space="preserve">-----</t>
        </is>
      </c>
    </row>
    <row r="218">
      <c t="str" r="A218" s="4">
        <f>HYPERLINK("https://linkbusiness.com/businesses-for-sale/LA04630/Smog-Test-Only-on-Prime-Location-with-Real-Estate","LA04630")</f>
      </c>
      <c t="inlineStr" r="B218">
        <is>
          <t xml:space="preserve">Smog Test Only on Prime Location with Real Estate</t>
        </is>
      </c>
      <c r="C218" s="63">
        <v>1350000</v>
      </c>
      <c r="D218" s="63">
        <v>68013000</v>
      </c>
      <c t="inlineStr" r="E218">
        <is>
          <t xml:space="preserve">Riverside County</t>
        </is>
      </c>
      <c r="F218" s="65">
        <v>0</v>
      </c>
      <c r="G218" s="63">
        <v>180000</v>
      </c>
      <c t="inlineStr" r="H218">
        <is>
          <t xml:space="preserve">Other Services (except public administration)</t>
        </is>
      </c>
      <c t="inlineStr" r="I218">
        <is>
          <t xml:space="preserve">Repair and Maintenance</t>
        </is>
      </c>
      <c t="inlineStr" r="J218">
        <is>
          <t xml:space="preserve">Jim Moazez</t>
        </is>
      </c>
      <c t="inlineStr" r="L218">
        <is>
          <t xml:space="preserve">-----</t>
        </is>
      </c>
    </row>
    <row r="219">
      <c t="str" r="A219" s="4">
        <f>HYPERLINK("https://linkbusiness.com/businesses-for-sale/LA04631/Must-Sell-In-Home-Senior-Care-Franchise","LA04631")</f>
      </c>
      <c t="inlineStr" r="B219">
        <is>
          <t xml:space="preserve">Must Sell In Home Senior Care Franchise</t>
        </is>
      </c>
      <c r="C219" s="63">
        <v>150000</v>
      </c>
      <c r="D219" s="63">
        <v>7557000</v>
      </c>
      <c t="inlineStr" r="E219">
        <is>
          <t xml:space="preserve">Southern California</t>
        </is>
      </c>
      <c r="F219" s="65">
        <v>0</v>
      </c>
      <c r="G219" s="65">
        <v>0</v>
      </c>
      <c t="inlineStr" r="H219">
        <is>
          <t xml:space="preserve">Health Care &amp; Social Assistance</t>
        </is>
      </c>
      <c t="inlineStr" r="I219">
        <is>
          <t xml:space="preserve">&lt;none&gt;</t>
        </is>
      </c>
      <c t="inlineStr" r="J219">
        <is>
          <t xml:space="preserve">Sara Vaziri</t>
        </is>
      </c>
      <c t="inlineStr" r="L219">
        <is>
          <t xml:space="preserve">-----</t>
        </is>
      </c>
    </row>
    <row r="220">
      <c t="str" r="A220" s="4">
        <f>HYPERLINK("https://linkbusiness.com/businesses-for-sale/LA04632/High-Volume-Distributor-of-Small-Appliance","LA04632")</f>
      </c>
      <c t="inlineStr" r="B220">
        <is>
          <t xml:space="preserve">High Volume Distributor of Small Appliance</t>
        </is>
      </c>
      <c r="C220" s="63">
        <v>5000000</v>
      </c>
      <c r="D220" s="63">
        <v>251900000</v>
      </c>
      <c t="inlineStr" r="E220">
        <is>
          <t xml:space="preserve">Orange County</t>
        </is>
      </c>
      <c r="F220" s="65">
        <v>0</v>
      </c>
      <c r="G220" s="63">
        <v>520000</v>
      </c>
      <c t="inlineStr" r="H220">
        <is>
          <t xml:space="preserve">Wholesale Trade</t>
        </is>
      </c>
      <c t="inlineStr" r="I220">
        <is>
          <t xml:space="preserve">Merchant Wholesalers, Durable Goods</t>
        </is>
      </c>
      <c t="inlineStr" r="J220">
        <is>
          <t xml:space="preserve">Ved Sajnani</t>
        </is>
      </c>
      <c t="inlineStr" r="L220">
        <is>
          <t xml:space="preserve">-----</t>
        </is>
      </c>
    </row>
    <row r="221">
      <c t="str" r="A221" s="4">
        <f>HYPERLINK("https://linkbusiness.com/businesses-for-sale/LA04637/Easy-Operation-Light-Body-Shop-In-High-Traffic-Location","LA04637")</f>
      </c>
      <c t="inlineStr" r="B221">
        <is>
          <t xml:space="preserve">Easy Operation Light Body Shop In High Traffic Location</t>
        </is>
      </c>
      <c r="C221" s="63">
        <v>450000</v>
      </c>
      <c r="D221" s="63">
        <v>22671000</v>
      </c>
      <c t="inlineStr" r="E221">
        <is>
          <t xml:space="preserve">San Diego County</t>
        </is>
      </c>
      <c r="F221" s="65">
        <v>0</v>
      </c>
      <c r="G221" s="63">
        <v>196000</v>
      </c>
      <c t="inlineStr" r="H221">
        <is>
          <t xml:space="preserve">Other Services (except public administration)</t>
        </is>
      </c>
      <c t="inlineStr" r="I221">
        <is>
          <t xml:space="preserve">Repair and Maintenance</t>
        </is>
      </c>
      <c t="inlineStr" r="J221">
        <is>
          <t xml:space="preserve">Jim Moazez</t>
        </is>
      </c>
      <c t="inlineStr" r="L221">
        <is>
          <t xml:space="preserve">-----</t>
        </is>
      </c>
    </row>
    <row r="222">
      <c t="str" r="A222" s="4">
        <f>HYPERLINK("https://linkbusiness.com/businesses-for-sale/LA04641/Profitable-Subway-Franchise-in-Orange-County","LA04641")</f>
      </c>
      <c t="inlineStr" r="B222">
        <is>
          <t xml:space="preserve">Profitable Subway Franchise in Orange County</t>
        </is>
      </c>
      <c r="C222" s="63">
        <v>140000</v>
      </c>
      <c r="D222" s="63">
        <v>7053200</v>
      </c>
      <c t="inlineStr" r="E222">
        <is>
          <t xml:space="preserve">North Orange County</t>
        </is>
      </c>
      <c r="F222" s="65">
        <v>0</v>
      </c>
      <c r="G222" s="63">
        <v>48000</v>
      </c>
      <c t="inlineStr" r="H222">
        <is>
          <t xml:space="preserve">Restaurant</t>
        </is>
      </c>
      <c t="inlineStr" r="I222">
        <is>
          <t xml:space="preserve">&lt;none&gt;</t>
        </is>
      </c>
      <c t="inlineStr" r="J222">
        <is>
          <t xml:space="preserve">Ved Sajnani</t>
        </is>
      </c>
      <c t="inlineStr" r="L222">
        <is>
          <t xml:space="preserve">-----</t>
        </is>
      </c>
    </row>
    <row r="223">
      <c t="str" r="A223" s="4">
        <f>HYPERLINK("https://linkbusiness.com/businesses-for-sale/LA04642/Single-Source-Retail-Display-Solutions-Provider","LA04642")</f>
      </c>
      <c t="inlineStr" r="B223">
        <is>
          <t xml:space="preserve">Single Source Retail Display Solutions Provider</t>
        </is>
      </c>
      <c r="C223" s="63">
        <v>578000</v>
      </c>
      <c r="D223" s="63">
        <v>29119640</v>
      </c>
      <c t="inlineStr" r="E223">
        <is>
          <t xml:space="preserve">Los Angeles County</t>
        </is>
      </c>
      <c r="F223" s="65">
        <v>0</v>
      </c>
      <c r="G223" s="63">
        <v>400000</v>
      </c>
      <c t="inlineStr" r="H223">
        <is>
          <t xml:space="preserve">Manufacturing</t>
        </is>
      </c>
      <c t="inlineStr" r="I223">
        <is>
          <t xml:space="preserve">Miscellaneous Manufacturing</t>
        </is>
      </c>
      <c t="inlineStr" r="J223">
        <is>
          <t xml:space="preserve">Stuart Greenberg</t>
        </is>
      </c>
      <c t="inlineStr" r="L223">
        <is>
          <t xml:space="preserve">-----</t>
        </is>
      </c>
    </row>
    <row r="224">
      <c t="str" r="A224" s="4">
        <f>HYPERLINK("https://linkbusiness.com/businesses-for-sale/LA04643/Metal-%26-Plastics-Precision-Marking-Company%2c-Worldwide-Customers","LA04643")</f>
      </c>
      <c t="inlineStr" r="B224">
        <is>
          <t xml:space="preserve">Metal &amp; Plastics Precision Marking Company, Worldwide Customers</t>
        </is>
      </c>
      <c r="C224" s="63">
        <v>1050000</v>
      </c>
      <c r="D224" s="63">
        <v>52899000</v>
      </c>
      <c t="inlineStr" r="E224">
        <is>
          <t xml:space="preserve">Los Angeles County</t>
        </is>
      </c>
      <c r="F224" s="65">
        <v>0</v>
      </c>
      <c r="G224" s="63">
        <v>362000</v>
      </c>
      <c t="inlineStr" r="H224">
        <is>
          <t xml:space="preserve">Manufacturing</t>
        </is>
      </c>
      <c t="inlineStr" r="I224">
        <is>
          <t xml:space="preserve">Fabricated Metal Product Manufacturing</t>
        </is>
      </c>
      <c t="inlineStr" r="J224">
        <is>
          <t xml:space="preserve">Stuart Greenberg</t>
        </is>
      </c>
      <c t="inlineStr" r="L224">
        <is>
          <t xml:space="preserve">-----</t>
        </is>
      </c>
    </row>
    <row r="225">
      <c t="str" r="A225" s="4">
        <f>HYPERLINK("https://linkbusiness.com/businesses-for-sale/LA04644/Ultimate-Beauty-Salon-Experience-Excellent-price-and-SBA-preapproved","LA04644")</f>
      </c>
      <c t="inlineStr" r="B225">
        <is>
          <t xml:space="preserve">Ultimate Beauty Salon Experience Excellent price and SBA preapproved</t>
        </is>
      </c>
      <c r="C225" s="63">
        <v>730000</v>
      </c>
      <c r="D225" s="63">
        <v>36777400</v>
      </c>
      <c t="inlineStr" r="E225">
        <is>
          <t xml:space="preserve">Los Angeles County</t>
        </is>
      </c>
      <c r="F225" s="65">
        <v>0</v>
      </c>
      <c r="G225" s="63">
        <v>368381</v>
      </c>
      <c t="inlineStr" r="H225">
        <is>
          <t xml:space="preserve">Other Services (except public administration)</t>
        </is>
      </c>
      <c t="inlineStr" r="I225">
        <is>
          <t xml:space="preserve">Personal Care Services</t>
        </is>
      </c>
      <c t="inlineStr" r="J225">
        <is>
          <t xml:space="preserve">Giulio J Maresca</t>
        </is>
      </c>
      <c t="inlineStr" r="L225">
        <is>
          <t xml:space="preserve">-----</t>
        </is>
      </c>
    </row>
    <row r="226">
      <c t="str" r="A226" s="4">
        <f>HYPERLINK("https://linkbusiness.com/businesses-for-sale/LA04647/Mercedes-Benz-Vintage-Parts","LA04647")</f>
      </c>
      <c t="inlineStr" r="B226">
        <is>
          <t xml:space="preserve">Mercedes Benz Vintage Parts</t>
        </is>
      </c>
      <c r="C226" s="63">
        <v>183000</v>
      </c>
      <c r="D226" s="63">
        <v>9219540</v>
      </c>
      <c t="inlineStr" r="E226">
        <is>
          <t xml:space="preserve">California</t>
        </is>
      </c>
      <c r="F226" s="65">
        <v>0</v>
      </c>
      <c r="G226" s="65">
        <v>0</v>
      </c>
      <c t="inlineStr" r="H226">
        <is>
          <t xml:space="preserve">Wholesale Trade</t>
        </is>
      </c>
      <c t="inlineStr" r="I226">
        <is>
          <t xml:space="preserve">Merchant Wholesalers, Durable Goods</t>
        </is>
      </c>
      <c t="inlineStr" r="J226">
        <is>
          <t xml:space="preserve">Kellie Fish</t>
        </is>
      </c>
      <c t="inlineStr" r="K226">
        <is>
          <t xml:space="preserve">Donna Alexander</t>
        </is>
      </c>
      <c t="inlineStr" r="L226">
        <is>
          <t xml:space="preserve">-----</t>
        </is>
      </c>
    </row>
    <row r="227">
      <c t="str" r="A227" s="4">
        <f>HYPERLINK("https://linkbusiness.com/businesses-for-sale/LA04650/40-Year-Established-Retail-and-Online-Music-Store","LA04650")</f>
      </c>
      <c t="inlineStr" r="B227">
        <is>
          <t xml:space="preserve">40 Year Established Retail and Online Music Store</t>
        </is>
      </c>
      <c r="C227" s="63">
        <v>1100000</v>
      </c>
      <c r="D227" s="63">
        <v>55418000</v>
      </c>
      <c t="inlineStr" r="E227">
        <is>
          <t xml:space="preserve">California</t>
        </is>
      </c>
      <c r="F227" s="65">
        <v>0</v>
      </c>
      <c r="G227" s="63">
        <v>133389</v>
      </c>
      <c t="inlineStr" r="H227">
        <is>
          <t xml:space="preserve">Retail Trade</t>
        </is>
      </c>
      <c t="inlineStr" r="I227">
        <is>
          <t xml:space="preserve">Sporting Goods, Hobby, Musical Instrument, and Book Stores</t>
        </is>
      </c>
      <c t="inlineStr" r="J227">
        <is>
          <t xml:space="preserve">Giulio J Maresca</t>
        </is>
      </c>
      <c t="inlineStr" r="L227">
        <is>
          <t xml:space="preserve">-----</t>
        </is>
      </c>
    </row>
    <row r="228">
      <c t="str" r="A228" s="4">
        <f>HYPERLINK("https://linkbusiness.com/businesses-for-sale/LA04652/Profitable-Franchise-Cookie-Business-For-Sale-In-Riverside-County!","LA04652")</f>
      </c>
      <c t="inlineStr" r="B228">
        <is>
          <t xml:space="preserve">Profitable Franchise Cookie Business For Sale In Riverside County!</t>
        </is>
      </c>
      <c r="C228" s="63">
        <v>450000</v>
      </c>
      <c r="D228" s="63">
        <v>22671000</v>
      </c>
      <c t="inlineStr" r="E228">
        <is>
          <t xml:space="preserve">Riverside County</t>
        </is>
      </c>
      <c r="F228" s="65">
        <v>0</v>
      </c>
      <c r="G228" s="63">
        <v>129109</v>
      </c>
      <c t="inlineStr" r="H228">
        <is>
          <t xml:space="preserve">Franchises</t>
        </is>
      </c>
      <c t="inlineStr" r="I228">
        <is>
          <t xml:space="preserve">&lt;none&gt;</t>
        </is>
      </c>
      <c t="inlineStr" r="J228">
        <is>
          <t xml:space="preserve">Susie Kang</t>
        </is>
      </c>
      <c t="inlineStr" r="L228">
        <is>
          <t xml:space="preserve">-----</t>
        </is>
      </c>
    </row>
    <row r="229">
      <c t="str" r="A229" s="4">
        <f>HYPERLINK("https://linkbusiness.com/businesses-for-sale/LA04653/Coastal-OC-10-Executive-Suites-Absentee-Ownership-Income","LA04653")</f>
      </c>
      <c t="inlineStr" r="B229">
        <is>
          <t xml:space="preserve">Coastal OC 10 Executive Suites Absentee Ownership Income</t>
        </is>
      </c>
      <c r="C229" s="63">
        <v>295000</v>
      </c>
      <c r="D229" s="63">
        <v>14862100</v>
      </c>
      <c t="inlineStr" r="E229">
        <is>
          <t xml:space="preserve">California</t>
        </is>
      </c>
      <c r="F229" s="65">
        <v>0</v>
      </c>
      <c r="G229" s="63">
        <v>104348</v>
      </c>
      <c t="inlineStr" r="H229">
        <is>
          <t xml:space="preserve">Retail Trade</t>
        </is>
      </c>
      <c t="inlineStr" r="I229">
        <is>
          <t xml:space="preserve">&lt;none&gt;</t>
        </is>
      </c>
      <c t="inlineStr" r="J229">
        <is>
          <t xml:space="preserve">Ethan Skugrud</t>
        </is>
      </c>
      <c t="inlineStr" r="K229">
        <is>
          <t xml:space="preserve">Wes Lewison</t>
        </is>
      </c>
      <c t="inlineStr" r="L229">
        <is>
          <t xml:space="preserve">+ 40K Franchise Transfer fee</t>
        </is>
      </c>
    </row>
    <row r="230">
      <c t="str" r="A230" s="4">
        <f>HYPERLINK("https://linkbusiness.com/businesses-for-sale/LA04654/Orange-County-32-Tenant-Executive-Suite-Absentee-Ownership-Income","LA04654")</f>
      </c>
      <c t="inlineStr" r="B230">
        <is>
          <t xml:space="preserve">Orange County 32 Tenant Executive Suite Absentee Ownership Income</t>
        </is>
      </c>
      <c r="C230" s="63">
        <v>495000</v>
      </c>
      <c r="D230" s="63">
        <v>24938100</v>
      </c>
      <c t="inlineStr" r="E230">
        <is>
          <t xml:space="preserve">Orange County</t>
        </is>
      </c>
      <c r="F230" s="65">
        <v>0</v>
      </c>
      <c r="G230" s="63">
        <v>224987</v>
      </c>
      <c t="inlineStr" r="H230">
        <is>
          <t xml:space="preserve">Retail Trade</t>
        </is>
      </c>
      <c t="inlineStr" r="I230">
        <is>
          <t xml:space="preserve">Health and Personal Care Stores</t>
        </is>
      </c>
      <c t="inlineStr" r="J230">
        <is>
          <t xml:space="preserve">Ethan Skugrud</t>
        </is>
      </c>
      <c t="inlineStr" r="K230">
        <is>
          <t xml:space="preserve">Wes Lewison</t>
        </is>
      </c>
      <c t="inlineStr" r="L230">
        <is>
          <t xml:space="preserve">Absentee Ownership spreadsheet return</t>
        </is>
      </c>
    </row>
    <row r="231">
      <c t="str" r="A231" s="4">
        <f>HYPERLINK("https://linkbusiness.com/businesses-for-sale/LA04655/Sign-%26-Banner-Company-OC-%2c-Strategic-Acquisition-%26-Growth-Opportunity","LA04655")</f>
      </c>
      <c t="inlineStr" r="B231">
        <is>
          <t xml:space="preserve">Sign &amp; Banner Company OC , Strategic Acquisition &amp; Growth Opportunity</t>
        </is>
      </c>
      <c r="C231" s="63">
        <v>45000</v>
      </c>
      <c r="D231" s="63">
        <v>2267100</v>
      </c>
      <c t="inlineStr" r="E231">
        <is>
          <t xml:space="preserve">North Orange County</t>
        </is>
      </c>
      <c r="F231" s="65">
        <v>0</v>
      </c>
      <c r="G231" s="65">
        <v>0</v>
      </c>
      <c t="inlineStr" r="H231">
        <is>
          <t xml:space="preserve">Retail Trade</t>
        </is>
      </c>
      <c t="inlineStr" r="I231">
        <is>
          <t xml:space="preserve">Miscellaneous Store Retailers</t>
        </is>
      </c>
      <c t="inlineStr" r="L231">
        <is>
          <t xml:space="preserve">-----</t>
        </is>
      </c>
    </row>
    <row r="232">
      <c t="str" r="A232" s="4">
        <f>HYPERLINK("https://linkbusiness.com/businesses-for-sale/LA04657/Art-District-Bustling-Salon-Absentee-Ownership","LA04657")</f>
      </c>
      <c t="inlineStr" r="B232">
        <is>
          <t xml:space="preserve">Art District Bustling Salon Absentee Ownership</t>
        </is>
      </c>
      <c r="C232" s="63">
        <v>199575</v>
      </c>
      <c r="D232" s="63">
        <v>10054588</v>
      </c>
      <c t="inlineStr" r="E232">
        <is>
          <t xml:space="preserve">California</t>
        </is>
      </c>
      <c r="F232" s="65">
        <v>0</v>
      </c>
      <c r="G232" s="63">
        <v>95336</v>
      </c>
      <c t="inlineStr" r="H232">
        <is>
          <t xml:space="preserve">Other Services (except public administration)</t>
        </is>
      </c>
      <c t="inlineStr" r="I232">
        <is>
          <t xml:space="preserve">Personal Care Services</t>
        </is>
      </c>
      <c t="inlineStr" r="J232">
        <is>
          <t xml:space="preserve">Ethan Skugrud</t>
        </is>
      </c>
      <c t="inlineStr" r="L232">
        <is>
          <t xml:space="preserve">-----</t>
        </is>
      </c>
    </row>
    <row r="233">
      <c t="str" r="A233" s="4">
        <f>HYPERLINK("https://linkbusiness.com/businesses-for-sale/LA04659/Profitable-30-Year-Metal-Fabricator-%252f-Welder-Seeks-Owner-Operator-in-LA-County","LA04659")</f>
      </c>
      <c t="inlineStr" r="B233">
        <is>
          <t xml:space="preserve">Profitable 30 Year Metal Fabricator / Welder Seeks Owner Operator in LA County</t>
        </is>
      </c>
      <c r="C233" s="63">
        <v>145000</v>
      </c>
      <c r="D233" s="63">
        <v>7305100</v>
      </c>
      <c t="inlineStr" r="E233">
        <is>
          <t xml:space="preserve">California</t>
        </is>
      </c>
      <c r="F233" s="65">
        <v>0</v>
      </c>
      <c r="G233" s="63">
        <v>93713</v>
      </c>
      <c t="inlineStr" r="H233">
        <is>
          <t xml:space="preserve">Manufacturing</t>
        </is>
      </c>
      <c t="inlineStr" r="I233">
        <is>
          <t xml:space="preserve">&lt;none&gt;</t>
        </is>
      </c>
      <c t="inlineStr" r="J233">
        <is>
          <t xml:space="preserve">Wes Lewison</t>
        </is>
      </c>
      <c t="inlineStr" r="L233">
        <is>
          <t xml:space="preserve">-----</t>
        </is>
      </c>
    </row>
    <row r="234">
      <c t="str" r="A234" s="4">
        <f>HYPERLINK("https://linkbusiness.com/businesses-for-sale/LA04663/Sneaker-Cleaners-in-the-Heart-of-Trendy-Melrose-Ave","LA04663")</f>
      </c>
      <c t="inlineStr" r="B234">
        <is>
          <t xml:space="preserve">Sneaker Cleaners in the Heart of Trendy Melrose Ave</t>
        </is>
      </c>
      <c r="C234" s="63">
        <v>120000</v>
      </c>
      <c r="D234" s="63">
        <v>6045600</v>
      </c>
      <c t="inlineStr" r="E234">
        <is>
          <t xml:space="preserve">California</t>
        </is>
      </c>
      <c r="F234" s="65">
        <v>0</v>
      </c>
      <c r="G234" s="63">
        <v>71198</v>
      </c>
      <c t="inlineStr" r="H234">
        <is>
          <t xml:space="preserve">Retail Trade</t>
        </is>
      </c>
      <c t="inlineStr" r="I234">
        <is>
          <t xml:space="preserve">Clothing and Clothing Accessories Stores</t>
        </is>
      </c>
      <c t="inlineStr" r="J234">
        <is>
          <t xml:space="preserve">Stuart Greenberg</t>
        </is>
      </c>
      <c t="inlineStr" r="L234">
        <is>
          <t xml:space="preserve">-----</t>
        </is>
      </c>
    </row>
    <row r="235">
      <c t="str" r="A235" s="4">
        <f>HYPERLINK("https://linkbusiness.com/businesses-for-sale/LA04664/100%25-Organic-Energy-Bar-Brand-Seller-Carry","LA04664")</f>
      </c>
      <c t="inlineStr" r="B235">
        <is>
          <t xml:space="preserve">100% Organic Energy Bar Brand Seller Carry</t>
        </is>
      </c>
      <c r="C235" s="63">
        <v>75000</v>
      </c>
      <c r="D235" s="63">
        <v>3778500</v>
      </c>
      <c t="inlineStr" r="E235">
        <is>
          <t xml:space="preserve">Other</t>
        </is>
      </c>
      <c r="F235" s="65">
        <v>0</v>
      </c>
      <c r="G235" s="65">
        <v>0</v>
      </c>
      <c t="inlineStr" r="H235">
        <is>
          <t xml:space="preserve">Professional, Scientific and Technical Services</t>
        </is>
      </c>
      <c t="inlineStr" r="I235">
        <is>
          <t xml:space="preserve">&lt;none&gt;</t>
        </is>
      </c>
      <c t="inlineStr" r="J235">
        <is>
          <t xml:space="preserve">Giulio J Maresca</t>
        </is>
      </c>
      <c t="inlineStr" r="K235">
        <is>
          <t xml:space="preserve">Wes Lewison</t>
        </is>
      </c>
      <c t="inlineStr" r="L235">
        <is>
          <t xml:space="preserve">-----</t>
        </is>
      </c>
    </row>
    <row r="236">
      <c t="str" r="A236" s="4">
        <f>HYPERLINK("https://linkbusiness.com/businesses-for-sale/LA04665/LA-and-Ventura-Counties-Cabinet-and-Floor-Refinishing","LA04665")</f>
      </c>
      <c t="inlineStr" r="B236">
        <is>
          <t xml:space="preserve">LA and Ventura Counties Cabinet and Floor Refinishing</t>
        </is>
      </c>
      <c r="C236" s="63">
        <v>125000</v>
      </c>
      <c r="D236" s="63">
        <v>6297500</v>
      </c>
      <c t="inlineStr" r="E236">
        <is>
          <t xml:space="preserve">California</t>
        </is>
      </c>
      <c r="F236" s="65">
        <v>0</v>
      </c>
      <c r="G236" s="63">
        <v>68523</v>
      </c>
      <c t="inlineStr" r="H236">
        <is>
          <t xml:space="preserve">Franchises</t>
        </is>
      </c>
      <c t="inlineStr" r="I236">
        <is>
          <t xml:space="preserve">Specialty Trade Contractors</t>
        </is>
      </c>
      <c t="inlineStr" r="J236">
        <is>
          <t xml:space="preserve">Kellie Fish</t>
        </is>
      </c>
      <c t="inlineStr" r="K236">
        <is>
          <t xml:space="preserve">Donna Alexander</t>
        </is>
      </c>
      <c t="inlineStr" r="L236">
        <is>
          <t xml:space="preserve">-----</t>
        </is>
      </c>
    </row>
    <row r="237">
      <c t="str" r="A237" s="4">
        <f>HYPERLINK("https://linkbusiness.com/businesses-for-sale/LA04666/100%2b-year-old-Southern-California-Brewery","LA04666")</f>
      </c>
      <c t="inlineStr" r="B237">
        <is>
          <t xml:space="preserve">100+ year old Southern California Brewery</t>
        </is>
      </c>
      <c r="C237" s="63">
        <v>350000</v>
      </c>
      <c r="D237" s="63">
        <v>17633000</v>
      </c>
      <c t="inlineStr" r="E237">
        <is>
          <t xml:space="preserve">Southern California</t>
        </is>
      </c>
      <c r="F237" s="65">
        <v>0</v>
      </c>
      <c r="G237" s="63">
        <v>78592</v>
      </c>
      <c t="inlineStr" r="H237">
        <is>
          <t xml:space="preserve">Restaurant</t>
        </is>
      </c>
      <c t="inlineStr" r="I237">
        <is>
          <t xml:space="preserve">Food Services and Drinking Places</t>
        </is>
      </c>
      <c t="inlineStr" r="J237">
        <is>
          <t xml:space="preserve">Daniel Alway</t>
        </is>
      </c>
      <c t="inlineStr" r="K237">
        <is>
          <t xml:space="preserve">Shawn Davis</t>
        </is>
      </c>
      <c t="inlineStr" r="L237">
        <is>
          <t xml:space="preserve">-----</t>
        </is>
      </c>
    </row>
    <row r="238">
      <c t="str" r="A238" s="4">
        <f>HYPERLINK("https://linkbusiness.com/businesses-for-sale/LA04668/Profitable-Turnkey-Niche-Machine-Shop","LA04668")</f>
      </c>
      <c t="inlineStr" r="B238">
        <is>
          <t xml:space="preserve">Profitable Turnkey Niche Machine Shop</t>
        </is>
      </c>
      <c r="C238" s="63">
        <v>360000</v>
      </c>
      <c r="D238" s="63">
        <v>18136800</v>
      </c>
      <c t="inlineStr" r="E238">
        <is>
          <t xml:space="preserve">Orange County</t>
        </is>
      </c>
      <c r="F238" s="65">
        <v>0</v>
      </c>
      <c r="G238" s="65">
        <v>0</v>
      </c>
      <c t="inlineStr" r="H238">
        <is>
          <t xml:space="preserve">Manufacturing</t>
        </is>
      </c>
      <c t="inlineStr" r="I238">
        <is>
          <t xml:space="preserve">Transportation Equipment Manufacturing</t>
        </is>
      </c>
      <c t="inlineStr" r="J238">
        <is>
          <t xml:space="preserve">Philip Wolfstein, CBB</t>
        </is>
      </c>
      <c t="inlineStr" r="L238">
        <is>
          <t xml:space="preserve">-----</t>
        </is>
      </c>
    </row>
    <row r="239">
      <c t="str" r="A239" s="4">
        <f>HYPERLINK("https://linkbusiness.com/businesses-for-sale/LA04674/ESTABLISHED-PROFITABLE-ORANGE-COUNTY-CLEANING-AGENCY","LA04674")</f>
      </c>
      <c t="inlineStr" r="B239">
        <is>
          <t xml:space="preserve">ESTABLISHED PROFITABLE ORANGE COUNTY CLEANING AGENCY</t>
        </is>
      </c>
      <c r="C239" s="63">
        <v>399000</v>
      </c>
      <c r="D239" s="63">
        <v>20101620</v>
      </c>
      <c t="inlineStr" r="E239">
        <is>
          <t xml:space="preserve">Orange County</t>
        </is>
      </c>
      <c r="F239" s="65">
        <v>0</v>
      </c>
      <c r="G239" s="65">
        <v>0</v>
      </c>
      <c t="inlineStr" r="H239">
        <is>
          <t xml:space="preserve">Other Services (except public administration)</t>
        </is>
      </c>
      <c t="inlineStr" r="I239">
        <is>
          <t xml:space="preserve">Private Households</t>
        </is>
      </c>
      <c t="inlineStr" r="J239">
        <is>
          <t xml:space="preserve">Merrill Eastcott</t>
        </is>
      </c>
      <c t="inlineStr" r="K239">
        <is>
          <t xml:space="preserve">John Chiapella</t>
        </is>
      </c>
      <c t="inlineStr" r="L239">
        <is>
          <t xml:space="preserve">-----</t>
        </is>
      </c>
    </row>
    <row r="240">
      <c t="str" r="A240" s="4">
        <f>HYPERLINK("https://linkbusiness.com/businesses-for-sale/LA04675/Highly-profitable-Convenience-Store-with-beer-%26-wine-in-Orange-County","LA04675")</f>
      </c>
      <c t="inlineStr" r="B240">
        <is>
          <t xml:space="preserve">Highly profitable Convenience Store with beer &amp; wine in Orange County</t>
        </is>
      </c>
      <c r="C240" s="63">
        <v>450000</v>
      </c>
      <c r="D240" s="63">
        <v>22671000</v>
      </c>
      <c t="inlineStr" r="E240">
        <is>
          <t xml:space="preserve">Orange County</t>
        </is>
      </c>
      <c r="F240" s="65">
        <v>0</v>
      </c>
      <c r="G240" s="63">
        <v>220000</v>
      </c>
      <c t="inlineStr" r="H240">
        <is>
          <t xml:space="preserve">Retail Trade</t>
        </is>
      </c>
      <c t="inlineStr" r="I240">
        <is>
          <t xml:space="preserve">General Merchandise Stores</t>
        </is>
      </c>
      <c t="inlineStr" r="J240">
        <is>
          <t xml:space="preserve">Ved Sajnani</t>
        </is>
      </c>
      <c t="inlineStr" r="L240">
        <is>
          <t xml:space="preserve">-----</t>
        </is>
      </c>
    </row>
    <row r="241">
      <c t="str" r="A241" s="4">
        <f>HYPERLINK("https://linkbusiness.com/businesses-for-sale/LA04676/Massage-Therapy-and-Healing-Day-Spa-in-the-South-Bay","LA04676")</f>
      </c>
      <c t="inlineStr" r="B241">
        <is>
          <t xml:space="preserve">Massage Therapy and Healing Day Spa in the South Bay</t>
        </is>
      </c>
      <c r="C241" s="63">
        <v>150000</v>
      </c>
      <c r="D241" s="63">
        <v>7557000</v>
      </c>
      <c t="inlineStr" r="E241">
        <is>
          <t xml:space="preserve">South Bay Cities &amp; Long Beach</t>
        </is>
      </c>
      <c r="F241" s="65">
        <v>0</v>
      </c>
      <c r="G241" s="63">
        <v>120000</v>
      </c>
      <c t="inlineStr" r="H241">
        <is>
          <t xml:space="preserve">Health Care &amp; Social Assistance</t>
        </is>
      </c>
      <c t="inlineStr" r="I241">
        <is>
          <t xml:space="preserve">&lt;none&gt;</t>
        </is>
      </c>
      <c t="inlineStr" r="J241">
        <is>
          <t xml:space="preserve">Rolf Danryd</t>
        </is>
      </c>
      <c t="inlineStr" r="L241">
        <is>
          <t xml:space="preserve">-----</t>
        </is>
      </c>
    </row>
    <row r="242">
      <c t="str" r="A242" s="4">
        <f>HYPERLINK("https://linkbusiness.com/businesses-for-sale/LA04677/Highly-Profitable-Marketing-Print-and-Sign-Company","LA04677")</f>
      </c>
      <c t="inlineStr" r="B242">
        <is>
          <t xml:space="preserve">Highly Profitable Marketing Print and Sign Company</t>
        </is>
      </c>
      <c r="C242" s="63">
        <v>295000</v>
      </c>
      <c r="D242" s="63">
        <v>14862100</v>
      </c>
      <c t="inlineStr" r="E242">
        <is>
          <t xml:space="preserve">East Los Angeles County</t>
        </is>
      </c>
      <c r="F242" s="65">
        <v>0</v>
      </c>
      <c r="G242" s="65">
        <v>0</v>
      </c>
      <c t="inlineStr" r="H242">
        <is>
          <t xml:space="preserve">Franchises</t>
        </is>
      </c>
      <c t="inlineStr" r="I242">
        <is>
          <t xml:space="preserve">&lt;none&gt;</t>
        </is>
      </c>
      <c t="inlineStr" r="J242">
        <is>
          <t xml:space="preserve">Merrill Eastcott</t>
        </is>
      </c>
      <c t="inlineStr" r="L242">
        <is>
          <t xml:space="preserve">-----</t>
        </is>
      </c>
    </row>
    <row r="243">
      <c t="str" r="A243" s="4">
        <f>HYPERLINK("https://linkbusiness.com/businesses-for-sale/LA04678/Beer-%26-Wine%2c-Beach-location","LA04678")</f>
      </c>
      <c t="inlineStr" r="B243">
        <is>
          <t xml:space="preserve">Beer &amp; Wine, Beach location</t>
        </is>
      </c>
      <c r="C243" s="63">
        <v>185000</v>
      </c>
      <c r="D243" s="63">
        <v>9320300</v>
      </c>
      <c t="inlineStr" r="E243">
        <is>
          <t xml:space="preserve">North Orange County</t>
        </is>
      </c>
      <c r="F243" s="65">
        <v>0</v>
      </c>
      <c r="G243" s="65">
        <v>0</v>
      </c>
      <c t="inlineStr" r="H243">
        <is>
          <t xml:space="preserve">Restaurant</t>
        </is>
      </c>
      <c t="inlineStr" r="I243">
        <is>
          <t xml:space="preserve">Food Services and Drinking Places</t>
        </is>
      </c>
      <c t="inlineStr" r="J243">
        <is>
          <t xml:space="preserve">Kellie Fish</t>
        </is>
      </c>
      <c t="inlineStr" r="K243">
        <is>
          <t xml:space="preserve">Jim Moazez</t>
        </is>
      </c>
      <c t="inlineStr" r="L243">
        <is>
          <t xml:space="preserve">-----</t>
        </is>
      </c>
    </row>
    <row r="244">
      <c t="str" r="A244" s="4">
        <f>HYPERLINK("https://linkbusiness.com/businesses-for-sale/LA04681/Established-Dive-Bar-in-Southbay-for-Over-50-Years","LA04681")</f>
      </c>
      <c t="inlineStr" r="B244">
        <is>
          <t xml:space="preserve">Established Dive Bar in Southbay for Over 50 Years</t>
        </is>
      </c>
      <c r="C244" s="63">
        <v>175000</v>
      </c>
      <c r="D244" s="63">
        <v>8816500</v>
      </c>
      <c t="inlineStr" r="E244">
        <is>
          <t xml:space="preserve">Los Angeles County</t>
        </is>
      </c>
      <c r="F244" s="65">
        <v>0</v>
      </c>
      <c r="G244" s="65">
        <v>0</v>
      </c>
      <c t="inlineStr" r="H244">
        <is>
          <t xml:space="preserve">Restaurant</t>
        </is>
      </c>
      <c t="inlineStr" r="I244">
        <is>
          <t xml:space="preserve">Food Services and Drinking Places</t>
        </is>
      </c>
      <c t="inlineStr" r="J244">
        <is>
          <t xml:space="preserve">Joe Khoury</t>
        </is>
      </c>
      <c t="inlineStr" r="L244">
        <is>
          <t xml:space="preserve">-----</t>
        </is>
      </c>
    </row>
    <row r="245">
      <c t="str" r="A245" s="4">
        <f>HYPERLINK("https://linkbusiness.com/businesses-for-sale/LA04682/Profitable-Breakfast-%26-Lunch-Cafe","LA04682")</f>
      </c>
      <c t="inlineStr" r="B245">
        <is>
          <t xml:space="preserve">Profitable Breakfast &amp; Lunch Cafe</t>
        </is>
      </c>
      <c r="C245" s="63">
        <v>425000</v>
      </c>
      <c r="D245" s="63">
        <v>21411500</v>
      </c>
      <c t="inlineStr" r="E245">
        <is>
          <t xml:space="preserve">California</t>
        </is>
      </c>
      <c r="F245" s="65">
        <v>0</v>
      </c>
      <c r="G245" s="63">
        <v>180000</v>
      </c>
      <c t="inlineStr" r="H245">
        <is>
          <t xml:space="preserve">Restaurant</t>
        </is>
      </c>
      <c t="inlineStr" r="I245">
        <is>
          <t xml:space="preserve">Food Services and Drinking Places</t>
        </is>
      </c>
      <c t="inlineStr" r="L245">
        <is>
          <t xml:space="preserve">-----</t>
        </is>
      </c>
    </row>
    <row r="246">
      <c t="str" r="A246" s="4">
        <f>HYPERLINK("https://linkbusiness.com/businesses-for-sale/LA04684/Absentee-Run-Franchise-Teriyaki-Restaurant-in-Riverside-County","LA04684")</f>
      </c>
      <c t="inlineStr" r="B246">
        <is>
          <t xml:space="preserve">Absentee Run Franchise Teriyaki Restaurant in Riverside County</t>
        </is>
      </c>
      <c r="C246" s="63">
        <v>125000</v>
      </c>
      <c r="D246" s="63">
        <v>6297500</v>
      </c>
      <c t="inlineStr" r="E246">
        <is>
          <t xml:space="preserve">Riverside County</t>
        </is>
      </c>
      <c r="F246" s="65">
        <v>0</v>
      </c>
      <c r="G246" s="63">
        <v>25000</v>
      </c>
      <c t="inlineStr" r="H246">
        <is>
          <t xml:space="preserve">Restaurant</t>
        </is>
      </c>
      <c t="inlineStr" r="I246">
        <is>
          <t xml:space="preserve">Food Services and Drinking Places</t>
        </is>
      </c>
      <c t="inlineStr" r="J246">
        <is>
          <t xml:space="preserve">Paul Suh</t>
        </is>
      </c>
      <c t="inlineStr" r="L246">
        <is>
          <t xml:space="preserve">-----</t>
        </is>
      </c>
    </row>
    <row r="247">
      <c t="str" r="A247" s="4">
        <f>HYPERLINK("https://linkbusiness.com/businesses-for-sale/LA04688/Highly-Profitable-Silk-Screen-Printing-and-Embroidery-Specialist","LA04688")</f>
      </c>
      <c t="inlineStr" r="B247">
        <is>
          <t xml:space="preserve">Highly Profitable Silk Screen Printing and Embroidery Specialist</t>
        </is>
      </c>
      <c r="C247" s="63">
        <v>675000</v>
      </c>
      <c r="D247" s="63">
        <v>34006500</v>
      </c>
      <c t="inlineStr" r="E247">
        <is>
          <t xml:space="preserve">Southern California</t>
        </is>
      </c>
      <c r="F247" s="65">
        <v>0</v>
      </c>
      <c r="G247" s="63">
        <v>212206</v>
      </c>
      <c t="inlineStr" r="H247">
        <is>
          <t xml:space="preserve">Manufacturing</t>
        </is>
      </c>
      <c t="inlineStr" r="I247">
        <is>
          <t xml:space="preserve">Textile Mills</t>
        </is>
      </c>
      <c t="inlineStr" r="L247">
        <is>
          <t xml:space="preserve">-----</t>
        </is>
      </c>
    </row>
    <row r="248">
      <c t="str" r="A248" s="4">
        <f>HYPERLINK("https://linkbusiness.com/businesses-for-sale/LA04689/Newly-Built-Gastropub-in-WLA-w%252f-Profits-of-Over-%24200k","LA04689")</f>
      </c>
      <c t="inlineStr" r="B248">
        <is>
          <t xml:space="preserve">Newly Built Gastropub in WLA w/ Profits of Over $200k</t>
        </is>
      </c>
      <c r="C248" s="63">
        <v>649000</v>
      </c>
      <c r="D248" s="63">
        <v>32696620</v>
      </c>
      <c t="inlineStr" r="E248">
        <is>
          <t xml:space="preserve">Los Angeles County</t>
        </is>
      </c>
      <c r="F248" s="65">
        <v>0</v>
      </c>
      <c r="G248" s="63">
        <v>195000</v>
      </c>
      <c t="inlineStr" r="H248">
        <is>
          <t xml:space="preserve">Restaurant</t>
        </is>
      </c>
      <c t="inlineStr" r="I248">
        <is>
          <t xml:space="preserve">Food Services and Drinking Places</t>
        </is>
      </c>
      <c t="inlineStr" r="J248">
        <is>
          <t xml:space="preserve">Joe Khoury</t>
        </is>
      </c>
      <c t="inlineStr" r="L248">
        <is>
          <t xml:space="preserve">-----</t>
        </is>
      </c>
    </row>
    <row r="249">
      <c t="str" r="A249" s="4">
        <f>HYPERLINK("https://linkbusiness.com/businesses-for-sale/LA04690/Profitable-Established-Pasadena-B%26W-Caf%c3%a9-w%252f-Over-%241MM","LA04690")</f>
      </c>
      <c t="inlineStr" r="B249">
        <is>
          <t xml:space="preserve">Profitable Established Pasadena B&amp;W Café w/ Over $1MM</t>
        </is>
      </c>
      <c r="C249" s="63">
        <v>349000</v>
      </c>
      <c r="D249" s="63">
        <v>17582620</v>
      </c>
      <c t="inlineStr" r="E249">
        <is>
          <t xml:space="preserve">Pasadena &amp; Glendale Area</t>
        </is>
      </c>
      <c r="F249" s="65">
        <v>0</v>
      </c>
      <c r="G249" s="65">
        <v>0</v>
      </c>
      <c t="inlineStr" r="H249">
        <is>
          <t xml:space="preserve">Restaurant</t>
        </is>
      </c>
      <c t="inlineStr" r="I249">
        <is>
          <t xml:space="preserve">Food Services and Drinking Places</t>
        </is>
      </c>
      <c t="inlineStr" r="J249">
        <is>
          <t xml:space="preserve">Joe Khoury</t>
        </is>
      </c>
      <c t="inlineStr" r="L249">
        <is>
          <t xml:space="preserve">-----</t>
        </is>
      </c>
    </row>
    <row r="250">
      <c t="str" r="A250" s="4">
        <f>HYPERLINK("https://linkbusiness.com/businesses-for-sale/LA04692/Extremely-Profitable-National-Environmental-and-Engineering-Company","LA04692")</f>
      </c>
      <c t="inlineStr" r="B250">
        <is>
          <t xml:space="preserve">Extremely Profitable National Environmental and Engineering Company</t>
        </is>
      </c>
      <c r="C250" s="63">
        <v>3500000</v>
      </c>
      <c r="D250" s="63">
        <v>176330000</v>
      </c>
      <c t="inlineStr" r="E250">
        <is>
          <t xml:space="preserve">Los Angeles County</t>
        </is>
      </c>
      <c r="F250" s="65">
        <v>0</v>
      </c>
      <c r="G250" s="63">
        <v>429951</v>
      </c>
      <c t="inlineStr" r="H250">
        <is>
          <t xml:space="preserve">Professional, Scientific and Technical Services</t>
        </is>
      </c>
      <c t="inlineStr" r="I250">
        <is>
          <t xml:space="preserve">&lt;none&gt;</t>
        </is>
      </c>
      <c t="inlineStr" r="J250">
        <is>
          <t xml:space="preserve">Giulio J Maresca</t>
        </is>
      </c>
      <c t="inlineStr" r="L250">
        <is>
          <t xml:space="preserve">-----</t>
        </is>
      </c>
    </row>
    <row r="251">
      <c t="str" r="A251" s="4">
        <f>HYPERLINK("https://linkbusiness.com/businesses-for-sale/LA04694/Established-Pizzeria-in-Burbank-with-B%26W","LA04694")</f>
      </c>
      <c t="inlineStr" r="B251">
        <is>
          <t xml:space="preserve">Established Pizzeria in Burbank with B&amp;W</t>
        </is>
      </c>
      <c r="C251" s="63">
        <v>177000</v>
      </c>
      <c r="D251" s="63">
        <v>8917260</v>
      </c>
      <c t="inlineStr" r="E251">
        <is>
          <t xml:space="preserve">Los Angeles County</t>
        </is>
      </c>
      <c r="F251" s="65">
        <v>0</v>
      </c>
      <c r="G251" s="65">
        <v>0</v>
      </c>
      <c t="inlineStr" r="H251">
        <is>
          <t xml:space="preserve">Restaurant</t>
        </is>
      </c>
      <c t="inlineStr" r="I251">
        <is>
          <t xml:space="preserve">Food Services and Drinking Places</t>
        </is>
      </c>
      <c t="inlineStr" r="J251">
        <is>
          <t xml:space="preserve">Joe Khoury</t>
        </is>
      </c>
      <c t="inlineStr" r="L251">
        <is>
          <t xml:space="preserve">-----</t>
        </is>
      </c>
    </row>
    <row r="252">
      <c t="str" r="A252" s="4">
        <f>HYPERLINK("https://linkbusiness.com/businesses-for-sale/LA04695/Pawn-Shop-for-Over-30-years-in-South-Bay-W%252f-Great-Location","LA04695")</f>
      </c>
      <c t="inlineStr" r="B252">
        <is>
          <t xml:space="preserve">Pawn Shop for Over 30 years in South Bay W/ Great Location</t>
        </is>
      </c>
      <c r="C252" s="63">
        <v>210000</v>
      </c>
      <c r="D252" s="63">
        <v>10579800</v>
      </c>
      <c t="inlineStr" r="E252">
        <is>
          <t xml:space="preserve">Los Angeles County</t>
        </is>
      </c>
      <c r="F252" s="65">
        <v>0</v>
      </c>
      <c r="G252" s="65">
        <v>0</v>
      </c>
      <c t="inlineStr" r="H252">
        <is>
          <t xml:space="preserve">Retail Trade</t>
        </is>
      </c>
      <c t="inlineStr" r="I252">
        <is>
          <t xml:space="preserve">&lt;none&gt;</t>
        </is>
      </c>
      <c t="inlineStr" r="J252">
        <is>
          <t xml:space="preserve">Rolf Danryd</t>
        </is>
      </c>
      <c t="inlineStr" r="K252">
        <is>
          <t xml:space="preserve">Joe Khoury</t>
        </is>
      </c>
      <c t="inlineStr" r="L252">
        <is>
          <t xml:space="preserve">-----</t>
        </is>
      </c>
    </row>
    <row r="253">
      <c t="str" r="A253" s="4">
        <f>HYPERLINK("https://linkbusiness.com/businesses-for-sale/LA04697/Successful-Cooking-school-and-Retail-Store%2c-Seller-Carry","LA04697")</f>
      </c>
      <c t="inlineStr" r="B253">
        <is>
          <t xml:space="preserve">Successful Cooking school and Retail Store, Seller Carry</t>
        </is>
      </c>
      <c r="C253" s="63">
        <v>99000</v>
      </c>
      <c r="D253" s="63">
        <v>4987620</v>
      </c>
      <c t="inlineStr" r="E253">
        <is>
          <t xml:space="preserve">Alameda County</t>
        </is>
      </c>
      <c r="F253" s="65">
        <v>0</v>
      </c>
      <c r="G253" s="63">
        <v>76000</v>
      </c>
      <c t="inlineStr" r="H253">
        <is>
          <t xml:space="preserve">Restaurant</t>
        </is>
      </c>
      <c t="inlineStr" r="I253">
        <is>
          <t xml:space="preserve">&lt;none&gt;</t>
        </is>
      </c>
      <c t="inlineStr" r="L253">
        <is>
          <t xml:space="preserve">-----</t>
        </is>
      </c>
    </row>
    <row r="254">
      <c t="str" r="A254" s="4">
        <f>HYPERLINK("https://linkbusiness.com/businesses-for-sale/LA04699/Established-Residential-and-Commercial-Roofing-Company","LA04699")</f>
      </c>
      <c t="inlineStr" r="B254">
        <is>
          <t xml:space="preserve">Established Residential and Commercial Roofing Company</t>
        </is>
      </c>
      <c r="C254" s="63">
        <v>520000</v>
      </c>
      <c r="D254" s="63">
        <v>26197600</v>
      </c>
      <c t="inlineStr" r="E254">
        <is>
          <t xml:space="preserve">Los Angeles County</t>
        </is>
      </c>
      <c r="F254" s="65">
        <v>0</v>
      </c>
      <c r="G254" s="63">
        <v>124006</v>
      </c>
      <c t="inlineStr" r="H254">
        <is>
          <t xml:space="preserve">Construction</t>
        </is>
      </c>
      <c t="inlineStr" r="I254">
        <is>
          <t xml:space="preserve">Specialty Trade Contractors</t>
        </is>
      </c>
      <c t="inlineStr" r="J254">
        <is>
          <t xml:space="preserve">Giulio J Maresca</t>
        </is>
      </c>
      <c t="inlineStr" r="L254">
        <is>
          <t xml:space="preserve">-----</t>
        </is>
      </c>
    </row>
    <row r="255">
      <c t="str" r="A255" s="4">
        <f>HYPERLINK("https://linkbusiness.com/businesses-for-sale/LA04702/Custom-Knitting-Company-Exceeding-Specifications","LA04702")</f>
      </c>
      <c t="inlineStr" r="B255">
        <is>
          <t xml:space="preserve">Custom Knitting Company Exceeding Specifications</t>
        </is>
      </c>
      <c r="C255" s="63">
        <v>150000</v>
      </c>
      <c r="D255" s="63">
        <v>7557000</v>
      </c>
      <c t="inlineStr" r="E255">
        <is>
          <t xml:space="preserve">Los Angeles County</t>
        </is>
      </c>
      <c r="F255" s="65">
        <v>0</v>
      </c>
      <c r="G255" s="63">
        <v>16942</v>
      </c>
      <c t="inlineStr" r="H255">
        <is>
          <t xml:space="preserve">Manufacturing</t>
        </is>
      </c>
      <c t="inlineStr" r="I255">
        <is>
          <t xml:space="preserve">Apparel Manufacturing</t>
        </is>
      </c>
      <c t="inlineStr" r="J255">
        <is>
          <t xml:space="preserve">Stuart Greenberg</t>
        </is>
      </c>
      <c t="inlineStr" r="L255">
        <is>
          <t xml:space="preserve">-----</t>
        </is>
      </c>
    </row>
    <row r="256">
      <c t="str" r="A256" s="4">
        <f>HYPERLINK("https://linkbusiness.com/businesses-for-sale/LA04703/Online-Antique-and-Semi-Antique-Persian-Rug-Sale-Company","LA04703")</f>
      </c>
      <c t="inlineStr" r="B256">
        <is>
          <t xml:space="preserve">Online Antique and Semi Antique Persian Rug Sale Company</t>
        </is>
      </c>
      <c r="C256" s="63">
        <v>980000</v>
      </c>
      <c r="D256" s="63">
        <v>49372400</v>
      </c>
      <c t="inlineStr" r="E256">
        <is>
          <t xml:space="preserve">International</t>
        </is>
      </c>
      <c r="F256" s="65">
        <v>0</v>
      </c>
      <c r="G256" s="65">
        <v>0</v>
      </c>
      <c t="inlineStr" r="H256">
        <is>
          <t xml:space="preserve">Retail Trade</t>
        </is>
      </c>
      <c t="inlineStr" r="I256">
        <is>
          <t xml:space="preserve">Furniture and Home Furnishings Stores</t>
        </is>
      </c>
      <c t="inlineStr" r="J256">
        <is>
          <t xml:space="preserve">Sara Vaziri</t>
        </is>
      </c>
      <c t="inlineStr" r="L256">
        <is>
          <t xml:space="preserve">-----</t>
        </is>
      </c>
    </row>
    <row r="257">
      <c t="str" r="A257" s="4">
        <f>HYPERLINK("https://linkbusiness.com/businesses-for-sale/LA04704/Growing-Water-%26-Fire-Restoration-Company%2c-Relocatable-and-Seller-Carry","LA04704")</f>
      </c>
      <c t="inlineStr" r="B257">
        <is>
          <t xml:space="preserve">Growing Water &amp; Fire Restoration Company, Relocatable and Seller Carry</t>
        </is>
      </c>
      <c r="C257" s="63">
        <v>250000</v>
      </c>
      <c r="D257" s="63">
        <v>12595000</v>
      </c>
      <c t="inlineStr" r="E257">
        <is>
          <t xml:space="preserve">Southern California</t>
        </is>
      </c>
      <c r="F257" s="65">
        <v>0</v>
      </c>
      <c r="G257" s="63">
        <v>70000</v>
      </c>
      <c t="inlineStr" r="H257">
        <is>
          <t xml:space="preserve">Other Services (except public administration)</t>
        </is>
      </c>
      <c t="inlineStr" r="I257">
        <is>
          <t xml:space="preserve">Repair and Maintenance</t>
        </is>
      </c>
      <c t="inlineStr" r="J257">
        <is>
          <t xml:space="preserve">Jim Moazez</t>
        </is>
      </c>
      <c t="inlineStr" r="L257">
        <is>
          <t xml:space="preserve">-----</t>
        </is>
      </c>
    </row>
    <row r="258">
      <c t="str" r="A258" s="4">
        <f>HYPERLINK("https://linkbusiness.com/businesses-for-sale/LA04706/RESTAURANT-AND-MARKET-ON-HIGHLY-DESIRED-STREET-IN-VENICE-ANY-VENUE-WITH-B%26W","LA04706")</f>
      </c>
      <c t="inlineStr" r="B258">
        <is>
          <t xml:space="preserve">RESTAURANT AND MARKET ON HIGHLY DESIRED STREET IN VENICE ANY VENUE WITH B&amp;W</t>
        </is>
      </c>
      <c r="C258" s="63">
        <v>450000</v>
      </c>
      <c r="D258" s="63">
        <v>22671000</v>
      </c>
      <c t="inlineStr" r="E258">
        <is>
          <t xml:space="preserve">Los Angeles County</t>
        </is>
      </c>
      <c r="F258" s="65">
        <v>0</v>
      </c>
      <c r="G258" s="65">
        <v>0</v>
      </c>
      <c t="inlineStr" r="H258">
        <is>
          <t xml:space="preserve">Restaurant</t>
        </is>
      </c>
      <c t="inlineStr" r="I258">
        <is>
          <t xml:space="preserve">Food Services and Drinking Places</t>
        </is>
      </c>
      <c t="inlineStr" r="J258">
        <is>
          <t xml:space="preserve">Merrill Eastcott</t>
        </is>
      </c>
      <c t="inlineStr" r="L258">
        <is>
          <t xml:space="preserve">-----</t>
        </is>
      </c>
    </row>
    <row r="259">
      <c t="str" r="A259" s="4">
        <f>HYPERLINK("https://linkbusiness.com/businesses-for-sale/LA04707/Well-Established-Pizzeria-in-Thousand-Oaks-Price-Reduced","LA04707")</f>
      </c>
      <c t="inlineStr" r="B259">
        <is>
          <t xml:space="preserve">Well Established Pizzeria in Thousand Oaks *Price Reduced*</t>
        </is>
      </c>
      <c r="C259" s="63">
        <v>59000</v>
      </c>
      <c r="D259" s="63">
        <v>2972420</v>
      </c>
      <c t="inlineStr" r="E259">
        <is>
          <t xml:space="preserve">Ventura &amp; Santa Barbara Counties</t>
        </is>
      </c>
      <c r="F259" s="65">
        <v>0</v>
      </c>
      <c r="G259" s="65">
        <v>0</v>
      </c>
      <c t="inlineStr" r="H259">
        <is>
          <t xml:space="preserve">Restaurant</t>
        </is>
      </c>
      <c t="inlineStr" r="I259">
        <is>
          <t xml:space="preserve">Food Services and Drinking Places</t>
        </is>
      </c>
      <c t="inlineStr" r="J259">
        <is>
          <t xml:space="preserve">Joe Khoury</t>
        </is>
      </c>
      <c t="inlineStr" r="L259">
        <is>
          <t xml:space="preserve">-----</t>
        </is>
      </c>
    </row>
    <row r="260">
      <c t="str" r="A260" s="4">
        <f>HYPERLINK("https://linkbusiness.com/businesses-for-sale/LA04708/Very-Profitable-Flooring-Sales-and-Installation-in-Orange-County","LA04708")</f>
      </c>
      <c t="inlineStr" r="B260">
        <is>
          <t xml:space="preserve">Very Profitable Flooring Sales and Installation in Orange County</t>
        </is>
      </c>
      <c r="C260" s="63">
        <v>550000</v>
      </c>
      <c r="D260" s="63">
        <v>27709000</v>
      </c>
      <c t="inlineStr" r="E260">
        <is>
          <t xml:space="preserve">Orange County</t>
        </is>
      </c>
      <c r="F260" s="65">
        <v>0</v>
      </c>
      <c r="G260" s="63">
        <v>304000</v>
      </c>
      <c t="inlineStr" r="H260">
        <is>
          <t xml:space="preserve">Retail Trade</t>
        </is>
      </c>
      <c t="inlineStr" r="I260">
        <is>
          <t xml:space="preserve">Furniture and Home Furnishings Stores</t>
        </is>
      </c>
      <c t="inlineStr" r="J260">
        <is>
          <t xml:space="preserve">Sara Vaziri</t>
        </is>
      </c>
      <c t="inlineStr" r="L260">
        <is>
          <t xml:space="preserve">-----</t>
        </is>
      </c>
    </row>
    <row r="261">
      <c t="str" r="A261" s="4">
        <f>HYPERLINK("https://linkbusiness.com/businesses-for-sale/LA04709/Specialized-Cleaning-Franchise-Company%2c-No-Experience-Necessary","LA04709")</f>
      </c>
      <c t="inlineStr" r="B261">
        <is>
          <t xml:space="preserve">Specialized Cleaning Franchise Company, No Experience Necessary</t>
        </is>
      </c>
      <c r="C261" s="63">
        <v>65000</v>
      </c>
      <c r="D261" s="63">
        <v>3274700</v>
      </c>
      <c t="inlineStr" r="E261">
        <is>
          <t xml:space="preserve">International</t>
        </is>
      </c>
      <c r="F261" s="65">
        <v>0</v>
      </c>
      <c r="G261" s="65">
        <v>0</v>
      </c>
      <c t="inlineStr" r="H261">
        <is>
          <t xml:space="preserve">Other Services (except public administration)</t>
        </is>
      </c>
      <c t="inlineStr" r="I261">
        <is>
          <t xml:space="preserve">Other Personal Services</t>
        </is>
      </c>
      <c t="inlineStr" r="J261">
        <is>
          <t xml:space="preserve">Jim Moazez</t>
        </is>
      </c>
      <c t="inlineStr" r="L261">
        <is>
          <t xml:space="preserve">-----</t>
        </is>
      </c>
    </row>
    <row r="262">
      <c t="str" r="A262" s="4">
        <f>HYPERLINK("https://linkbusiness.com/businesses-for-sale/LA04710/Electrical-Contractor-50%2b-Year-History","LA04710")</f>
      </c>
      <c t="inlineStr" r="B262">
        <is>
          <t xml:space="preserve">Electrical Contractor 50+ Year History</t>
        </is>
      </c>
      <c r="C262" s="63">
        <v>138000</v>
      </c>
      <c r="D262" s="63">
        <v>6952440</v>
      </c>
      <c t="inlineStr" r="E262">
        <is>
          <t xml:space="preserve">Los Angeles County</t>
        </is>
      </c>
      <c r="F262" s="65">
        <v>0</v>
      </c>
      <c r="G262" s="65">
        <v>0</v>
      </c>
      <c t="inlineStr" r="H262">
        <is>
          <t xml:space="preserve">Construction</t>
        </is>
      </c>
      <c t="inlineStr" r="I262">
        <is>
          <t xml:space="preserve">Specialty Trade Contractors</t>
        </is>
      </c>
      <c t="inlineStr" r="J262">
        <is>
          <t xml:space="preserve">Giulio J Maresca</t>
        </is>
      </c>
      <c t="inlineStr" r="L262">
        <is>
          <t xml:space="preserve">-----</t>
        </is>
      </c>
    </row>
    <row r="263">
      <c t="str" r="A263" s="4">
        <f>HYPERLINK("https://linkbusiness.com/businesses-for-sale/LA04711/Established-Kosher-Restaurant-in-the-Heart-of-Los-Angeles","LA04711")</f>
      </c>
      <c t="inlineStr" r="B263">
        <is>
          <t xml:space="preserve">Established Kosher Restaurant in the Heart of Los Angeles</t>
        </is>
      </c>
      <c r="C263" s="63">
        <v>150000</v>
      </c>
      <c r="D263" s="63">
        <v>7557000</v>
      </c>
      <c t="inlineStr" r="E263">
        <is>
          <t xml:space="preserve">Los Angeles County</t>
        </is>
      </c>
      <c r="F263" s="65">
        <v>0</v>
      </c>
      <c r="G263" s="63">
        <v>65000</v>
      </c>
      <c t="inlineStr" r="H263">
        <is>
          <t xml:space="preserve">Restaurant</t>
        </is>
      </c>
      <c t="inlineStr" r="I263">
        <is>
          <t xml:space="preserve">Food Services and Drinking Places</t>
        </is>
      </c>
      <c t="inlineStr" r="L263">
        <is>
          <t xml:space="preserve">-----</t>
        </is>
      </c>
    </row>
    <row r="264">
      <c t="str" r="A264" s="4">
        <f>HYPERLINK("https://linkbusiness.com/businesses-for-sale/LA04713/Orange-County-Mechanical-%26-Electrical-Engineering-Firm","LA04713")</f>
      </c>
      <c t="inlineStr" r="B264">
        <is>
          <t xml:space="preserve">Orange County Mechanical &amp; Electrical Engineering Firm</t>
        </is>
      </c>
      <c r="C264" s="63">
        <v>594000</v>
      </c>
      <c r="D264" s="63">
        <v>29925720</v>
      </c>
      <c t="inlineStr" r="E264">
        <is>
          <t xml:space="preserve">Orange County</t>
        </is>
      </c>
      <c r="F264" s="65">
        <v>0</v>
      </c>
      <c r="G264" s="63">
        <v>320000</v>
      </c>
      <c t="inlineStr" r="H264">
        <is>
          <t xml:space="preserve">Professional, Scientific and Technical Services</t>
        </is>
      </c>
      <c t="inlineStr" r="I264">
        <is>
          <t xml:space="preserve">&lt;none&gt;</t>
        </is>
      </c>
      <c t="inlineStr" r="J264">
        <is>
          <t xml:space="preserve">Ved Sajnani</t>
        </is>
      </c>
      <c t="inlineStr" r="L264">
        <is>
          <t xml:space="preserve">-----</t>
        </is>
      </c>
    </row>
    <row r="265">
      <c t="str" r="A265" s="4">
        <f>HYPERLINK("https://linkbusiness.com/businesses-for-sale/LA04715/Holistic-Center-for-Health-Opportunity-for-Service-Provider","LA04715")</f>
      </c>
      <c t="inlineStr" r="B265">
        <is>
          <t xml:space="preserve">Holistic Center for Health Opportunity for Service Provider</t>
        </is>
      </c>
      <c r="C265" s="63">
        <v>95000</v>
      </c>
      <c r="D265" s="63">
        <v>4786100</v>
      </c>
      <c t="inlineStr" r="E265">
        <is>
          <t xml:space="preserve">Orange County</t>
        </is>
      </c>
      <c r="F265" s="65">
        <v>0</v>
      </c>
      <c r="G265" s="63">
        <v>80000</v>
      </c>
      <c t="inlineStr" r="H265">
        <is>
          <t xml:space="preserve">Health Care &amp; Social Assistance</t>
        </is>
      </c>
      <c t="inlineStr" r="I265">
        <is>
          <t xml:space="preserve">Ambulatory Health Care Services</t>
        </is>
      </c>
      <c t="inlineStr" r="J265">
        <is>
          <t xml:space="preserve">Kellie Fish</t>
        </is>
      </c>
      <c t="inlineStr" r="K265">
        <is>
          <t xml:space="preserve">Donna Alexander</t>
        </is>
      </c>
      <c t="inlineStr" r="L265">
        <is>
          <t xml:space="preserve">-----</t>
        </is>
      </c>
    </row>
    <row r="266">
      <c t="str" r="A266" s="4">
        <f>HYPERLINK("https://linkbusiness.com/businesses-for-sale/LA04716/Well-run-CNC-Machine-Shop-in-Orange-County","LA04716")</f>
      </c>
      <c t="inlineStr" r="B266">
        <is>
          <t xml:space="preserve">Well run CNC Machine Shop in Orange County</t>
        </is>
      </c>
      <c r="C266" s="63">
        <v>800000</v>
      </c>
      <c r="D266" s="63">
        <v>40304000</v>
      </c>
      <c t="inlineStr" r="E266">
        <is>
          <t xml:space="preserve">Orange County</t>
        </is>
      </c>
      <c r="F266" s="65">
        <v>0</v>
      </c>
      <c r="G266" s="63">
        <v>263000</v>
      </c>
      <c t="inlineStr" r="H266">
        <is>
          <t xml:space="preserve">Manufacturing</t>
        </is>
      </c>
      <c t="inlineStr" r="I266">
        <is>
          <t xml:space="preserve">Machinery Manufacturing</t>
        </is>
      </c>
      <c t="inlineStr" r="J266">
        <is>
          <t xml:space="preserve">Ved Sajnani</t>
        </is>
      </c>
      <c t="inlineStr" r="L266">
        <is>
          <t xml:space="preserve">-----</t>
        </is>
      </c>
    </row>
    <row r="267">
      <c t="str" r="A267" s="4">
        <f>HYPERLINK("https://linkbusiness.com/businesses-for-sale/LA04717/Profitable-Towing-Company%2c-Must-Sell!","LA04717")</f>
      </c>
      <c t="inlineStr" r="B267">
        <is>
          <t xml:space="preserve">Profitable Towing Company, Must Sell!</t>
        </is>
      </c>
      <c r="C267" s="63">
        <v>130000</v>
      </c>
      <c r="D267" s="63">
        <v>6549400</v>
      </c>
      <c t="inlineStr" r="E267">
        <is>
          <t xml:space="preserve">California</t>
        </is>
      </c>
      <c r="F267" s="65">
        <v>0</v>
      </c>
      <c r="G267" s="63">
        <v>90000</v>
      </c>
      <c t="inlineStr" r="H267">
        <is>
          <t xml:space="preserve">Transportation &amp; Warehousing</t>
        </is>
      </c>
      <c t="inlineStr" r="I267">
        <is>
          <t xml:space="preserve">Truck Transportation</t>
        </is>
      </c>
      <c t="inlineStr" r="J267">
        <is>
          <t xml:space="preserve">Sara Vaziri</t>
        </is>
      </c>
      <c t="inlineStr" r="L267">
        <is>
          <t xml:space="preserve">Price includes the tow trucks</t>
        </is>
      </c>
    </row>
    <row r="268">
      <c t="str" r="A268" s="4">
        <f>HYPERLINK("https://linkbusiness.com/businesses-for-sale/LA04718/State-of-the-Art-Hair-Salon-For-Sale-In-Beautiful-Orange-County!","LA04718")</f>
      </c>
      <c t="inlineStr" r="B268">
        <is>
          <t xml:space="preserve">State of the Art Hair Salon For Sale In Beautiful Orange County!</t>
        </is>
      </c>
      <c r="C268" s="63">
        <v>149000</v>
      </c>
      <c r="D268" s="63">
        <v>7506620</v>
      </c>
      <c t="inlineStr" r="E268">
        <is>
          <t xml:space="preserve">Orange County</t>
        </is>
      </c>
      <c r="F268" s="65">
        <v>0</v>
      </c>
      <c r="G268" s="63">
        <v>101130</v>
      </c>
      <c t="inlineStr" r="H268">
        <is>
          <t xml:space="preserve">Professional, Scientific and Technical Services</t>
        </is>
      </c>
      <c t="inlineStr" r="I268">
        <is>
          <t xml:space="preserve">&lt;none&gt;</t>
        </is>
      </c>
      <c t="inlineStr" r="J268">
        <is>
          <t xml:space="preserve">Susie Kang</t>
        </is>
      </c>
      <c t="inlineStr" r="L268">
        <is>
          <t xml:space="preserve">-----</t>
        </is>
      </c>
    </row>
    <row r="269">
      <c t="str" r="A269" s="4">
        <f>HYPERLINK("https://linkbusiness.com/businesses-for-sale/LA04719/High-End-Highly-Profitable-Salon-South-OC","LA04719")</f>
      </c>
      <c t="inlineStr" r="B269">
        <is>
          <t xml:space="preserve">High End Highly Profitable Salon South OC</t>
        </is>
      </c>
      <c r="C269" s="63">
        <v>250000</v>
      </c>
      <c r="D269" s="63">
        <v>12595000</v>
      </c>
      <c t="inlineStr" r="E269">
        <is>
          <t xml:space="preserve">Orange County</t>
        </is>
      </c>
      <c r="F269" s="65">
        <v>0</v>
      </c>
      <c r="G269" s="63">
        <v>203597</v>
      </c>
      <c t="inlineStr" r="H269">
        <is>
          <t xml:space="preserve">Other Services (except public administration)</t>
        </is>
      </c>
      <c t="inlineStr" r="I269">
        <is>
          <t xml:space="preserve">Personal Care Services</t>
        </is>
      </c>
      <c t="inlineStr" r="J269">
        <is>
          <t xml:space="preserve">Ethan Skugrud</t>
        </is>
      </c>
      <c t="inlineStr" r="K269">
        <is>
          <t xml:space="preserve">Wes Lewison</t>
        </is>
      </c>
      <c t="inlineStr" r="L269">
        <is>
          <t xml:space="preserve">-----</t>
        </is>
      </c>
    </row>
    <row r="270">
      <c t="str" r="A270" s="4">
        <f>HYPERLINK("https://linkbusiness.com/businesses-for-sale/LA04720/Established-and-Profitable-Italian-Restaurant-in-Conejo-Valley","LA04720")</f>
      </c>
      <c t="inlineStr" r="B270">
        <is>
          <t xml:space="preserve">Established and Profitable Italian Restaurant in Conejo Valley</t>
        </is>
      </c>
      <c r="C270" s="63">
        <v>100000</v>
      </c>
      <c r="D270" s="63">
        <v>5038000</v>
      </c>
      <c t="inlineStr" r="E270">
        <is>
          <t xml:space="preserve">Ventura &amp; Santa Barbara Counties</t>
        </is>
      </c>
      <c r="F270" s="65">
        <v>0</v>
      </c>
      <c r="G270" s="63">
        <v>45000</v>
      </c>
      <c t="inlineStr" r="H270">
        <is>
          <t xml:space="preserve">Restaurant</t>
        </is>
      </c>
      <c t="inlineStr" r="I270">
        <is>
          <t xml:space="preserve">Food Services and Drinking Places</t>
        </is>
      </c>
      <c t="inlineStr" r="J270">
        <is>
          <t xml:space="preserve">Joe Khoury</t>
        </is>
      </c>
      <c t="inlineStr" r="L270">
        <is>
          <t xml:space="preserve">-----</t>
        </is>
      </c>
    </row>
    <row r="271">
      <c t="str" r="A271" s="4">
        <f>HYPERLINK("https://linkbusiness.com/businesses-for-sale/LA04721/Small-531-sqft-store-in-South-Orange-County-for-your-new-business","LA04721")</f>
      </c>
      <c t="inlineStr" r="B271">
        <is>
          <t xml:space="preserve">Small 531 sqft store in South Orange County for your new business</t>
        </is>
      </c>
      <c r="C271" s="65">
        <v>0</v>
      </c>
      <c r="D271" s="65">
        <v>0</v>
      </c>
      <c t="inlineStr" r="E271">
        <is>
          <t xml:space="preserve">Orange County</t>
        </is>
      </c>
      <c r="F271" s="65">
        <v>0</v>
      </c>
      <c r="G271" s="65">
        <v>0</v>
      </c>
      <c t="inlineStr" r="H271">
        <is>
          <t xml:space="preserve">Other Services (except public administration)</t>
        </is>
      </c>
      <c t="inlineStr" r="I271">
        <is>
          <t xml:space="preserve">Repair and Maintenance</t>
        </is>
      </c>
      <c t="inlineStr" r="J271">
        <is>
          <t xml:space="preserve">Sara Vaziri</t>
        </is>
      </c>
      <c t="inlineStr" r="L271">
        <is>
          <t xml:space="preserve">Refer to Broker</t>
        </is>
      </c>
    </row>
    <row r="272">
      <c t="str" r="A272" s="4">
        <f>HYPERLINK("https://linkbusiness.com/businesses-for-sale/LA04722/Fastest-to-Market-Commemorative-Books","LA04722")</f>
      </c>
      <c t="inlineStr" r="B272">
        <is>
          <t xml:space="preserve">Fastest to Market Commemorative Books</t>
        </is>
      </c>
      <c r="C272" s="63">
        <v>775000</v>
      </c>
      <c r="D272" s="63">
        <v>39044500</v>
      </c>
      <c t="inlineStr" r="E272">
        <is>
          <t xml:space="preserve">California</t>
        </is>
      </c>
      <c r="F272" s="65">
        <v>0</v>
      </c>
      <c r="G272" s="63">
        <v>400000</v>
      </c>
      <c t="inlineStr" r="H272">
        <is>
          <t xml:space="preserve">Information</t>
        </is>
      </c>
      <c t="inlineStr" r="I272">
        <is>
          <t xml:space="preserve">Publishing Industries (except Internet)</t>
        </is>
      </c>
      <c t="inlineStr" r="J272">
        <is>
          <t xml:space="preserve">Stuart Greenberg</t>
        </is>
      </c>
      <c t="inlineStr" r="L272">
        <is>
          <t xml:space="preserve">-----</t>
        </is>
      </c>
    </row>
    <row r="273">
      <c t="str" r="A273" s="4">
        <f>HYPERLINK("https://linkbusiness.com/businesses-for-sale/LA04723/Profitable%2c-Free-Standing-Cuban-Restaurant-%2c-8-years-in-No-Orange-County-with-%2413MM-Sales","LA04723")</f>
      </c>
      <c t="inlineStr" r="B273">
        <is>
          <t xml:space="preserve">Profitable, Free Standing Cuban Restaurant , 8 years in No. Orange County with $1.3MM Sales</t>
        </is>
      </c>
      <c r="C273" s="63">
        <v>249000</v>
      </c>
      <c r="D273" s="63">
        <v>12544620</v>
      </c>
      <c t="inlineStr" r="E273">
        <is>
          <t xml:space="preserve">Orange County</t>
        </is>
      </c>
      <c r="F273" s="65">
        <v>0</v>
      </c>
      <c r="G273" s="63">
        <v>145000</v>
      </c>
      <c t="inlineStr" r="H273">
        <is>
          <t xml:space="preserve">Restaurant</t>
        </is>
      </c>
      <c t="inlineStr" r="I273">
        <is>
          <t xml:space="preserve">Food Services and Drinking Places</t>
        </is>
      </c>
      <c t="inlineStr" r="J273">
        <is>
          <t xml:space="preserve">Paul Mendoza</t>
        </is>
      </c>
      <c t="inlineStr" r="K273">
        <is>
          <t xml:space="preserve">Joe Khoury</t>
        </is>
      </c>
      <c t="inlineStr" r="L273">
        <is>
          <t xml:space="preserve">-----</t>
        </is>
      </c>
    </row>
    <row r="274">
      <c t="str" r="A274" s="4">
        <f>HYPERLINK("https://linkbusiness.com/businesses-for-sale/LA04724/Profitable-40%2b-Year-Specialty-Aerospace-Manufacturing-Facility","LA04724")</f>
      </c>
      <c t="inlineStr" r="B274">
        <is>
          <t xml:space="preserve">Profitable 40+ Year Specialty Aerospace Manufacturing Facility</t>
        </is>
      </c>
      <c r="C274" s="63">
        <v>900000</v>
      </c>
      <c r="D274" s="63">
        <v>45342000</v>
      </c>
      <c t="inlineStr" r="E274">
        <is>
          <t xml:space="preserve">Los Angeles County</t>
        </is>
      </c>
      <c r="F274" s="65">
        <v>0</v>
      </c>
      <c r="G274" s="63">
        <v>241846</v>
      </c>
      <c t="inlineStr" r="H274">
        <is>
          <t xml:space="preserve">Manufacturing</t>
        </is>
      </c>
      <c t="inlineStr" r="I274">
        <is>
          <t xml:space="preserve">Fabricated Metal Product Manufacturing</t>
        </is>
      </c>
      <c t="inlineStr" r="J274">
        <is>
          <t xml:space="preserve">Ethan Skugrud</t>
        </is>
      </c>
      <c t="inlineStr" r="K274">
        <is>
          <t xml:space="preserve">Wes Lewison</t>
        </is>
      </c>
      <c t="inlineStr" r="L274">
        <is>
          <t xml:space="preserve">-----</t>
        </is>
      </c>
    </row>
    <row r="275">
      <c t="str" r="A275" s="4">
        <f>HYPERLINK("https://linkbusiness.com/businesses-for-sale/LA04725/Established-%26-Profitable-Breakfast-and-Lunch-Spot-in-Mid-Town-Los-Angeles","LA04725")</f>
      </c>
      <c t="inlineStr" r="B275">
        <is>
          <t xml:space="preserve">Established &amp; Profitable Breakfast and Lunch Spot in Mid Town Los Angeles</t>
        </is>
      </c>
      <c r="C275" s="63">
        <v>190000</v>
      </c>
      <c r="D275" s="63">
        <v>9572200</v>
      </c>
      <c t="inlineStr" r="E275">
        <is>
          <t xml:space="preserve">Los Angeles County</t>
        </is>
      </c>
      <c r="F275" s="65">
        <v>0</v>
      </c>
      <c r="G275" s="63">
        <v>80000</v>
      </c>
      <c t="inlineStr" r="H275">
        <is>
          <t xml:space="preserve">Restaurant</t>
        </is>
      </c>
      <c t="inlineStr" r="I275">
        <is>
          <t xml:space="preserve">Food Services and Drinking Places</t>
        </is>
      </c>
      <c t="inlineStr" r="J275">
        <is>
          <t xml:space="preserve">Joe Khoury</t>
        </is>
      </c>
      <c t="inlineStr" r="L275">
        <is>
          <t xml:space="preserve">-----</t>
        </is>
      </c>
    </row>
    <row r="276">
      <c t="str" r="A276" s="4">
        <f>HYPERLINK("https://linkbusiness.com/businesses-for-sale/LA04729/Established-Southbay-LA-Property-Management-Company-Seeks-CEO-level-Ownership","LA04729")</f>
      </c>
      <c t="inlineStr" r="B276">
        <is>
          <t xml:space="preserve">Established Southbay LA Property Management Company Seeks CEO level Ownership</t>
        </is>
      </c>
      <c r="C276" s="63">
        <v>1300000</v>
      </c>
      <c r="D276" s="63">
        <v>65494000</v>
      </c>
      <c t="inlineStr" r="E276">
        <is>
          <t xml:space="preserve">Los Angeles County</t>
        </is>
      </c>
      <c r="F276" s="65">
        <v>0</v>
      </c>
      <c r="G276" s="63">
        <v>342279</v>
      </c>
      <c t="inlineStr" r="H276">
        <is>
          <t xml:space="preserve">Real Estate and Rental &amp; Leasing</t>
        </is>
      </c>
      <c t="inlineStr" r="I276">
        <is>
          <t xml:space="preserve">&lt;none&gt;</t>
        </is>
      </c>
      <c t="inlineStr" r="L276">
        <is>
          <t xml:space="preserve">-----</t>
        </is>
      </c>
    </row>
    <row r="277">
      <c t="str" r="A277" s="4">
        <f>HYPERLINK("https://linkbusiness.com/businesses-for-sale/LA04730/Well-Equipped-Hamburger-Shop-in-OC","LA04730")</f>
      </c>
      <c t="inlineStr" r="B277">
        <is>
          <t xml:space="preserve">Well Equipped Hamburger Shop in OC</t>
        </is>
      </c>
      <c r="C277" s="63">
        <v>150000</v>
      </c>
      <c r="D277" s="63">
        <v>7557000</v>
      </c>
      <c t="inlineStr" r="E277">
        <is>
          <t xml:space="preserve">California</t>
        </is>
      </c>
      <c r="F277" s="65">
        <v>0</v>
      </c>
      <c r="G277" s="63">
        <v>60000</v>
      </c>
      <c t="inlineStr" r="H277">
        <is>
          <t xml:space="preserve">Restaurant</t>
        </is>
      </c>
      <c t="inlineStr" r="I277">
        <is>
          <t xml:space="preserve">Food Services and Drinking Places</t>
        </is>
      </c>
      <c t="inlineStr" r="J277">
        <is>
          <t xml:space="preserve">Paul Suh</t>
        </is>
      </c>
      <c t="inlineStr" r="L277">
        <is>
          <t xml:space="preserve">-----</t>
        </is>
      </c>
    </row>
    <row r="278">
      <c t="str" r="A278" s="4">
        <f>HYPERLINK("https://linkbusiness.com/businesses-for-sale/LA04731/Mediterranean-Restaurant-with-Banquet-Area%2c-Seller-Carry","LA04731")</f>
      </c>
      <c t="inlineStr" r="B278">
        <is>
          <t xml:space="preserve">Mediterranean Restaurant with Banquet Area, Seller Carry</t>
        </is>
      </c>
      <c r="C278" s="63">
        <v>195000</v>
      </c>
      <c r="D278" s="63">
        <v>9824100</v>
      </c>
      <c t="inlineStr" r="E278">
        <is>
          <t xml:space="preserve">Los Angeles County</t>
        </is>
      </c>
      <c r="F278" s="65">
        <v>0</v>
      </c>
      <c r="G278" s="65">
        <v>0</v>
      </c>
      <c t="inlineStr" r="H278">
        <is>
          <t xml:space="preserve">Restaurant</t>
        </is>
      </c>
      <c t="inlineStr" r="I278">
        <is>
          <t xml:space="preserve">Food Services and Drinking Places</t>
        </is>
      </c>
      <c t="inlineStr" r="J278">
        <is>
          <t xml:space="preserve">Jim Moazez</t>
        </is>
      </c>
      <c t="inlineStr" r="L278">
        <is>
          <t xml:space="preserve">-----</t>
        </is>
      </c>
    </row>
    <row r="279">
      <c t="str" r="A279" s="4">
        <f>HYPERLINK("https://linkbusiness.com/businesses-for-sale/LA04732/Los-Angeles-County-Roofing-Company-with-15mil-of-Revenues","LA04732")</f>
      </c>
      <c t="inlineStr" r="B279">
        <is>
          <t xml:space="preserve">Los Angeles County Roofing Company with 1.5mil of Revenues</t>
        </is>
      </c>
      <c r="C279" s="63">
        <v>695000</v>
      </c>
      <c r="D279" s="63">
        <v>35014100</v>
      </c>
      <c t="inlineStr" r="E279">
        <is>
          <t xml:space="preserve">Los Angeles County</t>
        </is>
      </c>
      <c r="F279" s="65">
        <v>0</v>
      </c>
      <c r="G279" s="63">
        <v>275000</v>
      </c>
      <c t="inlineStr" r="H279">
        <is>
          <t xml:space="preserve">Construction</t>
        </is>
      </c>
      <c t="inlineStr" r="I279">
        <is>
          <t xml:space="preserve">&lt;none&gt;</t>
        </is>
      </c>
      <c t="inlineStr" r="J279">
        <is>
          <t xml:space="preserve">Stuart Greenberg</t>
        </is>
      </c>
      <c t="inlineStr" r="L279">
        <is>
          <t xml:space="preserve">-----</t>
        </is>
      </c>
    </row>
    <row r="280">
      <c t="str" r="A280" s="4">
        <f>HYPERLINK("https://linkbusiness.com/businesses-for-sale/LA04734/Iconic-Fashion-Brand-Growing-Sales%2c-Wholesale-%2b-Available-Real-Estate-%2b-Retail","LA04734")</f>
      </c>
      <c t="inlineStr" r="B280">
        <is>
          <t xml:space="preserve">Iconic Fashion Brand Growing Sales, Wholesale + Available Real Estate + Retail</t>
        </is>
      </c>
      <c r="C280" s="65">
        <v>0</v>
      </c>
      <c r="D280" s="65">
        <v>0</v>
      </c>
      <c t="inlineStr" r="E280">
        <is>
          <t xml:space="preserve">Los Angeles County</t>
        </is>
      </c>
      <c r="F280" s="65">
        <v>0</v>
      </c>
      <c r="G280" s="63">
        <v>1717496</v>
      </c>
      <c t="inlineStr" r="H280">
        <is>
          <t xml:space="preserve">Manufacturing</t>
        </is>
      </c>
      <c t="inlineStr" r="I280">
        <is>
          <t xml:space="preserve">Apparel Manufacturing</t>
        </is>
      </c>
      <c t="inlineStr" r="J280">
        <is>
          <t xml:space="preserve">Ethan Skugrud</t>
        </is>
      </c>
      <c t="inlineStr" r="K280">
        <is>
          <t xml:space="preserve">Wes Lewison</t>
        </is>
      </c>
      <c t="inlineStr" r="L280">
        <is>
          <t xml:space="preserve">Refer to Broker</t>
        </is>
      </c>
    </row>
    <row r="281">
      <c t="str" r="A281" s="4">
        <f>HYPERLINK("https://linkbusiness.com/businesses-for-sale/LA04735/4-Star-Yelp-Review-Self-Serve-Franchise-Frozen-Yogurt!","LA04735")</f>
      </c>
      <c t="inlineStr" r="B281">
        <is>
          <t xml:space="preserve">4 Star Yelp Review Self Serve Franchise Frozen Yogurt!</t>
        </is>
      </c>
      <c r="C281" s="63">
        <v>135000</v>
      </c>
      <c r="D281" s="63">
        <v>6801300</v>
      </c>
      <c t="inlineStr" r="E281">
        <is>
          <t xml:space="preserve">Orange County</t>
        </is>
      </c>
      <c r="F281" s="65">
        <v>0</v>
      </c>
      <c r="G281" s="63">
        <v>80000</v>
      </c>
      <c t="inlineStr" r="H281">
        <is>
          <t xml:space="preserve">Franchises</t>
        </is>
      </c>
      <c t="inlineStr" r="I281">
        <is>
          <t xml:space="preserve">&lt;none&gt;</t>
        </is>
      </c>
      <c t="inlineStr" r="L281">
        <is>
          <t xml:space="preserve">-----</t>
        </is>
      </c>
    </row>
    <row r="282">
      <c t="str" r="A282" s="4">
        <f>HYPERLINK("https://linkbusiness.com/businesses-for-sale/LA04737/Entertainment%2c-E-Commerce-and-Independent-Film-Industry","LA04737")</f>
      </c>
      <c t="inlineStr" r="B282">
        <is>
          <t xml:space="preserve">Entertainment, E Commerce and Independent Film Industry</t>
        </is>
      </c>
      <c r="C282" s="63">
        <v>499000</v>
      </c>
      <c r="D282" s="63">
        <v>25139620</v>
      </c>
      <c t="inlineStr" r="E282">
        <is>
          <t xml:space="preserve">West Los Angeles County</t>
        </is>
      </c>
      <c r="F282" s="65">
        <v>0</v>
      </c>
      <c r="G282" s="65">
        <v>0</v>
      </c>
      <c t="inlineStr" r="H282">
        <is>
          <t xml:space="preserve">Arts, Entertainment &amp; Recreation</t>
        </is>
      </c>
      <c t="inlineStr" r="I282">
        <is>
          <t xml:space="preserve">Amusement, Gambling, and Recreation Industries</t>
        </is>
      </c>
      <c t="inlineStr" r="J282">
        <is>
          <t xml:space="preserve">Donna Alexander</t>
        </is>
      </c>
      <c t="inlineStr" r="L282">
        <is>
          <t xml:space="preserve">-----</t>
        </is>
      </c>
    </row>
    <row r="283">
      <c t="str" r="A283" s="4">
        <f>HYPERLINK("https://linkbusiness.com/businesses-for-sale/LA04739/Beautiful-Beach-Town-Sporting-Goods-Store-Seeks-Owner-Operator","LA04739")</f>
      </c>
      <c t="inlineStr" r="B283">
        <is>
          <t xml:space="preserve">Beautiful Beach Town Sporting Goods Store Seeks Owner Operator</t>
        </is>
      </c>
      <c r="C283" s="63">
        <v>198000</v>
      </c>
      <c r="D283" s="63">
        <v>9975240</v>
      </c>
      <c t="inlineStr" r="E283">
        <is>
          <t xml:space="preserve">Ventura &amp; Santa Barbara Counties</t>
        </is>
      </c>
      <c r="F283" s="65">
        <v>0</v>
      </c>
      <c r="G283" s="65">
        <v>0</v>
      </c>
      <c t="inlineStr" r="H283">
        <is>
          <t xml:space="preserve">Retail Trade</t>
        </is>
      </c>
      <c t="inlineStr" r="I283">
        <is>
          <t xml:space="preserve">Sporting Goods, Hobby, Musical Instrument, and Book Stores</t>
        </is>
      </c>
      <c t="inlineStr" r="J283">
        <is>
          <t xml:space="preserve">Ethan Skugrud</t>
        </is>
      </c>
      <c t="inlineStr" r="K283">
        <is>
          <t xml:space="preserve">Wes Lewison</t>
        </is>
      </c>
      <c t="inlineStr" r="L283">
        <is>
          <t xml:space="preserve">-----</t>
        </is>
      </c>
    </row>
    <row r="284">
      <c t="str" r="A284" s="4">
        <f>HYPERLINK("https://linkbusiness.com/businesses-for-sale/LA04740/Wood-Fabrication-Facility-Seeks-Owner-Operator-SBA-Approved-25%25-Down","LA04740")</f>
      </c>
      <c t="inlineStr" r="B284">
        <is>
          <t xml:space="preserve">Wood Fabrication Facility Seeks Owner Operator SBA Approved 25% Down</t>
        </is>
      </c>
      <c r="C284" s="63">
        <v>2000000</v>
      </c>
      <c r="D284" s="63">
        <v>100760000</v>
      </c>
      <c t="inlineStr" r="E284">
        <is>
          <t xml:space="preserve">Los Angeles County</t>
        </is>
      </c>
      <c r="F284" s="65">
        <v>0</v>
      </c>
      <c r="G284" s="63">
        <v>436216</v>
      </c>
      <c t="inlineStr" r="H284">
        <is>
          <t xml:space="preserve">Manufacturing</t>
        </is>
      </c>
      <c t="inlineStr" r="I284">
        <is>
          <t xml:space="preserve">Wood Product Manufacturing</t>
        </is>
      </c>
      <c t="inlineStr" r="J284">
        <is>
          <t xml:space="preserve">Ethan Skugrud</t>
        </is>
      </c>
      <c t="inlineStr" r="K284">
        <is>
          <t xml:space="preserve">Wes Lewison</t>
        </is>
      </c>
      <c t="inlineStr" r="L284">
        <is>
          <t xml:space="preserve">-----</t>
        </is>
      </c>
    </row>
    <row r="285">
      <c t="str" r="A285" s="4">
        <f>HYPERLINK("https://linkbusiness.com/businesses-for-sale/LA04741/Alarm-Company-Seeks-CEO-Level-Buyer","LA04741")</f>
      </c>
      <c t="inlineStr" r="B285">
        <is>
          <t xml:space="preserve">Alarm Company Seeks CEO Level Buyer</t>
        </is>
      </c>
      <c r="C285" s="65">
        <v>0</v>
      </c>
      <c r="D285" s="65">
        <v>0</v>
      </c>
      <c t="inlineStr" r="E285">
        <is>
          <t xml:space="preserve">California</t>
        </is>
      </c>
      <c r="F285" s="65">
        <v>0</v>
      </c>
      <c r="G285" s="63">
        <v>537992</v>
      </c>
      <c t="inlineStr" r="H285">
        <is>
          <t xml:space="preserve">Administrative &amp; Support &amp; Waste Management &amp; Remediation Services</t>
        </is>
      </c>
      <c t="inlineStr" r="I285">
        <is>
          <t xml:space="preserve">&lt;none&gt;</t>
        </is>
      </c>
      <c t="inlineStr" r="J285">
        <is>
          <t xml:space="preserve">Ethan Skugrud</t>
        </is>
      </c>
      <c t="inlineStr" r="K285">
        <is>
          <t xml:space="preserve">Wes Lewison</t>
        </is>
      </c>
      <c t="inlineStr" r="L285">
        <is>
          <t xml:space="preserve">Refer to Broker</t>
        </is>
      </c>
    </row>
    <row r="286">
      <c t="str" r="A286" s="4">
        <f>HYPERLINK("https://linkbusiness.com/businesses-for-sale/LA04743/Beautiful-and-Profitable-Thai-Restaurant-in-a-Busy-and-High-Traffic-Center","LA04743")</f>
      </c>
      <c t="inlineStr" r="B286">
        <is>
          <t xml:space="preserve">Beautiful and Profitable Thai Restaurant in a Busy and High Traffic Center</t>
        </is>
      </c>
      <c r="C286" s="63">
        <v>195000</v>
      </c>
      <c r="D286" s="63">
        <v>9824100</v>
      </c>
      <c t="inlineStr" r="E286">
        <is>
          <t xml:space="preserve">San Diego County</t>
        </is>
      </c>
      <c r="F286" s="65">
        <v>0</v>
      </c>
      <c r="G286" s="63">
        <v>150000</v>
      </c>
      <c t="inlineStr" r="H286">
        <is>
          <t xml:space="preserve">Restaurant</t>
        </is>
      </c>
      <c t="inlineStr" r="I286">
        <is>
          <t xml:space="preserve">Food Services and Drinking Places</t>
        </is>
      </c>
      <c t="inlineStr" r="J286">
        <is>
          <t xml:space="preserve">Jim Moazez</t>
        </is>
      </c>
      <c t="inlineStr" r="L286">
        <is>
          <t xml:space="preserve">-----</t>
        </is>
      </c>
    </row>
    <row r="287">
      <c t="str" r="A287" s="4">
        <f>HYPERLINK("https://linkbusiness.com/businesses-for-sale/LA04744/Very-Profitable-Spa-%26-Salon-Equipment-Distributor","LA04744")</f>
      </c>
      <c t="inlineStr" r="B287">
        <is>
          <t xml:space="preserve">Very Profitable Spa &amp; Salon Equipment Distributor</t>
        </is>
      </c>
      <c r="C287" s="63">
        <v>320000</v>
      </c>
      <c r="D287" s="63">
        <v>16121600</v>
      </c>
      <c t="inlineStr" r="E287">
        <is>
          <t xml:space="preserve">Los Angeles County</t>
        </is>
      </c>
      <c r="F287" s="65">
        <v>0</v>
      </c>
      <c r="G287" s="63">
        <v>140773</v>
      </c>
      <c t="inlineStr" r="H287">
        <is>
          <t xml:space="preserve">Other Services (except public administration)</t>
        </is>
      </c>
      <c t="inlineStr" r="I287">
        <is>
          <t xml:space="preserve">Other Personal Services</t>
        </is>
      </c>
      <c t="inlineStr" r="J287">
        <is>
          <t xml:space="preserve">Giulio J Maresca</t>
        </is>
      </c>
      <c t="inlineStr" r="L287">
        <is>
          <t xml:space="preserve">-----</t>
        </is>
      </c>
    </row>
    <row r="288">
      <c t="str" r="A288" s="4">
        <f>HYPERLINK("https://linkbusiness.com/businesses-for-sale/LA04745/Absentee-Run-Chinese-Fast-Food","LA04745")</f>
      </c>
      <c t="inlineStr" r="B288">
        <is>
          <t xml:space="preserve">Absentee Run Chinese Fast Food</t>
        </is>
      </c>
      <c r="C288" s="63">
        <v>125000</v>
      </c>
      <c r="D288" s="63">
        <v>6297500</v>
      </c>
      <c t="inlineStr" r="E288">
        <is>
          <t xml:space="preserve">California</t>
        </is>
      </c>
      <c r="F288" s="65">
        <v>0</v>
      </c>
      <c r="G288" s="63">
        <v>54000</v>
      </c>
      <c t="inlineStr" r="H288">
        <is>
          <t xml:space="preserve">Restaurant</t>
        </is>
      </c>
      <c t="inlineStr" r="I288">
        <is>
          <t xml:space="preserve">Food Services and Drinking Places</t>
        </is>
      </c>
      <c t="inlineStr" r="J288">
        <is>
          <t xml:space="preserve">Paul Suh</t>
        </is>
      </c>
      <c t="inlineStr" r="L288">
        <is>
          <t xml:space="preserve">-----</t>
        </is>
      </c>
    </row>
    <row r="289">
      <c t="str" r="A289" s="4">
        <f>HYPERLINK("https://linkbusiness.com/businesses-for-sale/LA04747/EB5-Ready-Franchise-Restaurant-in-North-San-Diego-County","LA04747")</f>
      </c>
      <c t="inlineStr" r="B289">
        <is>
          <t xml:space="preserve">EB5 Ready Franchise Restaurant in North San Diego County</t>
        </is>
      </c>
      <c r="C289" s="63">
        <v>800000</v>
      </c>
      <c r="D289" s="63">
        <v>40304000</v>
      </c>
      <c t="inlineStr" r="E289">
        <is>
          <t xml:space="preserve">California</t>
        </is>
      </c>
      <c r="F289" s="65">
        <v>0</v>
      </c>
      <c r="G289" s="65">
        <v>0</v>
      </c>
      <c t="inlineStr" r="H289">
        <is>
          <t xml:space="preserve">Restaurant</t>
        </is>
      </c>
      <c t="inlineStr" r="I289">
        <is>
          <t xml:space="preserve">Accommodation</t>
        </is>
      </c>
      <c t="inlineStr" r="J289">
        <is>
          <t xml:space="preserve">Sara Vaziri</t>
        </is>
      </c>
      <c t="inlineStr" r="L289">
        <is>
          <t xml:space="preserve">-----</t>
        </is>
      </c>
    </row>
    <row r="290">
      <c t="str" r="A290" s="4">
        <f>HYPERLINK("https://linkbusiness.com/businesses-for-sale/LA04748/5-Star-Yelp-Review-Top-Franchise-Learning-Center-For-Sale-In-Beautiful-San-Diego-County!","LA04748")</f>
      </c>
      <c t="inlineStr" r="B290">
        <is>
          <t xml:space="preserve">5 Star Yelp Review Top Franchise Learning Center For Sale In Beautiful San Diego County!</t>
        </is>
      </c>
      <c r="C290" s="63">
        <v>275000</v>
      </c>
      <c r="D290" s="63">
        <v>13854500</v>
      </c>
      <c t="inlineStr" r="E290">
        <is>
          <t xml:space="preserve">San Diego County</t>
        </is>
      </c>
      <c r="F290" s="65">
        <v>0</v>
      </c>
      <c r="G290" s="63">
        <v>125777</v>
      </c>
      <c t="inlineStr" r="H290">
        <is>
          <t xml:space="preserve">Educational Services</t>
        </is>
      </c>
      <c t="inlineStr" r="I290">
        <is>
          <t xml:space="preserve">Educational Services (Level 3)</t>
        </is>
      </c>
      <c t="inlineStr" r="J290">
        <is>
          <t xml:space="preserve">Susie Kang</t>
        </is>
      </c>
      <c t="inlineStr" r="L290">
        <is>
          <t xml:space="preserve">-----</t>
        </is>
      </c>
    </row>
    <row r="291">
      <c t="str" r="A291" s="4">
        <f>HYPERLINK("https://linkbusiness.com/businesses-for-sale/LA04749/A-BRAND-NEW-MARKET-FOR-YOU-!!","LA04749")</f>
      </c>
      <c t="inlineStr" r="B291">
        <is>
          <t xml:space="preserve">A BRAND NEW MARKET FOR YOU !!</t>
        </is>
      </c>
      <c r="C291" s="63">
        <v>59000</v>
      </c>
      <c r="D291" s="63">
        <v>2972420</v>
      </c>
      <c t="inlineStr" r="E291">
        <is>
          <t xml:space="preserve">North Los Angeles County</t>
        </is>
      </c>
      <c r="F291" s="65">
        <v>0</v>
      </c>
      <c r="G291" s="65">
        <v>0</v>
      </c>
      <c t="inlineStr" r="H291">
        <is>
          <t xml:space="preserve">Retail Trade</t>
        </is>
      </c>
      <c t="inlineStr" r="I291">
        <is>
          <t xml:space="preserve">General Merchandise Stores</t>
        </is>
      </c>
      <c t="inlineStr" r="J291">
        <is>
          <t xml:space="preserve">Peter Magaziotis</t>
        </is>
      </c>
      <c t="inlineStr" r="L291">
        <is>
          <t xml:space="preserve">-----</t>
        </is>
      </c>
    </row>
    <row r="292">
      <c t="str" r="A292" s="4">
        <f>HYPERLINK("https://linkbusiness.com/businesses-for-sale/LA04750/EB5-Ready-Franchise-Restaurant-in-North-San-Diego-County","LA04750")</f>
      </c>
      <c t="inlineStr" r="B292">
        <is>
          <t xml:space="preserve">EB5 Ready Franchise Restaurant in North San Diego County</t>
        </is>
      </c>
      <c r="C292" s="63">
        <v>850000</v>
      </c>
      <c r="D292" s="63">
        <v>42823000</v>
      </c>
      <c t="inlineStr" r="E292">
        <is>
          <t xml:space="preserve">San Diego County</t>
        </is>
      </c>
      <c r="F292" s="65">
        <v>0</v>
      </c>
      <c r="G292" s="65">
        <v>0</v>
      </c>
      <c t="inlineStr" r="H292">
        <is>
          <t xml:space="preserve">Restaurant</t>
        </is>
      </c>
      <c t="inlineStr" r="I292">
        <is>
          <t xml:space="preserve">Food Services and Drinking Places</t>
        </is>
      </c>
      <c t="inlineStr" r="J292">
        <is>
          <t xml:space="preserve">Sara Vaziri</t>
        </is>
      </c>
      <c t="inlineStr" r="L292">
        <is>
          <t xml:space="preserve">-----</t>
        </is>
      </c>
    </row>
    <row r="293">
      <c t="str" r="A293" s="4">
        <f>HYPERLINK("https://linkbusiness.com/businesses-for-sale/LA04751/Premier-Gun-and-Ammo-Store","LA04751")</f>
      </c>
      <c t="inlineStr" r="B293">
        <is>
          <t xml:space="preserve">Premier Gun and Ammo Store</t>
        </is>
      </c>
      <c r="C293" s="63">
        <v>250000</v>
      </c>
      <c r="D293" s="63">
        <v>12595000</v>
      </c>
      <c t="inlineStr" r="E293">
        <is>
          <t xml:space="preserve">San Bernardino County</t>
        </is>
      </c>
      <c r="F293" s="65">
        <v>0</v>
      </c>
      <c r="G293" s="65">
        <v>0</v>
      </c>
      <c t="inlineStr" r="H293">
        <is>
          <t xml:space="preserve">Retail Trade</t>
        </is>
      </c>
      <c t="inlineStr" r="I293">
        <is>
          <t xml:space="preserve">&lt;none&gt;</t>
        </is>
      </c>
      <c t="inlineStr" r="J293">
        <is>
          <t xml:space="preserve">Donna Alexander</t>
        </is>
      </c>
      <c t="inlineStr" r="L293">
        <is>
          <t xml:space="preserve">-----</t>
        </is>
      </c>
    </row>
    <row r="294">
      <c t="str" r="A294" s="4">
        <f>HYPERLINK("https://linkbusiness.com/businesses-for-sale/LA04752/Highly-Profitable-Auto-Paint-And-Body-Shop-With-Great-Cashflow","LA04752")</f>
      </c>
      <c t="inlineStr" r="B294">
        <is>
          <t xml:space="preserve">Highly Profitable Auto Paint And Body Shop With Great Cashflow</t>
        </is>
      </c>
      <c r="C294" s="63">
        <v>1000000</v>
      </c>
      <c r="D294" s="63">
        <v>50380000</v>
      </c>
      <c t="inlineStr" r="E294">
        <is>
          <t xml:space="preserve">Los Angeles County</t>
        </is>
      </c>
      <c r="F294" s="65">
        <v>0</v>
      </c>
      <c r="G294" s="63">
        <v>527300</v>
      </c>
      <c t="inlineStr" r="H294">
        <is>
          <t xml:space="preserve">Other Services (except public administration)</t>
        </is>
      </c>
      <c t="inlineStr" r="I294">
        <is>
          <t xml:space="preserve">Repair and Maintenance</t>
        </is>
      </c>
      <c t="inlineStr" r="J294">
        <is>
          <t xml:space="preserve">Shawn Davis</t>
        </is>
      </c>
      <c t="inlineStr" r="L294">
        <is>
          <t xml:space="preserve">-----</t>
        </is>
      </c>
    </row>
    <row r="295">
      <c t="str" r="A295" s="4">
        <f>HYPERLINK("https://linkbusiness.com/businesses-for-sale/LA04753/SFV-Restaurant-with-Over-%24100k-mo-Long-Term-Lease","LA04753")</f>
      </c>
      <c t="inlineStr" r="B295">
        <is>
          <t xml:space="preserve">SFV Restaurant with Over $100k mo. Long Term Lease</t>
        </is>
      </c>
      <c r="C295" s="63">
        <v>249500</v>
      </c>
      <c r="D295" s="63">
        <v>12569810</v>
      </c>
      <c t="inlineStr" r="E295">
        <is>
          <t xml:space="preserve">Los Angeles County</t>
        </is>
      </c>
      <c r="F295" s="65">
        <v>0</v>
      </c>
      <c r="G295" s="65">
        <v>0</v>
      </c>
      <c t="inlineStr" r="H295">
        <is>
          <t xml:space="preserve">Restaurant</t>
        </is>
      </c>
      <c t="inlineStr" r="I295">
        <is>
          <t xml:space="preserve">Food Services and Drinking Places</t>
        </is>
      </c>
      <c t="inlineStr" r="J295">
        <is>
          <t xml:space="preserve">Philip Wolfstein, CBB</t>
        </is>
      </c>
      <c t="inlineStr" r="K295">
        <is>
          <t xml:space="preserve">Joe Khoury</t>
        </is>
      </c>
      <c t="inlineStr" r="L295">
        <is>
          <t xml:space="preserve">-----</t>
        </is>
      </c>
    </row>
    <row r="296">
      <c t="str" r="A296" s="4">
        <f>HYPERLINK("https://linkbusiness.com/businesses-for-sale/LA04754/Well-Established-Delivery-Service","LA04754")</f>
      </c>
      <c t="inlineStr" r="B296">
        <is>
          <t xml:space="preserve">Well Established Delivery Service</t>
        </is>
      </c>
      <c r="C296" s="63">
        <v>250000</v>
      </c>
      <c r="D296" s="63">
        <v>12595000</v>
      </c>
      <c t="inlineStr" r="E296">
        <is>
          <t xml:space="preserve">San Bernardino County</t>
        </is>
      </c>
      <c r="F296" s="65">
        <v>0</v>
      </c>
      <c r="G296" s="63">
        <v>151264</v>
      </c>
      <c t="inlineStr" r="H296">
        <is>
          <t xml:space="preserve">Other Services (except public administration)</t>
        </is>
      </c>
      <c t="inlineStr" r="I296">
        <is>
          <t xml:space="preserve">&lt;none&gt;</t>
        </is>
      </c>
      <c t="inlineStr" r="L296">
        <is>
          <t xml:space="preserve">-----</t>
        </is>
      </c>
    </row>
    <row r="297">
      <c t="str" r="A297" s="4">
        <f>HYPERLINK("https://linkbusiness.com/businesses-for-sale/LA04755/Fully-Equipped-Manufacturing-Facility-Incl-Real-Property-w%252f-Showroom","LA04755")</f>
      </c>
      <c t="inlineStr" r="B297">
        <is>
          <t xml:space="preserve">Fully Equipped Manufacturing Facility Incl. Real Property w/ Showroom</t>
        </is>
      </c>
      <c r="C297" s="63">
        <v>1500000</v>
      </c>
      <c r="D297" s="63">
        <v>75570000</v>
      </c>
      <c t="inlineStr" r="E297">
        <is>
          <t xml:space="preserve">San Bernardino County</t>
        </is>
      </c>
      <c r="F297" s="65">
        <v>0</v>
      </c>
      <c r="G297" s="65">
        <v>0</v>
      </c>
      <c t="inlineStr" r="H297">
        <is>
          <t xml:space="preserve">Manufacturing</t>
        </is>
      </c>
      <c t="inlineStr" r="I297">
        <is>
          <t xml:space="preserve">&lt;none&gt;</t>
        </is>
      </c>
      <c t="inlineStr" r="J297">
        <is>
          <t xml:space="preserve">Conrad Partida</t>
        </is>
      </c>
      <c t="inlineStr" r="K297">
        <is>
          <t xml:space="preserve">Joe Khoury</t>
        </is>
      </c>
      <c t="inlineStr" r="L297">
        <is>
          <t xml:space="preserve">-----</t>
        </is>
      </c>
    </row>
    <row r="298">
      <c t="str" r="A298" s="4">
        <f>HYPERLINK("https://linkbusiness.com/businesses-for-sale/LA04756/Turnkey-Dry-Cleaning-Business-w%252f-Reasonable-Rent","LA04756")</f>
      </c>
      <c t="inlineStr" r="B298">
        <is>
          <t xml:space="preserve">Turnkey Dry Cleaning Business w/ Reasonable Rent</t>
        </is>
      </c>
      <c r="C298" s="63">
        <v>15000</v>
      </c>
      <c r="D298" s="63">
        <v>755700</v>
      </c>
      <c t="inlineStr" r="E298">
        <is>
          <t xml:space="preserve">Los Angeles County</t>
        </is>
      </c>
      <c r="F298" s="65">
        <v>0</v>
      </c>
      <c r="G298" s="65">
        <v>0</v>
      </c>
      <c t="inlineStr" r="H298">
        <is>
          <t xml:space="preserve">Other Services (except public administration)</t>
        </is>
      </c>
      <c t="inlineStr" r="I298">
        <is>
          <t xml:space="preserve">&lt;none&gt;</t>
        </is>
      </c>
      <c t="inlineStr" r="J298">
        <is>
          <t xml:space="preserve">Jim Moazez</t>
        </is>
      </c>
      <c t="inlineStr" r="L298">
        <is>
          <t xml:space="preserve">-----</t>
        </is>
      </c>
    </row>
    <row r="299">
      <c t="str" r="A299" s="4">
        <f>HYPERLINK("https://linkbusiness.com/businesses-for-sale/LA04757/Enjoy-Driving-and-Make-Money-w%252f-Traffic-School","LA04757")</f>
      </c>
      <c t="inlineStr" r="B299">
        <is>
          <t xml:space="preserve">Enjoy Driving and Make Money w/ Traffic School</t>
        </is>
      </c>
      <c r="C299" s="63">
        <v>129000</v>
      </c>
      <c r="D299" s="63">
        <v>6499020</v>
      </c>
      <c t="inlineStr" r="E299">
        <is>
          <t xml:space="preserve">North Los Angeles County</t>
        </is>
      </c>
      <c r="F299" s="65">
        <v>0</v>
      </c>
      <c r="G299" s="65">
        <v>0</v>
      </c>
      <c t="inlineStr" r="H299">
        <is>
          <t xml:space="preserve">Educational Services</t>
        </is>
      </c>
      <c t="inlineStr" r="I299">
        <is>
          <t xml:space="preserve">Educational Services (Level 3)</t>
        </is>
      </c>
      <c t="inlineStr" r="J299">
        <is>
          <t xml:space="preserve">Peter Magaziotis</t>
        </is>
      </c>
      <c t="inlineStr" r="L299">
        <is>
          <t xml:space="preserve">-----</t>
        </is>
      </c>
    </row>
    <row r="300">
      <c t="str" r="A300" s="4">
        <f>HYPERLINK("https://linkbusiness.com/businesses-for-sale/LA04758/Medical-Supply-and-Scooter-Repair-Shop","LA04758")</f>
      </c>
      <c t="inlineStr" r="B300">
        <is>
          <t xml:space="preserve">Medical Supply and Scooter Repair Shop</t>
        </is>
      </c>
      <c r="C300" s="63">
        <v>150000</v>
      </c>
      <c r="D300" s="63">
        <v>7557000</v>
      </c>
      <c t="inlineStr" r="E300">
        <is>
          <t xml:space="preserve">Los Angeles County</t>
        </is>
      </c>
      <c r="F300" s="65">
        <v>0</v>
      </c>
      <c r="G300" s="63">
        <v>48731</v>
      </c>
      <c t="inlineStr" r="H300">
        <is>
          <t xml:space="preserve">Retail Trade</t>
        </is>
      </c>
      <c t="inlineStr" r="I300">
        <is>
          <t xml:space="preserve">&lt;none&gt;</t>
        </is>
      </c>
      <c t="inlineStr" r="J300">
        <is>
          <t xml:space="preserve">Daniel Alway</t>
        </is>
      </c>
      <c t="inlineStr" r="K300">
        <is>
          <t xml:space="preserve">Shawn Davis</t>
        </is>
      </c>
      <c t="inlineStr" r="L300">
        <is>
          <t xml:space="preserve">-----</t>
        </is>
      </c>
    </row>
    <row r="301">
      <c t="str" r="A301" s="4">
        <f>HYPERLINK("https://linkbusiness.com/businesses-for-sale/LA04759/Exciting-World-of-Fitness-Kickboxing","LA04759")</f>
      </c>
      <c t="inlineStr" r="B301">
        <is>
          <t xml:space="preserve">Exciting World of Fitness Kickboxing</t>
        </is>
      </c>
      <c r="C301" s="63">
        <v>49000</v>
      </c>
      <c r="D301" s="63">
        <v>2468620</v>
      </c>
      <c t="inlineStr" r="E301">
        <is>
          <t xml:space="preserve">North Orange County</t>
        </is>
      </c>
      <c r="F301" s="65">
        <v>0</v>
      </c>
      <c r="G301" s="63">
        <v>80000</v>
      </c>
      <c t="inlineStr" r="H301">
        <is>
          <t xml:space="preserve">Arts, Entertainment &amp; Recreation</t>
        </is>
      </c>
      <c t="inlineStr" r="I301">
        <is>
          <t xml:space="preserve">Amusement, Gambling, and Recreation Industries</t>
        </is>
      </c>
      <c t="inlineStr" r="J301">
        <is>
          <t xml:space="preserve">Kellie Fish</t>
        </is>
      </c>
      <c t="inlineStr" r="L301">
        <is>
          <t xml:space="preserve">-----</t>
        </is>
      </c>
    </row>
    <row r="302">
      <c t="str" r="A302" s="4">
        <f>HYPERLINK("https://linkbusiness.com/businesses-for-sale/LA04760/40-Year-High-end-Custom-Furniture-Manufacturer-Seeks-New-Owner","LA04760")</f>
      </c>
      <c t="inlineStr" r="B302">
        <is>
          <t xml:space="preserve">40 Year High end Custom Furniture Manufacturer Seeks New Owner</t>
        </is>
      </c>
      <c r="C302" s="63">
        <v>145000</v>
      </c>
      <c r="D302" s="63">
        <v>7305100</v>
      </c>
      <c t="inlineStr" r="E302">
        <is>
          <t xml:space="preserve">Los Angeles County</t>
        </is>
      </c>
      <c r="F302" s="65">
        <v>0</v>
      </c>
      <c r="G302" s="65">
        <v>0</v>
      </c>
      <c t="inlineStr" r="H302">
        <is>
          <t xml:space="preserve">Wholesale Trade</t>
        </is>
      </c>
      <c t="inlineStr" r="I302">
        <is>
          <t xml:space="preserve">Merchant Wholesalers, Durable Goods</t>
        </is>
      </c>
      <c t="inlineStr" r="J302">
        <is>
          <t xml:space="preserve">Paul Mendoza</t>
        </is>
      </c>
      <c t="inlineStr" r="L302">
        <is>
          <t xml:space="preserve">-----</t>
        </is>
      </c>
    </row>
    <row r="303">
      <c t="str" r="A303" s="4">
        <f>HYPERLINK("https://linkbusiness.com/businesses-for-sale/LA04761/26-Years-Old-Profitable-Optical-Store-in-South-LA-County","LA04761")</f>
      </c>
      <c t="inlineStr" r="B303">
        <is>
          <t xml:space="preserve">26 Years Old Profitable Optical Store in South LA County</t>
        </is>
      </c>
      <c r="C303" s="63">
        <v>259000</v>
      </c>
      <c r="D303" s="63">
        <v>13048420</v>
      </c>
      <c t="inlineStr" r="E303">
        <is>
          <t xml:space="preserve">Los Angeles County</t>
        </is>
      </c>
      <c r="F303" s="65">
        <v>0</v>
      </c>
      <c r="G303" s="63">
        <v>91000</v>
      </c>
      <c t="inlineStr" r="H303">
        <is>
          <t xml:space="preserve">Retail Trade</t>
        </is>
      </c>
      <c t="inlineStr" r="I303">
        <is>
          <t xml:space="preserve">Health and Personal Care Stores</t>
        </is>
      </c>
      <c t="inlineStr" r="J303">
        <is>
          <t xml:space="preserve">Sara Vaziri</t>
        </is>
      </c>
      <c t="inlineStr" r="L303">
        <is>
          <t xml:space="preserve">$130k Inventory Included!</t>
        </is>
      </c>
    </row>
    <row r="304">
      <c t="str" r="A304" s="4">
        <f>HYPERLINK("https://linkbusiness.com/businesses-for-sale/LA04762/Well-Established-Advertising-%26-Direct-Mail-Business%2c-Seller-Carry","LA04762")</f>
      </c>
      <c t="inlineStr" r="B304">
        <is>
          <t xml:space="preserve">Well Established Advertising &amp; Direct Mail Business, Seller Carry</t>
        </is>
      </c>
      <c r="C304" s="63">
        <v>275000</v>
      </c>
      <c r="D304" s="63">
        <v>13854500</v>
      </c>
      <c t="inlineStr" r="E304">
        <is>
          <t xml:space="preserve">Northern California</t>
        </is>
      </c>
      <c r="F304" s="65">
        <v>0</v>
      </c>
      <c r="G304" s="63">
        <v>150000</v>
      </c>
      <c t="inlineStr" r="H304">
        <is>
          <t xml:space="preserve">Other Services (except public administration)</t>
        </is>
      </c>
      <c t="inlineStr" r="I304">
        <is>
          <t xml:space="preserve">Other Personal Services</t>
        </is>
      </c>
      <c t="inlineStr" r="J304">
        <is>
          <t xml:space="preserve">Jim Moazez</t>
        </is>
      </c>
      <c t="inlineStr" r="L304">
        <is>
          <t xml:space="preserve">-----</t>
        </is>
      </c>
    </row>
    <row r="305">
      <c t="str" r="A305" s="4">
        <f>HYPERLINK("https://linkbusiness.com/businesses-for-sale/LA04763/Busy-Auto-Part-Distribution-Business","LA04763")</f>
      </c>
      <c t="inlineStr" r="B305">
        <is>
          <t xml:space="preserve">Busy Auto Part Distribution Business</t>
        </is>
      </c>
      <c r="C305" s="63">
        <v>300000</v>
      </c>
      <c r="D305" s="63">
        <v>15114000</v>
      </c>
      <c t="inlineStr" r="E305">
        <is>
          <t xml:space="preserve">Los Angeles County</t>
        </is>
      </c>
      <c r="F305" s="65">
        <v>0</v>
      </c>
      <c r="G305" s="63">
        <v>122461</v>
      </c>
      <c t="inlineStr" r="H305">
        <is>
          <t xml:space="preserve">Other Services (except public administration)</t>
        </is>
      </c>
      <c t="inlineStr" r="I305">
        <is>
          <t xml:space="preserve">&lt;none&gt;</t>
        </is>
      </c>
      <c t="inlineStr" r="J305">
        <is>
          <t xml:space="preserve">Daniel Alway</t>
        </is>
      </c>
      <c t="inlineStr" r="K305">
        <is>
          <t xml:space="preserve">Shawn Davis</t>
        </is>
      </c>
      <c t="inlineStr" r="L305">
        <is>
          <t xml:space="preserve">-----</t>
        </is>
      </c>
    </row>
    <row r="306">
      <c t="str" r="A306" s="4">
        <f>HYPERLINK("https://linkbusiness.com/businesses-for-sale/LA04764/High-Volume-Hamburger-with-Drive-Thru-in-LB","LA04764")</f>
      </c>
      <c t="inlineStr" r="B306">
        <is>
          <t xml:space="preserve">High Volume Hamburger with Drive Thru in LB</t>
        </is>
      </c>
      <c r="C306" s="63">
        <v>318000</v>
      </c>
      <c r="D306" s="63">
        <v>16020840</v>
      </c>
      <c t="inlineStr" r="E306">
        <is>
          <t xml:space="preserve">California</t>
        </is>
      </c>
      <c r="F306" s="65">
        <v>0</v>
      </c>
      <c r="G306" s="65">
        <v>0</v>
      </c>
      <c t="inlineStr" r="H306">
        <is>
          <t xml:space="preserve">Restaurant</t>
        </is>
      </c>
      <c t="inlineStr" r="I306">
        <is>
          <t xml:space="preserve">Food Services and Drinking Places</t>
        </is>
      </c>
      <c t="inlineStr" r="J306">
        <is>
          <t xml:space="preserve">Paul Suh</t>
        </is>
      </c>
      <c t="inlineStr" r="L306">
        <is>
          <t xml:space="preserve">-----</t>
        </is>
      </c>
    </row>
    <row r="307">
      <c t="str" r="A307" s="4">
        <f>HYPERLINK("https://linkbusiness.com/businesses-for-sale/LA04765/Easy-to-Run-Dry-Cleaning-Store-with-Great-Traffic","LA04765")</f>
      </c>
      <c t="inlineStr" r="B307">
        <is>
          <t xml:space="preserve">Easy to Run Dry Cleaning Store with Great Traffic</t>
        </is>
      </c>
      <c r="C307" s="63">
        <v>87500</v>
      </c>
      <c r="D307" s="63">
        <v>4408250</v>
      </c>
      <c t="inlineStr" r="E307">
        <is>
          <t xml:space="preserve">Los Angeles County</t>
        </is>
      </c>
      <c r="F307" s="65">
        <v>0</v>
      </c>
      <c r="G307" s="65">
        <v>0</v>
      </c>
      <c t="inlineStr" r="H307">
        <is>
          <t xml:space="preserve">Other Services (except public administration)</t>
        </is>
      </c>
      <c t="inlineStr" r="I307">
        <is>
          <t xml:space="preserve">Drycleaning and Laundry Services</t>
        </is>
      </c>
      <c t="inlineStr" r="J307">
        <is>
          <t xml:space="preserve">Daniel Alway</t>
        </is>
      </c>
      <c t="inlineStr" r="K307">
        <is>
          <t xml:space="preserve">Shawn Davis</t>
        </is>
      </c>
      <c t="inlineStr" r="L307">
        <is>
          <t xml:space="preserve">-----</t>
        </is>
      </c>
    </row>
    <row r="308">
      <c t="str" r="A308" s="4">
        <f>HYPERLINK("https://linkbusiness.com/businesses-for-sale/LA04766/Beautiful-Cafe-with-B%26W-in-South-OC","LA04766")</f>
      </c>
      <c t="inlineStr" r="B308">
        <is>
          <t xml:space="preserve">Beautiful Cafe with B&amp;W in South OC</t>
        </is>
      </c>
      <c r="C308" s="63">
        <v>85000</v>
      </c>
      <c r="D308" s="63">
        <v>4282300</v>
      </c>
      <c t="inlineStr" r="E308">
        <is>
          <t xml:space="preserve">California</t>
        </is>
      </c>
      <c r="F308" s="65">
        <v>0</v>
      </c>
      <c r="G308" s="65">
        <v>0</v>
      </c>
      <c t="inlineStr" r="H308">
        <is>
          <t xml:space="preserve">Restaurant</t>
        </is>
      </c>
      <c t="inlineStr" r="I308">
        <is>
          <t xml:space="preserve">Food Services and Drinking Places</t>
        </is>
      </c>
      <c t="inlineStr" r="L308">
        <is>
          <t xml:space="preserve">-----</t>
        </is>
      </c>
    </row>
    <row r="309">
      <c t="str" r="A309" s="4">
        <f>HYPERLINK("https://linkbusiness.com/businesses-for-sale/LA04767/THE-PLACE-FOR-YOU-AND-YOUR-FAMILY","LA04767")</f>
      </c>
      <c t="inlineStr" r="B309">
        <is>
          <t xml:space="preserve">THE PLACE FOR YOU AND YOUR FAMILY</t>
        </is>
      </c>
      <c r="C309" s="63">
        <v>225000</v>
      </c>
      <c r="D309" s="63">
        <v>11335500</v>
      </c>
      <c t="inlineStr" r="E309">
        <is>
          <t xml:space="preserve">West Los Angeles County</t>
        </is>
      </c>
      <c r="F309" s="65">
        <v>0</v>
      </c>
      <c r="G309" s="65">
        <v>0</v>
      </c>
      <c t="inlineStr" r="H309">
        <is>
          <t xml:space="preserve">Restaurant</t>
        </is>
      </c>
      <c t="inlineStr" r="I309">
        <is>
          <t xml:space="preserve">Accommodation</t>
        </is>
      </c>
      <c t="inlineStr" r="J309">
        <is>
          <t xml:space="preserve">Peter Magaziotis</t>
        </is>
      </c>
      <c t="inlineStr" r="L309">
        <is>
          <t xml:space="preserve">-----</t>
        </is>
      </c>
    </row>
    <row r="310">
      <c t="str" r="A310" s="4">
        <f>HYPERLINK("https://linkbusiness.com/businesses-for-sale/LA04770/Pizzeria-Business-For-Sale-In-LA-County!","LA04770")</f>
      </c>
      <c t="inlineStr" r="B310">
        <is>
          <t xml:space="preserve">Pizzeria Business For Sale In LA County!</t>
        </is>
      </c>
      <c r="C310" s="63">
        <v>59000</v>
      </c>
      <c r="D310" s="63">
        <v>2972420</v>
      </c>
      <c t="inlineStr" r="E310">
        <is>
          <t xml:space="preserve">Los Angeles County</t>
        </is>
      </c>
      <c r="F310" s="65">
        <v>0</v>
      </c>
      <c r="G310" s="65">
        <v>0</v>
      </c>
      <c t="inlineStr" r="H310">
        <is>
          <t xml:space="preserve">Restaurant</t>
        </is>
      </c>
      <c t="inlineStr" r="I310">
        <is>
          <t xml:space="preserve">Accommodation</t>
        </is>
      </c>
      <c t="inlineStr" r="J310">
        <is>
          <t xml:space="preserve">Susie Kang</t>
        </is>
      </c>
      <c t="inlineStr" r="L310">
        <is>
          <t xml:space="preserve">-----</t>
        </is>
      </c>
    </row>
    <row r="311">
      <c t="str" r="A311" s="4">
        <f>HYPERLINK("https://linkbusiness.com/businesses-for-sale/LA04771/Profitable-Non-Emergency-Medical-Transportation-Business","LA04771")</f>
      </c>
      <c t="inlineStr" r="B311">
        <is>
          <t xml:space="preserve">Profitable Non Emergency Medical Transportation Business</t>
        </is>
      </c>
      <c r="C311" s="63">
        <v>160000</v>
      </c>
      <c r="D311" s="63">
        <v>8060800</v>
      </c>
      <c t="inlineStr" r="E311">
        <is>
          <t xml:space="preserve">Los Angeles County</t>
        </is>
      </c>
      <c r="F311" s="65">
        <v>0</v>
      </c>
      <c r="G311" s="63">
        <v>84000</v>
      </c>
      <c t="inlineStr" r="H311">
        <is>
          <t xml:space="preserve">Transportation &amp; Warehousing</t>
        </is>
      </c>
      <c t="inlineStr" r="I311">
        <is>
          <t xml:space="preserve">Transit and Ground Passenger Transportation</t>
        </is>
      </c>
      <c t="inlineStr" r="J311">
        <is>
          <t xml:space="preserve">Merrill Eastcott</t>
        </is>
      </c>
      <c t="inlineStr" r="L311">
        <is>
          <t xml:space="preserve">-----</t>
        </is>
      </c>
    </row>
    <row r="312">
      <c t="str" r="A312" s="4">
        <f>HYPERLINK("https://linkbusiness.com/businesses-for-sale/LA04774/FIRE-SALE-Print-%26-Copy-University-Location-Motivated-Retiring-Owner","LA04774")</f>
      </c>
      <c t="inlineStr" r="B312">
        <is>
          <t xml:space="preserve">FIRE SALE Print &amp; Copy University Location Motivated Retiring Owner</t>
        </is>
      </c>
      <c r="C312" s="63">
        <v>135000</v>
      </c>
      <c r="D312" s="63">
        <v>6801300</v>
      </c>
      <c t="inlineStr" r="E312">
        <is>
          <t xml:space="preserve">Los Angeles County</t>
        </is>
      </c>
      <c r="F312" s="65">
        <v>0</v>
      </c>
      <c r="G312" s="63">
        <v>96072</v>
      </c>
      <c t="inlineStr" r="H312">
        <is>
          <t xml:space="preserve">Other Services (except public administration)</t>
        </is>
      </c>
      <c t="inlineStr" r="I312">
        <is>
          <t xml:space="preserve">Other Personal Services</t>
        </is>
      </c>
      <c t="inlineStr" r="L312">
        <is>
          <t xml:space="preserve">-----</t>
        </is>
      </c>
    </row>
    <row r="313">
      <c t="str" r="A313" s="4">
        <f>HYPERLINK("https://linkbusiness.com/businesses-for-sale/LA04775/Fully-integrated-learning-platform%2c-perfect-for-today%e2%80%99s-world!","LA04775")</f>
      </c>
      <c t="inlineStr" r="B313">
        <is>
          <t xml:space="preserve">Fully integrated learning platform, perfect for today’s world!</t>
        </is>
      </c>
      <c r="C313" s="65">
        <v>0</v>
      </c>
      <c r="D313" s="65">
        <v>0</v>
      </c>
      <c t="inlineStr" r="E313">
        <is>
          <t xml:space="preserve">California</t>
        </is>
      </c>
      <c r="F313" s="65">
        <v>0</v>
      </c>
      <c r="G313" s="65">
        <v>0</v>
      </c>
      <c t="inlineStr" r="H313">
        <is>
          <t xml:space="preserve">Educational Services</t>
        </is>
      </c>
      <c t="inlineStr" r="I313">
        <is>
          <t xml:space="preserve">&lt;none&gt;</t>
        </is>
      </c>
      <c t="inlineStr" r="J313">
        <is>
          <t xml:space="preserve">Donna Alexander</t>
        </is>
      </c>
      <c t="inlineStr" r="K313">
        <is>
          <t xml:space="preserve">Stuart Greenberg</t>
        </is>
      </c>
      <c t="inlineStr" r="L313">
        <is>
          <t xml:space="preserve">Refer to Broker</t>
        </is>
      </c>
    </row>
    <row r="314">
      <c t="str" r="A314" s="4">
        <f>HYPERLINK("https://linkbusiness.com/businesses-for-sale/LA04776/Profitable-Chinese-Fast-Restaurant-at-Great-Location-Priced-to-Sell","LA04776")</f>
      </c>
      <c t="inlineStr" r="B314">
        <is>
          <t xml:space="preserve">Profitable Chinese Fast Restaurant at Great Location Priced to Sell</t>
        </is>
      </c>
      <c r="C314" s="63">
        <v>220000</v>
      </c>
      <c r="D314" s="63">
        <v>11083600</v>
      </c>
      <c t="inlineStr" r="E314">
        <is>
          <t xml:space="preserve">South Bay Cities &amp; Long Beach</t>
        </is>
      </c>
      <c r="F314" s="65">
        <v>0</v>
      </c>
      <c r="G314" s="63">
        <v>85000</v>
      </c>
      <c t="inlineStr" r="H314">
        <is>
          <t xml:space="preserve">Restaurant</t>
        </is>
      </c>
      <c t="inlineStr" r="I314">
        <is>
          <t xml:space="preserve">Food Services and Drinking Places</t>
        </is>
      </c>
      <c t="inlineStr" r="J314">
        <is>
          <t xml:space="preserve">Wen Chen Karkhanis</t>
        </is>
      </c>
      <c t="inlineStr" r="K314">
        <is>
          <t xml:space="preserve">Shawn Davis</t>
        </is>
      </c>
      <c t="inlineStr" r="L314">
        <is>
          <t xml:space="preserve">-----</t>
        </is>
      </c>
    </row>
    <row r="315">
      <c t="str" r="A315" s="4">
        <f>HYPERLINK("https://linkbusiness.com/businesses-for-sale/LA04777/Very-Desirable-Italian-Restaurant-Located-in-Upscale-Neighborhood-Well-Equipped-Kitchen-Facility","LA04777")</f>
      </c>
      <c t="inlineStr" r="B315">
        <is>
          <t xml:space="preserve">Very Desirable Italian Restaurant Located in Upscale Neighborhood Well Equipped Kitchen Facility</t>
        </is>
      </c>
      <c r="C315" s="63">
        <v>199000</v>
      </c>
      <c r="D315" s="63">
        <v>10025620</v>
      </c>
      <c t="inlineStr" r="E315">
        <is>
          <t xml:space="preserve">Los Angeles County</t>
        </is>
      </c>
      <c r="F315" s="65">
        <v>0</v>
      </c>
      <c r="G315" s="65">
        <v>0</v>
      </c>
      <c t="inlineStr" r="H315">
        <is>
          <t xml:space="preserve">Restaurant</t>
        </is>
      </c>
      <c t="inlineStr" r="I315">
        <is>
          <t xml:space="preserve">Food Services and Drinking Places</t>
        </is>
      </c>
      <c t="inlineStr" r="J315">
        <is>
          <t xml:space="preserve">Joe Khoury</t>
        </is>
      </c>
      <c t="inlineStr" r="L315">
        <is>
          <t xml:space="preserve">-----</t>
        </is>
      </c>
    </row>
    <row r="316">
      <c t="str" r="A316" s="4">
        <f>HYPERLINK("https://linkbusiness.com/businesses-for-sale/LA04778/Restaurant-%26-Speakeasy-Lounge-W%252fFull-liquor-license-RE-Available","LA04778")</f>
      </c>
      <c t="inlineStr" r="B316">
        <is>
          <t xml:space="preserve">Restaurant &amp; Speakeasy Lounge W/Full liquor license RE Available</t>
        </is>
      </c>
      <c r="C316" s="63">
        <v>299000</v>
      </c>
      <c r="D316" s="63">
        <v>15063620</v>
      </c>
      <c t="inlineStr" r="E316">
        <is>
          <t xml:space="preserve">Los Angeles County</t>
        </is>
      </c>
      <c r="F316" s="65">
        <v>0</v>
      </c>
      <c r="G316" s="65">
        <v>0</v>
      </c>
      <c t="inlineStr" r="H316">
        <is>
          <t xml:space="preserve">Restaurant</t>
        </is>
      </c>
      <c t="inlineStr" r="I316">
        <is>
          <t xml:space="preserve">Food Services and Drinking Places</t>
        </is>
      </c>
      <c t="inlineStr" r="J316">
        <is>
          <t xml:space="preserve">Joe Khoury</t>
        </is>
      </c>
      <c t="inlineStr" r="L316">
        <is>
          <t xml:space="preserve">-----</t>
        </is>
      </c>
    </row>
    <row r="317">
      <c t="str" r="A317" s="4">
        <f>HYPERLINK("https://linkbusiness.com/businesses-for-sale/LA04779/Southern-California-Civil-Engineering-Company","LA04779")</f>
      </c>
      <c t="inlineStr" r="B317">
        <is>
          <t xml:space="preserve">Southern California Civil Engineering Company</t>
        </is>
      </c>
      <c r="C317" s="63">
        <v>10500000</v>
      </c>
      <c r="D317" s="63">
        <v>528990000</v>
      </c>
      <c t="inlineStr" r="E317">
        <is>
          <t xml:space="preserve">California</t>
        </is>
      </c>
      <c r="F317" s="65">
        <v>0</v>
      </c>
      <c r="G317" s="65">
        <v>0</v>
      </c>
      <c t="inlineStr" r="H317">
        <is>
          <t xml:space="preserve">Construction</t>
        </is>
      </c>
      <c t="inlineStr" r="I317">
        <is>
          <t xml:space="preserve">Heavy and Civil Engineering Construction</t>
        </is>
      </c>
      <c t="inlineStr" r="J317">
        <is>
          <t xml:space="preserve">Donna Alexander</t>
        </is>
      </c>
      <c t="inlineStr" r="K317">
        <is>
          <t xml:space="preserve">Stuart Greenberg</t>
        </is>
      </c>
      <c t="inlineStr" r="L317">
        <is>
          <t xml:space="preserve">-----</t>
        </is>
      </c>
    </row>
    <row r="318">
      <c t="str" r="A318" s="4">
        <f>HYPERLINK("https://linkbusiness.com/businesses-for-sale/LA04780/Leading-Dental-Equipment-Manufacturer-in-Southern-California","LA04780")</f>
      </c>
      <c t="inlineStr" r="B318">
        <is>
          <t xml:space="preserve">Leading Dental Equipment Manufacturer in Southern California</t>
        </is>
      </c>
      <c r="C318" s="63">
        <v>1100000</v>
      </c>
      <c r="D318" s="63">
        <v>55418000</v>
      </c>
      <c t="inlineStr" r="E318">
        <is>
          <t xml:space="preserve">Orange County</t>
        </is>
      </c>
      <c r="F318" s="65">
        <v>0</v>
      </c>
      <c r="G318" s="63">
        <v>245000</v>
      </c>
      <c t="inlineStr" r="H318">
        <is>
          <t xml:space="preserve">Manufacturing</t>
        </is>
      </c>
      <c t="inlineStr" r="I318">
        <is>
          <t xml:space="preserve">Electrical Equipment, Appliance, and Component Manufacturing</t>
        </is>
      </c>
      <c t="inlineStr" r="J318">
        <is>
          <t xml:space="preserve">Ved Sajnani</t>
        </is>
      </c>
      <c t="inlineStr" r="L318">
        <is>
          <t xml:space="preserve">Includes $500,000 in finished products Inventory</t>
        </is>
      </c>
    </row>
    <row r="319">
      <c t="str" r="A319" s="4">
        <f>HYPERLINK("https://linkbusiness.com/businesses-for-sale/LA04783/Fully-Built-Out-Photo-Production-Studio-Ready-for-Immediate-Experienced-Owner","LA04783")</f>
      </c>
      <c t="inlineStr" r="B319">
        <is>
          <t xml:space="preserve">Fully Built Out Photo Production Studio Ready for Immediate Experienced Owner</t>
        </is>
      </c>
      <c r="C319" s="63">
        <v>78500</v>
      </c>
      <c r="D319" s="63">
        <v>3954830</v>
      </c>
      <c t="inlineStr" r="E319">
        <is>
          <t xml:space="preserve">Orange County</t>
        </is>
      </c>
      <c r="F319" s="65">
        <v>0</v>
      </c>
      <c r="G319" s="65">
        <v>0</v>
      </c>
      <c t="inlineStr" r="H319">
        <is>
          <t xml:space="preserve">Other Services (except public administration)</t>
        </is>
      </c>
      <c t="inlineStr" r="I319">
        <is>
          <t xml:space="preserve">Other Personal Services</t>
        </is>
      </c>
      <c t="inlineStr" r="J319">
        <is>
          <t xml:space="preserve">Paul Mendoza</t>
        </is>
      </c>
      <c t="inlineStr" r="L319">
        <is>
          <t xml:space="preserve">-----</t>
        </is>
      </c>
    </row>
    <row r="320">
      <c t="str" r="A320" s="4">
        <f>HYPERLINK("https://linkbusiness.com/businesses-for-sale/LA04784/Breakfast-and-Lunch-Restaurant-Employee-Run","LA04784")</f>
      </c>
      <c t="inlineStr" r="B320">
        <is>
          <t xml:space="preserve">Breakfast and Lunch Restaurant Employee Run</t>
        </is>
      </c>
      <c r="C320" s="63">
        <v>250000</v>
      </c>
      <c r="D320" s="63">
        <v>12595000</v>
      </c>
      <c t="inlineStr" r="E320">
        <is>
          <t xml:space="preserve">Orange County</t>
        </is>
      </c>
      <c r="F320" s="65">
        <v>0</v>
      </c>
      <c r="G320" s="63">
        <v>70000</v>
      </c>
      <c t="inlineStr" r="H320">
        <is>
          <t xml:space="preserve">Restaurant</t>
        </is>
      </c>
      <c t="inlineStr" r="I320">
        <is>
          <t xml:space="preserve">Food Services and Drinking Places</t>
        </is>
      </c>
      <c t="inlineStr" r="J320">
        <is>
          <t xml:space="preserve">Jim Moazez</t>
        </is>
      </c>
      <c t="inlineStr" r="L320">
        <is>
          <t xml:space="preserve">-----</t>
        </is>
      </c>
    </row>
    <row r="321">
      <c t="str" r="A321" s="4">
        <f>HYPERLINK("https://linkbusiness.com/businesses-for-sale/LA04785/Manufacturer-%26-Distributor-of-Gourmet-Chocolate-Products-w-Growing-Revenues","LA04785")</f>
      </c>
      <c t="inlineStr" r="B321">
        <is>
          <t xml:space="preserve">Manufacturer &amp; Distributor of Gourmet Chocolate Products w Growing Revenues</t>
        </is>
      </c>
      <c r="C321" s="63">
        <v>149000</v>
      </c>
      <c r="D321" s="63">
        <v>7506620</v>
      </c>
      <c t="inlineStr" r="E321">
        <is>
          <t xml:space="preserve">Los Angeles County</t>
        </is>
      </c>
      <c r="F321" s="65">
        <v>0</v>
      </c>
      <c r="G321" s="65">
        <v>0</v>
      </c>
      <c t="inlineStr" r="H321">
        <is>
          <t xml:space="preserve">Wholesale Trade</t>
        </is>
      </c>
      <c t="inlineStr" r="I321">
        <is>
          <t xml:space="preserve">Merchant Wholesalers, Nondurable Goods</t>
        </is>
      </c>
      <c t="inlineStr" r="J321">
        <is>
          <t xml:space="preserve">Kellie Fish</t>
        </is>
      </c>
      <c t="inlineStr" r="K321">
        <is>
          <t xml:space="preserve">Joe Khoury</t>
        </is>
      </c>
      <c t="inlineStr" r="L321">
        <is>
          <t xml:space="preserve">-----</t>
        </is>
      </c>
    </row>
    <row r="322">
      <c t="str" r="A322" s="4">
        <f>HYPERLINK("https://linkbusiness.com/businesses-for-sale/LA04786/Money-Making-Auto-Repair-Company-with-Real-Estate","LA04786")</f>
      </c>
      <c t="inlineStr" r="B322">
        <is>
          <t xml:space="preserve">Money Making Auto Repair Company with Real Estate</t>
        </is>
      </c>
      <c r="C322" s="63">
        <v>400000</v>
      </c>
      <c r="D322" s="63">
        <v>20152000</v>
      </c>
      <c t="inlineStr" r="E322">
        <is>
          <t xml:space="preserve">Los Angeles County</t>
        </is>
      </c>
      <c r="F322" s="65">
        <v>0</v>
      </c>
      <c r="G322" s="63">
        <v>261000</v>
      </c>
      <c t="inlineStr" r="H322">
        <is>
          <t xml:space="preserve">Other Services (except public administration)</t>
        </is>
      </c>
      <c t="inlineStr" r="I322">
        <is>
          <t xml:space="preserve">Repair and Maintenance</t>
        </is>
      </c>
      <c t="inlineStr" r="J322">
        <is>
          <t xml:space="preserve">Daniel Alway</t>
        </is>
      </c>
      <c t="inlineStr" r="K322">
        <is>
          <t xml:space="preserve">Shawn Davis</t>
        </is>
      </c>
      <c t="inlineStr" r="L322">
        <is>
          <t xml:space="preserve">-----</t>
        </is>
      </c>
    </row>
    <row r="323">
      <c t="str" r="A323" s="4">
        <f>HYPERLINK("https://linkbusiness.com/businesses-for-sale/LA04787/Retail-and-Wholesale-Beauty-Supply-Company","LA04787")</f>
      </c>
      <c t="inlineStr" r="B323">
        <is>
          <t xml:space="preserve">Retail and Wholesale Beauty Supply Company</t>
        </is>
      </c>
      <c r="C323" s="63">
        <v>1500000</v>
      </c>
      <c r="D323" s="63">
        <v>75570000</v>
      </c>
      <c t="inlineStr" r="E323">
        <is>
          <t xml:space="preserve">Los Angeles County</t>
        </is>
      </c>
      <c r="F323" s="65">
        <v>0</v>
      </c>
      <c r="G323" s="63">
        <v>200000</v>
      </c>
      <c t="inlineStr" r="H323">
        <is>
          <t xml:space="preserve">Retail Trade</t>
        </is>
      </c>
      <c t="inlineStr" r="I323">
        <is>
          <t xml:space="preserve">Health and Personal Care Stores</t>
        </is>
      </c>
      <c t="inlineStr" r="J323">
        <is>
          <t xml:space="preserve">Stuart Greenberg</t>
        </is>
      </c>
      <c t="inlineStr" r="L323">
        <is>
          <t xml:space="preserve">-----</t>
        </is>
      </c>
    </row>
    <row r="324">
      <c t="str" r="A324" s="4">
        <f>HYPERLINK("https://linkbusiness.com/businesses-for-sale/LA04788/Maker-of-Environmental-Testing-Equipment-Helping-to-Keep-our-Air-Clean","LA04788")</f>
      </c>
      <c t="inlineStr" r="B324">
        <is>
          <t xml:space="preserve">Maker of Environmental Testing Equipment Helping to Keep our Air Clean</t>
        </is>
      </c>
      <c r="C324" s="63">
        <v>1300000</v>
      </c>
      <c r="D324" s="63">
        <v>65494000</v>
      </c>
      <c t="inlineStr" r="E324">
        <is>
          <t xml:space="preserve">California</t>
        </is>
      </c>
      <c r="F324" s="65">
        <v>0</v>
      </c>
      <c r="G324" s="63">
        <v>485000</v>
      </c>
      <c t="inlineStr" r="H324">
        <is>
          <t xml:space="preserve">Manufacturing</t>
        </is>
      </c>
      <c t="inlineStr" r="I324">
        <is>
          <t xml:space="preserve">Electrical Equipment, Appliance, and Component Manufacturing</t>
        </is>
      </c>
      <c t="inlineStr" r="J324">
        <is>
          <t xml:space="preserve">Stuart Greenberg</t>
        </is>
      </c>
      <c t="inlineStr" r="L324">
        <is>
          <t xml:space="preserve">-----</t>
        </is>
      </c>
    </row>
    <row r="325">
      <c t="str" r="A325" s="4">
        <f>HYPERLINK("https://linkbusiness.com/businesses-for-sale/LA04789/Profitable-Heavy-Equipment-Rental-%252f-General%2c-Grading-and-Excavation-Contractor","LA04789")</f>
      </c>
      <c t="inlineStr" r="B325">
        <is>
          <t xml:space="preserve">Profitable Heavy Equipment Rental / General, Grading and Excavation Contractor</t>
        </is>
      </c>
      <c r="C325" s="63">
        <v>4500000</v>
      </c>
      <c r="D325" s="63">
        <v>226710000</v>
      </c>
      <c t="inlineStr" r="E325">
        <is>
          <t xml:space="preserve">Southern California</t>
        </is>
      </c>
      <c r="F325" s="65">
        <v>0</v>
      </c>
      <c r="G325" s="63">
        <v>617655</v>
      </c>
      <c t="inlineStr" r="H325">
        <is>
          <t xml:space="preserve">Construction</t>
        </is>
      </c>
      <c t="inlineStr" r="I325">
        <is>
          <t xml:space="preserve">Specialty Trade Contractors</t>
        </is>
      </c>
      <c t="inlineStr" r="J325">
        <is>
          <t xml:space="preserve">Joe Reed</t>
        </is>
      </c>
      <c t="inlineStr" r="K325">
        <is>
          <t xml:space="preserve">Shawn Davis</t>
        </is>
      </c>
      <c t="inlineStr" r="L325">
        <is>
          <t xml:space="preserve">-----</t>
        </is>
      </c>
    </row>
    <row r="326">
      <c t="str" r="A326" s="4">
        <f>HYPERLINK("https://linkbusiness.com/businesses-for-sale/LA04790/Profitable-Novelty-Route-in-the-Los-Angeles-Area-w-30-Locations","LA04790")</f>
      </c>
      <c t="inlineStr" r="B326">
        <is>
          <t xml:space="preserve">Profitable Novelty Route in the Los Angeles Area w 30 Locations</t>
        </is>
      </c>
      <c r="C326" s="63">
        <v>9800</v>
      </c>
      <c r="D326" s="63">
        <v>493724</v>
      </c>
      <c t="inlineStr" r="E326">
        <is>
          <t xml:space="preserve">Los Angeles County</t>
        </is>
      </c>
      <c r="F326" s="65">
        <v>0</v>
      </c>
      <c r="G326" s="63">
        <v>9800</v>
      </c>
      <c t="inlineStr" r="H326">
        <is>
          <t xml:space="preserve">Other Services (except public administration)</t>
        </is>
      </c>
      <c t="inlineStr" r="I326">
        <is>
          <t xml:space="preserve">&lt;none&gt;</t>
        </is>
      </c>
      <c t="inlineStr" r="J326">
        <is>
          <t xml:space="preserve">Conrad Partida</t>
        </is>
      </c>
      <c t="inlineStr" r="K326">
        <is>
          <t xml:space="preserve">Joe Khoury</t>
        </is>
      </c>
      <c t="inlineStr" r="L326">
        <is>
          <t xml:space="preserve">-----</t>
        </is>
      </c>
    </row>
    <row r="327">
      <c t="str" r="A327" s="4">
        <f>HYPERLINK("https://linkbusiness.com/businesses-for-sale/LA04791/Maker-of-Precision-Aerospace-Parts","LA04791")</f>
      </c>
      <c t="inlineStr" r="B327">
        <is>
          <t xml:space="preserve">Maker of Precision Aerospace Parts</t>
        </is>
      </c>
      <c r="C327" s="63">
        <v>950000</v>
      </c>
      <c r="D327" s="63">
        <v>47861000</v>
      </c>
      <c t="inlineStr" r="E327">
        <is>
          <t xml:space="preserve">California</t>
        </is>
      </c>
      <c r="F327" s="65">
        <v>0</v>
      </c>
      <c r="G327" s="63">
        <v>280000</v>
      </c>
      <c t="inlineStr" r="H327">
        <is>
          <t xml:space="preserve">Manufacturing</t>
        </is>
      </c>
      <c t="inlineStr" r="I327">
        <is>
          <t xml:space="preserve">Primary Metal Manufacturing</t>
        </is>
      </c>
      <c t="inlineStr" r="J327">
        <is>
          <t xml:space="preserve">Stuart Greenberg</t>
        </is>
      </c>
      <c t="inlineStr" r="L327">
        <is>
          <t xml:space="preserve">-----</t>
        </is>
      </c>
    </row>
    <row r="328">
      <c t="str" r="A328" s="4">
        <f>HYPERLINK("https://linkbusiness.com/businesses-for-sale/LA04792/Employee-Run-Fast-Food-Mediterranean-Restaurant%2c-2-Locations%2c-Seller-Carry","LA04792")</f>
      </c>
      <c t="inlineStr" r="B328">
        <is>
          <t xml:space="preserve">Employee Run Fast Food Mediterranean Restaurant, 2 Locations, Seller Carry</t>
        </is>
      </c>
      <c r="C328" s="63">
        <v>1250000</v>
      </c>
      <c r="D328" s="63">
        <v>62975000</v>
      </c>
      <c t="inlineStr" r="E328">
        <is>
          <t xml:space="preserve">Los Angeles County</t>
        </is>
      </c>
      <c r="F328" s="65">
        <v>0</v>
      </c>
      <c r="G328" s="63">
        <v>590000</v>
      </c>
      <c t="inlineStr" r="H328">
        <is>
          <t xml:space="preserve">Restaurant</t>
        </is>
      </c>
      <c t="inlineStr" r="I328">
        <is>
          <t xml:space="preserve">Food Services and Drinking Places</t>
        </is>
      </c>
      <c t="inlineStr" r="J328">
        <is>
          <t xml:space="preserve">Jim Moazez</t>
        </is>
      </c>
      <c t="inlineStr" r="L328">
        <is>
          <t xml:space="preserve">-----</t>
        </is>
      </c>
    </row>
    <row r="329">
      <c t="str" r="A329" s="4">
        <f>HYPERLINK("https://linkbusiness.com/businesses-for-sale/LA04793/High-Volume-Body-Shop-in-South-LA","LA04793")</f>
      </c>
      <c t="inlineStr" r="B329">
        <is>
          <t xml:space="preserve">High Volume Body Shop in South LA</t>
        </is>
      </c>
      <c r="C329" s="63">
        <v>590000</v>
      </c>
      <c r="D329" s="63">
        <v>29724200</v>
      </c>
      <c t="inlineStr" r="E329">
        <is>
          <t xml:space="preserve">Los Angeles County</t>
        </is>
      </c>
      <c r="F329" s="65">
        <v>0</v>
      </c>
      <c r="G329" s="63">
        <v>360000</v>
      </c>
      <c t="inlineStr" r="H329">
        <is>
          <t xml:space="preserve">Other Services (except public administration)</t>
        </is>
      </c>
      <c t="inlineStr" r="I329">
        <is>
          <t xml:space="preserve">&lt;none&gt;</t>
        </is>
      </c>
      <c t="inlineStr" r="J329">
        <is>
          <t xml:space="preserve">Jim Moazez</t>
        </is>
      </c>
      <c t="inlineStr" r="L329">
        <is>
          <t xml:space="preserve">-----</t>
        </is>
      </c>
    </row>
    <row r="330">
      <c t="str" r="A330" s="4">
        <f>HYPERLINK("https://linkbusiness.com/businesses-for-sale/LA04794/Freight-Forwarder-40-Person-Ocean-%252f-Air-%252f-3PL-%2412M-Sales","LA04794")</f>
      </c>
      <c t="inlineStr" r="B330">
        <is>
          <t xml:space="preserve">Freight Forwarder 40 Person Ocean / Air / 3PL $12M Sales</t>
        </is>
      </c>
      <c r="C330" s="65">
        <v>0</v>
      </c>
      <c r="D330" s="65">
        <v>0</v>
      </c>
      <c t="inlineStr" r="E330">
        <is>
          <t xml:space="preserve">Los Angeles County</t>
        </is>
      </c>
      <c r="F330" s="65">
        <v>0</v>
      </c>
      <c r="G330" s="63">
        <v>500000</v>
      </c>
      <c t="inlineStr" r="H330">
        <is>
          <t xml:space="preserve">Transportation &amp; Warehousing</t>
        </is>
      </c>
      <c t="inlineStr" r="I330">
        <is>
          <t xml:space="preserve">&lt;none&gt;</t>
        </is>
      </c>
      <c t="inlineStr" r="J330">
        <is>
          <t xml:space="preserve">Ethan Skugrud</t>
        </is>
      </c>
      <c t="inlineStr" r="K330">
        <is>
          <t xml:space="preserve">Wes Lewison</t>
        </is>
      </c>
      <c t="inlineStr" r="L330">
        <is>
          <t xml:space="preserve">Refer to Broker</t>
        </is>
      </c>
    </row>
    <row r="331">
      <c t="str" r="A331" s="4">
        <f>HYPERLINK("https://linkbusiness.com/businesses-for-sale/LA04795/Franchise-Juice-%26-Smoothie-Bar-For-Sale-In-San-Bernardino-County!","LA04795")</f>
      </c>
      <c t="inlineStr" r="B331">
        <is>
          <t xml:space="preserve">Franchise Juice &amp; Smoothie Bar For Sale In San Bernardino County!</t>
        </is>
      </c>
      <c r="C331" s="63">
        <v>65000</v>
      </c>
      <c r="D331" s="63">
        <v>3274700</v>
      </c>
      <c t="inlineStr" r="E331">
        <is>
          <t xml:space="preserve">San Bernardino County</t>
        </is>
      </c>
      <c r="F331" s="65">
        <v>0</v>
      </c>
      <c r="G331" s="63">
        <v>19000</v>
      </c>
      <c t="inlineStr" r="H331">
        <is>
          <t xml:space="preserve">Franchises</t>
        </is>
      </c>
      <c t="inlineStr" r="I331">
        <is>
          <t xml:space="preserve">&lt;none&gt;</t>
        </is>
      </c>
      <c t="inlineStr" r="J331">
        <is>
          <t xml:space="preserve">Susie Kang</t>
        </is>
      </c>
      <c t="inlineStr" r="L331">
        <is>
          <t xml:space="preserve">-----</t>
        </is>
      </c>
    </row>
    <row r="332">
      <c t="str" r="A332" s="4">
        <f>HYPERLINK("https://linkbusiness.com/businesses-for-sale/LA04796/Newly-Built-Restaurant-in-Burbank-Near-All-Major-Studios-Fully-Equipped-B%26W-Inc","LA04796")</f>
      </c>
      <c t="inlineStr" r="B332">
        <is>
          <t xml:space="preserve">Newly Built Restaurant in Burbank Near All Major Studios Fully Equipped B&amp;W Inc.</t>
        </is>
      </c>
      <c r="C332" s="63">
        <v>329000</v>
      </c>
      <c r="D332" s="63">
        <v>16575020</v>
      </c>
      <c t="inlineStr" r="E332">
        <is>
          <t xml:space="preserve">Los Angeles County</t>
        </is>
      </c>
      <c r="F332" s="65">
        <v>0</v>
      </c>
      <c r="G332" s="65">
        <v>0</v>
      </c>
      <c t="inlineStr" r="H332">
        <is>
          <t xml:space="preserve">Restaurant</t>
        </is>
      </c>
      <c t="inlineStr" r="I332">
        <is>
          <t xml:space="preserve">Food Services and Drinking Places</t>
        </is>
      </c>
      <c t="inlineStr" r="J332">
        <is>
          <t xml:space="preserve">Paul Mendoza</t>
        </is>
      </c>
      <c t="inlineStr" r="K332">
        <is>
          <t xml:space="preserve">Joe Khoury</t>
        </is>
      </c>
      <c t="inlineStr" r="L332">
        <is>
          <t xml:space="preserve">-----</t>
        </is>
      </c>
    </row>
    <row r="333">
      <c t="str" r="A333" s="4">
        <f>HYPERLINK("https://linkbusiness.com/businesses-for-sale/LA04797/Be-Part-of-the-World%e2%80%99s-Largest-Hot-Dog-Chain-with-Over-50-Years-of-Success-in-Southern-California","LA04797")</f>
      </c>
      <c t="inlineStr" r="B333">
        <is>
          <t xml:space="preserve">Be Part of the World’s Largest Hot Dog Chain with Over 50 Years of Success in Southern California</t>
        </is>
      </c>
      <c r="C333" s="63">
        <v>449000</v>
      </c>
      <c r="D333" s="63">
        <v>22620620</v>
      </c>
      <c t="inlineStr" r="E333">
        <is>
          <t xml:space="preserve">Los Angeles County</t>
        </is>
      </c>
      <c r="F333" s="65">
        <v>0</v>
      </c>
      <c r="G333" s="63">
        <v>219255</v>
      </c>
      <c t="inlineStr" r="H333">
        <is>
          <t xml:space="preserve">Restaurant</t>
        </is>
      </c>
      <c t="inlineStr" r="I333">
        <is>
          <t xml:space="preserve">&lt;none&gt;</t>
        </is>
      </c>
      <c t="inlineStr" r="J333">
        <is>
          <t xml:space="preserve">Conrad Partida</t>
        </is>
      </c>
      <c t="inlineStr" r="K333">
        <is>
          <t xml:space="preserve">Joe Khoury</t>
        </is>
      </c>
      <c t="inlineStr" r="L333">
        <is>
          <t xml:space="preserve">-----</t>
        </is>
      </c>
    </row>
    <row r="334">
      <c t="str" r="A334" s="4">
        <f>HYPERLINK("https://linkbusiness.com/businesses-for-sale/LA04798/Profitable-Turnkey-Specialty-Cakes%2c-Treats-%26-Desserts-Shop%2c-Great-SoCal-location!","LA04798")</f>
      </c>
      <c t="inlineStr" r="B334">
        <is>
          <t xml:space="preserve">Profitable Turnkey Specialty Cakes, Treats &amp; Desserts Shop, Great SoCal location!</t>
        </is>
      </c>
      <c r="C334" s="63">
        <v>125000</v>
      </c>
      <c r="D334" s="63">
        <v>6297500</v>
      </c>
      <c t="inlineStr" r="E334">
        <is>
          <t xml:space="preserve">Los Angeles County</t>
        </is>
      </c>
      <c r="F334" s="65">
        <v>0</v>
      </c>
      <c r="G334" s="65">
        <v>0</v>
      </c>
      <c t="inlineStr" r="H334">
        <is>
          <t xml:space="preserve">Retail Trade</t>
        </is>
      </c>
      <c t="inlineStr" r="I334">
        <is>
          <t xml:space="preserve">&lt;none&gt;</t>
        </is>
      </c>
      <c t="inlineStr" r="J334">
        <is>
          <t xml:space="preserve">Philip Wolfstein, CBB</t>
        </is>
      </c>
      <c t="inlineStr" r="L334">
        <is>
          <t xml:space="preserve">-----</t>
        </is>
      </c>
    </row>
    <row r="335">
      <c t="str" r="A335" s="4">
        <f>HYPERLINK("https://linkbusiness.com/businesses-for-sale/LA04799/Fully-Remodeled-Hair-Salon-on-Busy-Boulevard-in-LA-County","LA04799")</f>
      </c>
      <c t="inlineStr" r="B335">
        <is>
          <t xml:space="preserve">Fully Remodeled Hair Salon on Busy Boulevard in LA County</t>
        </is>
      </c>
      <c r="C335" s="63">
        <v>57000</v>
      </c>
      <c r="D335" s="63">
        <v>2871660</v>
      </c>
      <c t="inlineStr" r="E335">
        <is>
          <t xml:space="preserve">East Los Angeles County</t>
        </is>
      </c>
      <c r="F335" s="65">
        <v>0</v>
      </c>
      <c r="G335" s="65">
        <v>0</v>
      </c>
      <c t="inlineStr" r="H335">
        <is>
          <t xml:space="preserve">Retail Trade</t>
        </is>
      </c>
      <c t="inlineStr" r="I335">
        <is>
          <t xml:space="preserve">Health and Personal Care Stores</t>
        </is>
      </c>
      <c t="inlineStr" r="J335">
        <is>
          <t xml:space="preserve">Paul Suh</t>
        </is>
      </c>
      <c t="inlineStr" r="K335">
        <is>
          <t xml:space="preserve">Donna Alexander</t>
        </is>
      </c>
      <c t="inlineStr" r="L335">
        <is>
          <t xml:space="preserve">-----</t>
        </is>
      </c>
    </row>
    <row r="336">
      <c t="str" r="A336" s="4">
        <f>HYPERLINK("https://linkbusiness.com/businesses-for-sale/LA04800/South-Orange-County-Pizza-Great-Location","LA04800")</f>
      </c>
      <c t="inlineStr" r="B336">
        <is>
          <t xml:space="preserve">South Orange County Pizza Great Location</t>
        </is>
      </c>
      <c r="C336" s="63">
        <v>399000</v>
      </c>
      <c r="D336" s="63">
        <v>20101620</v>
      </c>
      <c t="inlineStr" r="E336">
        <is>
          <t xml:space="preserve">South Orange County</t>
        </is>
      </c>
      <c r="F336" s="65">
        <v>0</v>
      </c>
      <c r="G336" s="63">
        <v>184304</v>
      </c>
      <c t="inlineStr" r="H336">
        <is>
          <t xml:space="preserve">Restaurant</t>
        </is>
      </c>
      <c t="inlineStr" r="I336">
        <is>
          <t xml:space="preserve">Food Services and Drinking Places</t>
        </is>
      </c>
      <c t="inlineStr" r="J336">
        <is>
          <t xml:space="preserve">Joe Khoury</t>
        </is>
      </c>
      <c t="inlineStr" r="L336">
        <is>
          <t xml:space="preserve">-----</t>
        </is>
      </c>
    </row>
    <row r="337">
      <c t="str" r="A337" s="4">
        <f>HYPERLINK("https://linkbusiness.com/businesses-for-sale/LA04801/DTLA-PRIME-LOCATION-with-LOW-RENT-and-FULL-LIQUOR-LICENSE-OVER-6%2c000-SQ-F","LA04801")</f>
      </c>
      <c t="inlineStr" r="B337">
        <is>
          <t xml:space="preserve">DTLA PRIME LOCATION with LOW RENT and FULL LIQUOR LICENSE OVER 6,000 SQ F</t>
        </is>
      </c>
      <c r="C337" s="63">
        <v>1200000</v>
      </c>
      <c r="D337" s="63">
        <v>60456000</v>
      </c>
      <c t="inlineStr" r="E337">
        <is>
          <t xml:space="preserve">Los Angeles County</t>
        </is>
      </c>
      <c r="F337" s="65">
        <v>0</v>
      </c>
      <c r="G337" s="65">
        <v>0</v>
      </c>
      <c t="inlineStr" r="H337">
        <is>
          <t xml:space="preserve">Restaurant</t>
        </is>
      </c>
      <c t="inlineStr" r="I337">
        <is>
          <t xml:space="preserve">Food Services and Drinking Places</t>
        </is>
      </c>
      <c t="inlineStr" r="J337">
        <is>
          <t xml:space="preserve">Joe Khoury</t>
        </is>
      </c>
      <c t="inlineStr" r="L337">
        <is>
          <t xml:space="preserve">-----</t>
        </is>
      </c>
    </row>
    <row r="338">
      <c t="str" r="A338" s="4">
        <f>HYPERLINK("https://linkbusiness.com/businesses-for-sale/LA04802/Profitable-Southern-California-Real-Estate-Sign-Post-Installation-Company","LA04802")</f>
      </c>
      <c t="inlineStr" r="B338">
        <is>
          <t xml:space="preserve">Profitable Southern California Real Estate Sign Post Installation Company</t>
        </is>
      </c>
      <c r="C338" s="63">
        <v>775000</v>
      </c>
      <c r="D338" s="63">
        <v>39044500</v>
      </c>
      <c t="inlineStr" r="E338">
        <is>
          <t xml:space="preserve">Los Angeles County</t>
        </is>
      </c>
      <c r="F338" s="65">
        <v>0</v>
      </c>
      <c r="G338" s="63">
        <v>238921</v>
      </c>
      <c t="inlineStr" r="H338">
        <is>
          <t xml:space="preserve">Other Services (except public administration)</t>
        </is>
      </c>
      <c t="inlineStr" r="I338">
        <is>
          <t xml:space="preserve">&lt;none&gt;</t>
        </is>
      </c>
      <c t="inlineStr" r="L338">
        <is>
          <t xml:space="preserve">-----</t>
        </is>
      </c>
    </row>
    <row r="339">
      <c t="str" r="A339" s="4">
        <f>HYPERLINK("https://linkbusiness.com/businesses-for-sale/LA04803/High-Volume-Franchise-Sandwich-Shop-in-South-Bay","LA04803")</f>
      </c>
      <c t="inlineStr" r="B339">
        <is>
          <t xml:space="preserve">High Volume Franchise Sandwich Shop in South Bay</t>
        </is>
      </c>
      <c r="C339" s="63">
        <v>169000</v>
      </c>
      <c r="D339" s="63">
        <v>8514220</v>
      </c>
      <c t="inlineStr" r="E339">
        <is>
          <t xml:space="preserve">Los Angeles County</t>
        </is>
      </c>
      <c r="F339" s="65">
        <v>0</v>
      </c>
      <c r="G339" s="63">
        <v>79000</v>
      </c>
      <c t="inlineStr" r="H339">
        <is>
          <t xml:space="preserve">Franchises</t>
        </is>
      </c>
      <c t="inlineStr" r="I339">
        <is>
          <t xml:space="preserve">&lt;none&gt;</t>
        </is>
      </c>
      <c t="inlineStr" r="J339">
        <is>
          <t xml:space="preserve">Jim Moazez</t>
        </is>
      </c>
      <c t="inlineStr" r="L339">
        <is>
          <t xml:space="preserve">-----</t>
        </is>
      </c>
    </row>
    <row r="340">
      <c t="str" r="A340" s="4">
        <f>HYPERLINK("https://linkbusiness.com/businesses-for-sale/LA04805/Franchise-Children%e2%80%99s-Education-Learning-Center-For-Sale!","LA04805")</f>
      </c>
      <c t="inlineStr" r="B340">
        <is>
          <t xml:space="preserve">Franchise Children’s Education Learning Center For Sale!</t>
        </is>
      </c>
      <c r="C340" s="63">
        <v>50000</v>
      </c>
      <c r="D340" s="63">
        <v>2519000</v>
      </c>
      <c t="inlineStr" r="E340">
        <is>
          <t xml:space="preserve">Los Angeles County</t>
        </is>
      </c>
      <c r="F340" s="65">
        <v>0</v>
      </c>
      <c r="G340" s="65">
        <v>0</v>
      </c>
      <c t="inlineStr" r="H340">
        <is>
          <t xml:space="preserve">Educational Services</t>
        </is>
      </c>
      <c t="inlineStr" r="I340">
        <is>
          <t xml:space="preserve">Educational Services (Level 3)</t>
        </is>
      </c>
      <c t="inlineStr" r="J340">
        <is>
          <t xml:space="preserve">Susie Kang</t>
        </is>
      </c>
      <c t="inlineStr" r="L340">
        <is>
          <t xml:space="preserve">-----</t>
        </is>
      </c>
    </row>
    <row r="341">
      <c t="str" r="A341" s="4">
        <f>HYPERLINK("https://linkbusiness.com/businesses-for-sale/LA04806/DOCTORS--HOLISTIC-PRACTITIONERS-EQUIPMENT-LIQUIDATION-SALE-%7e-INCLUDING-CONCEPTS","LA04806")</f>
      </c>
      <c t="inlineStr" r="B341">
        <is>
          <t xml:space="preserve">DOCTORS * HOLISTIC PRACTITIONERS *EQUIPMENT LIQUIDATION SALE ~ INCLUDING CONCEPTS*</t>
        </is>
      </c>
      <c r="C341" s="63">
        <v>150000</v>
      </c>
      <c r="D341" s="63">
        <v>7557000</v>
      </c>
      <c t="inlineStr" r="E341">
        <is>
          <t xml:space="preserve">Los Angeles County</t>
        </is>
      </c>
      <c r="F341" s="65">
        <v>0</v>
      </c>
      <c r="G341" s="65">
        <v>0</v>
      </c>
      <c t="inlineStr" r="H341">
        <is>
          <t xml:space="preserve">Health Care &amp; Social Assistance</t>
        </is>
      </c>
      <c t="inlineStr" r="I341">
        <is>
          <t xml:space="preserve">Hospitals</t>
        </is>
      </c>
      <c t="inlineStr" r="J341">
        <is>
          <t xml:space="preserve">Kellie Fish</t>
        </is>
      </c>
      <c t="inlineStr" r="L341">
        <is>
          <t xml:space="preserve">-----</t>
        </is>
      </c>
    </row>
    <row r="342">
      <c t="str" r="A342" s="4">
        <f>HYPERLINK("https://linkbusiness.com/businesses-for-sale/LA04807/Asset-sale--Frozen-Yogurt-Shop-in-Excellent-Location","LA04807")</f>
      </c>
      <c t="inlineStr" r="B342">
        <is>
          <t xml:space="preserve">Asset sale  Frozen Yogurt Shop in Excellent Location</t>
        </is>
      </c>
      <c r="C342" s="63">
        <v>35000</v>
      </c>
      <c r="D342" s="63">
        <v>1763300</v>
      </c>
      <c t="inlineStr" r="E342">
        <is>
          <t xml:space="preserve">Los Angeles County</t>
        </is>
      </c>
      <c r="F342" s="65">
        <v>0</v>
      </c>
      <c r="G342" s="65">
        <v>0</v>
      </c>
      <c t="inlineStr" r="H342">
        <is>
          <t xml:space="preserve">Restaurant</t>
        </is>
      </c>
      <c t="inlineStr" r="I342">
        <is>
          <t xml:space="preserve">Food Services and Drinking Places</t>
        </is>
      </c>
      <c t="inlineStr" r="J342">
        <is>
          <t xml:space="preserve">Loren Hoffman</t>
        </is>
      </c>
      <c t="inlineStr" r="K342">
        <is>
          <t xml:space="preserve">Conrad Partida</t>
        </is>
      </c>
      <c t="inlineStr" r="L342">
        <is>
          <t xml:space="preserve">-----</t>
        </is>
      </c>
    </row>
    <row r="343">
      <c t="str" r="A343" s="4">
        <f>HYPERLINK("https://linkbusiness.com/businesses-for-sale/LA04810/High-Volume-Circle-K-Liquor-store-in-OC","LA04810")</f>
      </c>
      <c t="inlineStr" r="B343">
        <is>
          <t xml:space="preserve">High Volume Circle K Liquor store in OC</t>
        </is>
      </c>
      <c r="C343" s="63">
        <v>355000</v>
      </c>
      <c r="D343" s="63">
        <v>17884900</v>
      </c>
      <c t="inlineStr" r="E343">
        <is>
          <t xml:space="preserve">Orange County</t>
        </is>
      </c>
      <c r="F343" s="65">
        <v>0</v>
      </c>
      <c r="G343" s="65">
        <v>0</v>
      </c>
      <c t="inlineStr" r="H343">
        <is>
          <t xml:space="preserve">Retail Trade</t>
        </is>
      </c>
      <c t="inlineStr" r="I343">
        <is>
          <t xml:space="preserve">Food and Beverage Stores</t>
        </is>
      </c>
      <c t="inlineStr" r="J343">
        <is>
          <t xml:space="preserve">Paul Suh</t>
        </is>
      </c>
      <c t="inlineStr" r="L343">
        <is>
          <t xml:space="preserve">-----</t>
        </is>
      </c>
    </row>
    <row r="344">
      <c t="str" r="A344" s="4">
        <f>HYPERLINK("https://linkbusiness.com/businesses-for-sale/LA04811/Absentee-run-Circle-K-B%26W-in-East-LA-County","LA04811")</f>
      </c>
      <c t="inlineStr" r="B344">
        <is>
          <t xml:space="preserve">Absentee run Circle K B&amp;W in East LA County</t>
        </is>
      </c>
      <c r="C344" s="63">
        <v>200000</v>
      </c>
      <c r="D344" s="63">
        <v>10076000</v>
      </c>
      <c t="inlineStr" r="E344">
        <is>
          <t xml:space="preserve">Los Angeles County</t>
        </is>
      </c>
      <c r="F344" s="65">
        <v>0</v>
      </c>
      <c r="G344" s="65">
        <v>0</v>
      </c>
      <c t="inlineStr" r="H344">
        <is>
          <t xml:space="preserve">Retail Trade</t>
        </is>
      </c>
      <c t="inlineStr" r="I344">
        <is>
          <t xml:space="preserve">Food and Beverage Stores</t>
        </is>
      </c>
      <c t="inlineStr" r="J344">
        <is>
          <t xml:space="preserve">Paul Suh</t>
        </is>
      </c>
      <c t="inlineStr" r="L344">
        <is>
          <t xml:space="preserve">-----</t>
        </is>
      </c>
    </row>
    <row r="345">
      <c t="str" r="A345" s="4">
        <f>HYPERLINK("https://linkbusiness.com/businesses-for-sale/LA04812/Market-Looking-for-New-Owner-in-San-Fernando-Valley","LA04812")</f>
      </c>
      <c t="inlineStr" r="B345">
        <is>
          <t xml:space="preserve">Market Looking for New Owner in San Fernando Valley</t>
        </is>
      </c>
      <c r="C345" s="63">
        <v>75000</v>
      </c>
      <c r="D345" s="63">
        <v>3778500</v>
      </c>
      <c t="inlineStr" r="E345">
        <is>
          <t xml:space="preserve">Los Angeles County</t>
        </is>
      </c>
      <c r="F345" s="65">
        <v>0</v>
      </c>
      <c r="G345" s="65">
        <v>0</v>
      </c>
      <c t="inlineStr" r="H345">
        <is>
          <t xml:space="preserve">Retail Trade</t>
        </is>
      </c>
      <c t="inlineStr" r="I345">
        <is>
          <t xml:space="preserve">Food and Beverage Stores</t>
        </is>
      </c>
      <c t="inlineStr" r="J345">
        <is>
          <t xml:space="preserve">Joe Reed</t>
        </is>
      </c>
      <c t="inlineStr" r="K345">
        <is>
          <t xml:space="preserve">Paul Mendoza</t>
        </is>
      </c>
      <c t="inlineStr" r="L345">
        <is>
          <t xml:space="preserve">-----</t>
        </is>
      </c>
    </row>
    <row r="346">
      <c t="str" r="A346" s="4">
        <f>HYPERLINK("https://linkbusiness.com/businesses-for-sale/LA04813/Substantial-Importer-%26-Wholesaler-of-Housewares","LA04813")</f>
      </c>
      <c t="inlineStr" r="B346">
        <is>
          <t xml:space="preserve">Substantial Importer &amp; Wholesaler of Housewares</t>
        </is>
      </c>
      <c r="C346" s="63">
        <v>5500000</v>
      </c>
      <c r="D346" s="63">
        <v>277090000</v>
      </c>
      <c t="inlineStr" r="E346">
        <is>
          <t xml:space="preserve">Los Angeles County</t>
        </is>
      </c>
      <c r="F346" s="65">
        <v>0</v>
      </c>
      <c r="G346" s="63">
        <v>500000</v>
      </c>
      <c t="inlineStr" r="H346">
        <is>
          <t xml:space="preserve">Wholesale Trade</t>
        </is>
      </c>
      <c t="inlineStr" r="I346">
        <is>
          <t xml:space="preserve">Merchant Wholesalers, Durable Goods</t>
        </is>
      </c>
      <c t="inlineStr" r="J346">
        <is>
          <t xml:space="preserve">Donna Alexander</t>
        </is>
      </c>
      <c t="inlineStr" r="K346">
        <is>
          <t xml:space="preserve">Stuart Greenberg</t>
        </is>
      </c>
      <c t="inlineStr" r="L346">
        <is>
          <t xml:space="preserve">Includes Inventory &amp; Accts Rec of $3million</t>
        </is>
      </c>
    </row>
    <row r="347">
      <c t="str" r="A347" s="4">
        <f>HYPERLINK("https://linkbusiness.com/businesses-for-sale/LA04814/Super-busy!!-Essential-Hardware-%26-Paint-StoreBooming!!","LA04814")</f>
      </c>
      <c t="inlineStr" r="B347">
        <is>
          <t xml:space="preserve">Super busy!! Essential Hardware &amp; Paint Store...Booming!!</t>
        </is>
      </c>
      <c r="C347" s="63">
        <v>165000</v>
      </c>
      <c r="D347" s="63">
        <v>8312700</v>
      </c>
      <c t="inlineStr" r="E347">
        <is>
          <t xml:space="preserve">South Bay Cities &amp; Long Beach</t>
        </is>
      </c>
      <c r="F347" s="65">
        <v>0</v>
      </c>
      <c r="G347" s="63">
        <v>136560</v>
      </c>
      <c t="inlineStr" r="H347">
        <is>
          <t xml:space="preserve">Construction</t>
        </is>
      </c>
      <c t="inlineStr" r="I347">
        <is>
          <t xml:space="preserve">Specialty Trade Contractors</t>
        </is>
      </c>
      <c t="inlineStr" r="J347">
        <is>
          <t xml:space="preserve">Peter Magaziotis</t>
        </is>
      </c>
      <c t="inlineStr" r="L347">
        <is>
          <t xml:space="preserve">-----</t>
        </is>
      </c>
    </row>
    <row r="348">
      <c t="str" r="A348" s="4">
        <f>HYPERLINK("https://linkbusiness.com/businesses-for-sale/LA04815/Great-Simi-Valley-Restaurant-location-with-Fully-Equipped-Kitchen","LA04815")</f>
      </c>
      <c t="inlineStr" r="B348">
        <is>
          <t xml:space="preserve">Great Simi Valley Restaurant location with Fully Equipped Kitchen</t>
        </is>
      </c>
      <c r="C348" s="63">
        <v>75000</v>
      </c>
      <c r="D348" s="63">
        <v>3778500</v>
      </c>
      <c t="inlineStr" r="E348">
        <is>
          <t xml:space="preserve">Southern California</t>
        </is>
      </c>
      <c r="F348" s="65">
        <v>0</v>
      </c>
      <c r="G348" s="63">
        <v>60000</v>
      </c>
      <c t="inlineStr" r="H348">
        <is>
          <t xml:space="preserve">Restaurant</t>
        </is>
      </c>
      <c t="inlineStr" r="I348">
        <is>
          <t xml:space="preserve">Food Services and Drinking Places</t>
        </is>
      </c>
      <c t="inlineStr" r="J348">
        <is>
          <t xml:space="preserve">Stuart Greenberg</t>
        </is>
      </c>
      <c t="inlineStr" r="L348">
        <is>
          <t xml:space="preserve">-----</t>
        </is>
      </c>
    </row>
    <row r="349">
      <c t="str" r="A349" s="4">
        <f>HYPERLINK("https://linkbusiness.com/businesses-for-sale/LA04816/Perfect-Opportunity-to-Have-Your-Own-Dog-Grooming-Business","LA04816")</f>
      </c>
      <c t="inlineStr" r="B349">
        <is>
          <t xml:space="preserve">Perfect Opportunity to Have Your Own Dog Grooming Business</t>
        </is>
      </c>
      <c r="C349" s="63">
        <v>49000</v>
      </c>
      <c r="D349" s="63">
        <v>2468620</v>
      </c>
      <c t="inlineStr" r="E349">
        <is>
          <t xml:space="preserve">Los Angeles County</t>
        </is>
      </c>
      <c r="F349" s="65">
        <v>0</v>
      </c>
      <c r="G349" s="63">
        <v>30000</v>
      </c>
      <c t="inlineStr" r="H349">
        <is>
          <t xml:space="preserve">Other Services (except public administration)</t>
        </is>
      </c>
      <c t="inlineStr" r="I349">
        <is>
          <t xml:space="preserve">Other Personal Services</t>
        </is>
      </c>
      <c t="inlineStr" r="J349">
        <is>
          <t xml:space="preserve">Jim Moazez</t>
        </is>
      </c>
      <c t="inlineStr" r="L349">
        <is>
          <t xml:space="preserve">-----</t>
        </is>
      </c>
    </row>
    <row r="350">
      <c t="str" r="A350" s="4">
        <f>HYPERLINK("https://linkbusiness.com/businesses-for-sale/LA04817/Wrecking-yard%2c-low-rent%2c-Good-Location-and-Great-Inventory","LA04817")</f>
      </c>
      <c t="inlineStr" r="B350">
        <is>
          <t xml:space="preserve">Wrecking yard, low rent, Good Location and Great Inventory</t>
        </is>
      </c>
      <c r="C350" s="63">
        <v>450000</v>
      </c>
      <c r="D350" s="63">
        <v>22671000</v>
      </c>
      <c t="inlineStr" r="E350">
        <is>
          <t xml:space="preserve">Los Angeles County</t>
        </is>
      </c>
      <c r="F350" s="65">
        <v>0</v>
      </c>
      <c r="G350" s="63">
        <v>120000</v>
      </c>
      <c t="inlineStr" r="H350">
        <is>
          <t xml:space="preserve">Other Services (except public administration)</t>
        </is>
      </c>
      <c t="inlineStr" r="I350">
        <is>
          <t xml:space="preserve">&lt;none&gt;</t>
        </is>
      </c>
      <c t="inlineStr" r="J350">
        <is>
          <t xml:space="preserve">Jim Moazez</t>
        </is>
      </c>
      <c t="inlineStr" r="L350">
        <is>
          <t xml:space="preserve">-----</t>
        </is>
      </c>
    </row>
    <row r="351">
      <c t="str" r="A351" s="4">
        <f>HYPERLINK("https://linkbusiness.com/businesses-for-sale/LA04818/Money-Making-Turn-Key-Insurance-Business","LA04818")</f>
      </c>
      <c t="inlineStr" r="B351">
        <is>
          <t xml:space="preserve">Money Making Turn Key Insurance Business</t>
        </is>
      </c>
      <c r="C351" s="63">
        <v>204101</v>
      </c>
      <c r="D351" s="63">
        <v>10282608</v>
      </c>
      <c t="inlineStr" r="E351">
        <is>
          <t xml:space="preserve">San Diego County</t>
        </is>
      </c>
      <c r="F351" s="65">
        <v>0</v>
      </c>
      <c r="G351" s="63">
        <v>121848</v>
      </c>
      <c t="inlineStr" r="H351">
        <is>
          <t xml:space="preserve">Other Services (except public administration)</t>
        </is>
      </c>
      <c t="inlineStr" r="I351">
        <is>
          <t xml:space="preserve">&lt;none&gt;</t>
        </is>
      </c>
      <c t="inlineStr" r="J351">
        <is>
          <t xml:space="preserve">Roxanne Barr</t>
        </is>
      </c>
      <c t="inlineStr" r="K351">
        <is>
          <t xml:space="preserve">Shawn Davis</t>
        </is>
      </c>
      <c t="inlineStr" r="L351">
        <is>
          <t xml:space="preserve">-----</t>
        </is>
      </c>
    </row>
    <row r="352">
      <c t="str" r="A352" s="4">
        <f>HYPERLINK("https://linkbusiness.com/businesses-for-sale/LA04819/Independent-35-yrs-Print-Shop%2c-South-Orange-County","LA04819")</f>
      </c>
      <c t="inlineStr" r="B352">
        <is>
          <t xml:space="preserve">Independent 35 yrs. Print Shop, South Orange County</t>
        </is>
      </c>
      <c r="C352" s="63">
        <v>265000</v>
      </c>
      <c r="D352" s="63">
        <v>13350700</v>
      </c>
      <c t="inlineStr" r="E352">
        <is>
          <t xml:space="preserve">Orange County</t>
        </is>
      </c>
      <c r="F352" s="65">
        <v>0</v>
      </c>
      <c r="G352" s="63">
        <v>107500</v>
      </c>
      <c t="inlineStr" r="H352">
        <is>
          <t xml:space="preserve">Manufacturing</t>
        </is>
      </c>
      <c t="inlineStr" r="I352">
        <is>
          <t xml:space="preserve">Printing and Related Support Activities</t>
        </is>
      </c>
      <c t="inlineStr" r="J352">
        <is>
          <t xml:space="preserve">Sara Vaziri</t>
        </is>
      </c>
      <c t="inlineStr" r="L352">
        <is>
          <t xml:space="preserve">-----</t>
        </is>
      </c>
    </row>
    <row r="353">
      <c t="str" r="A353" s="4">
        <f>HYPERLINK("https://linkbusiness.com/businesses-for-sale/LA04820/Fully-Equipped-Mini-Market-%252fSandwich-Shop-Business-in-High-Density-Whittier-area","LA04820")</f>
      </c>
      <c t="inlineStr" r="B353">
        <is>
          <t xml:space="preserve">Fully Equipped Mini Market /Sandwich Shop Business in High Density Whittier area</t>
        </is>
      </c>
      <c r="C353" s="63">
        <v>58800</v>
      </c>
      <c r="D353" s="63">
        <v>2962344</v>
      </c>
      <c t="inlineStr" r="E353">
        <is>
          <t xml:space="preserve">Los Angeles County</t>
        </is>
      </c>
      <c r="F353" s="65">
        <v>0</v>
      </c>
      <c r="G353" s="65">
        <v>0</v>
      </c>
      <c t="inlineStr" r="H353">
        <is>
          <t xml:space="preserve">Retail Trade</t>
        </is>
      </c>
      <c t="inlineStr" r="I353">
        <is>
          <t xml:space="preserve">Food and Beverage Stores</t>
        </is>
      </c>
      <c t="inlineStr" r="J353">
        <is>
          <t xml:space="preserve">Paul Mendoza</t>
        </is>
      </c>
      <c t="inlineStr" r="L353">
        <is>
          <t xml:space="preserve">-----</t>
        </is>
      </c>
    </row>
    <row r="354">
      <c t="str" r="A354" s="4">
        <f>HYPERLINK("https://linkbusiness.com/businesses-for-sale/LA04821/Video-System-Integration-and-Design%2c-Tops-in-Industry","LA04821")</f>
      </c>
      <c t="inlineStr" r="B354">
        <is>
          <t xml:space="preserve">Video System Integration and Design, Tops in Industry</t>
        </is>
      </c>
      <c r="C354" s="63">
        <v>9000000</v>
      </c>
      <c r="D354" s="63">
        <v>453420000</v>
      </c>
      <c t="inlineStr" r="E354">
        <is>
          <t xml:space="preserve">Los Angeles County</t>
        </is>
      </c>
      <c r="F354" s="65">
        <v>0</v>
      </c>
      <c r="G354" s="63">
        <v>1200000</v>
      </c>
      <c t="inlineStr" r="H354">
        <is>
          <t xml:space="preserve">Manufacturing</t>
        </is>
      </c>
      <c t="inlineStr" r="I354">
        <is>
          <t xml:space="preserve">Electrical Equipment, Appliance, and Component Manufacturing</t>
        </is>
      </c>
      <c t="inlineStr" r="J354">
        <is>
          <t xml:space="preserve">Stuart Greenberg</t>
        </is>
      </c>
      <c t="inlineStr" r="L354">
        <is>
          <t xml:space="preserve">-----</t>
        </is>
      </c>
    </row>
    <row r="355">
      <c t="str" r="A355" s="4">
        <f>HYPERLINK("https://linkbusiness.com/businesses-for-sale/LA04822/Hotel-in-the-Heart-of-DTLA","LA04822")</f>
      </c>
      <c t="inlineStr" r="B355">
        <is>
          <t xml:space="preserve">Hotel in the Heart of DTLA</t>
        </is>
      </c>
      <c r="C355" s="63">
        <v>3500000</v>
      </c>
      <c r="D355" s="63">
        <v>176330000</v>
      </c>
      <c t="inlineStr" r="E355">
        <is>
          <t xml:space="preserve">Los Angeles County</t>
        </is>
      </c>
      <c r="F355" s="65">
        <v>0</v>
      </c>
      <c r="G355" s="65">
        <v>0</v>
      </c>
      <c t="inlineStr" r="H355">
        <is>
          <t xml:space="preserve">Arts, Entertainment &amp; Recreation</t>
        </is>
      </c>
      <c t="inlineStr" r="I355">
        <is>
          <t xml:space="preserve">&lt;none&gt;</t>
        </is>
      </c>
      <c t="inlineStr" r="L355">
        <is>
          <t xml:space="preserve">-----</t>
        </is>
      </c>
    </row>
    <row r="356">
      <c t="str" r="A356" s="4">
        <f>HYPERLINK("https://linkbusiness.com/businesses-for-sale/LA04823/Popular-Sandwich-Business-For-Sale-in-San-Diego!","LA04823")</f>
      </c>
      <c t="inlineStr" r="B356">
        <is>
          <t xml:space="preserve">Popular Sandwich Business For Sale in San Diego!</t>
        </is>
      </c>
      <c r="C356" s="63">
        <v>49000</v>
      </c>
      <c r="D356" s="63">
        <v>2468620</v>
      </c>
      <c t="inlineStr" r="E356">
        <is>
          <t xml:space="preserve">San Diego County</t>
        </is>
      </c>
      <c r="F356" s="65">
        <v>0</v>
      </c>
      <c r="G356" s="63">
        <v>70823</v>
      </c>
      <c t="inlineStr" r="H356">
        <is>
          <t xml:space="preserve">Restaurant</t>
        </is>
      </c>
      <c t="inlineStr" r="I356">
        <is>
          <t xml:space="preserve">Food Services and Drinking Places</t>
        </is>
      </c>
      <c t="inlineStr" r="J356">
        <is>
          <t xml:space="preserve">Susie Kang</t>
        </is>
      </c>
      <c t="inlineStr" r="L356">
        <is>
          <t xml:space="preserve">-----</t>
        </is>
      </c>
    </row>
    <row r="357">
      <c t="str" r="A357" s="4">
        <f>HYPERLINK("https://linkbusiness.com/businesses-for-sale/LA04824/Amazing-Event-Venue-%26-Dance-Ballroom","LA04824")</f>
      </c>
      <c t="inlineStr" r="B357">
        <is>
          <t xml:space="preserve">Amazing Event Venue &amp; Dance Ballroom</t>
        </is>
      </c>
      <c r="C357" s="63">
        <v>125000</v>
      </c>
      <c r="D357" s="63">
        <v>6297500</v>
      </c>
      <c t="inlineStr" r="E357">
        <is>
          <t xml:space="preserve">Los Angeles County</t>
        </is>
      </c>
      <c r="F357" s="65">
        <v>0</v>
      </c>
      <c r="G357" s="63">
        <v>145000</v>
      </c>
      <c t="inlineStr" r="H357">
        <is>
          <t xml:space="preserve">Real Estate and Rental &amp; Leasing</t>
        </is>
      </c>
      <c t="inlineStr" r="I357">
        <is>
          <t xml:space="preserve">&lt;none&gt;</t>
        </is>
      </c>
      <c t="inlineStr" r="J357">
        <is>
          <t xml:space="preserve">Kellie Fish</t>
        </is>
      </c>
      <c t="inlineStr" r="L357">
        <is>
          <t xml:space="preserve">-----</t>
        </is>
      </c>
    </row>
    <row r="358">
      <c t="str" r="A358" s="4">
        <f>HYPERLINK("https://linkbusiness.com/businesses-for-sale/LA04825/Absentee-Run-Cafe%2c-Seller-Carry-and-Low-Rent","LA04825")</f>
      </c>
      <c t="inlineStr" r="B358">
        <is>
          <t xml:space="preserve">Absentee Run Cafe, Seller Carry and Low Rent</t>
        </is>
      </c>
      <c r="C358" s="63">
        <v>250000</v>
      </c>
      <c r="D358" s="63">
        <v>12595000</v>
      </c>
      <c t="inlineStr" r="E358">
        <is>
          <t xml:space="preserve">Los Angeles County</t>
        </is>
      </c>
      <c r="F358" s="65">
        <v>0</v>
      </c>
      <c r="G358" s="65">
        <v>0</v>
      </c>
      <c t="inlineStr" r="H358">
        <is>
          <t xml:space="preserve">Restaurant</t>
        </is>
      </c>
      <c t="inlineStr" r="I358">
        <is>
          <t xml:space="preserve">Food Services and Drinking Places</t>
        </is>
      </c>
      <c t="inlineStr" r="J358">
        <is>
          <t xml:space="preserve">Jim Moazez</t>
        </is>
      </c>
      <c t="inlineStr" r="L358">
        <is>
          <t xml:space="preserve">-----</t>
        </is>
      </c>
    </row>
    <row r="359">
      <c t="str" r="A359" s="4">
        <f>HYPERLINK("https://linkbusiness.com/businesses-for-sale/LA04826/Wholesale-Bakery-fully-equipped-over-4%2c000-SqFt-low-rent-LA-County","LA04826")</f>
      </c>
      <c t="inlineStr" r="B359">
        <is>
          <t xml:space="preserve">Wholesale Bakery fully equipped over 4,000 SqFt low rent LA County</t>
        </is>
      </c>
      <c r="C359" s="63">
        <v>250000</v>
      </c>
      <c r="D359" s="63">
        <v>12595000</v>
      </c>
      <c t="inlineStr" r="E359">
        <is>
          <t xml:space="preserve">East Los Angeles County</t>
        </is>
      </c>
      <c r="F359" s="65">
        <v>0</v>
      </c>
      <c r="G359" s="65">
        <v>0</v>
      </c>
      <c t="inlineStr" r="H359">
        <is>
          <t xml:space="preserve">Wholesale Trade</t>
        </is>
      </c>
      <c t="inlineStr" r="I359">
        <is>
          <t xml:space="preserve">Merchant Wholesalers, Nondurable Goods</t>
        </is>
      </c>
      <c t="inlineStr" r="J359">
        <is>
          <t xml:space="preserve">Kellie Fish</t>
        </is>
      </c>
      <c t="inlineStr" r="K359">
        <is>
          <t xml:space="preserve">Joe Khoury</t>
        </is>
      </c>
      <c t="inlineStr" r="L359">
        <is>
          <t xml:space="preserve">-----</t>
        </is>
      </c>
    </row>
    <row r="360">
      <c t="str" r="A360" s="4">
        <f>HYPERLINK("https://linkbusiness.com/businesses-for-sale/LA04827/30-Years-Tailor-Shop-Serving-High-End-Boutiques","LA04827")</f>
      </c>
      <c t="inlineStr" r="B360">
        <is>
          <t xml:space="preserve">30 Years Tailor Shop Serving High End Boutiques</t>
        </is>
      </c>
      <c r="C360" s="63">
        <v>109000</v>
      </c>
      <c r="D360" s="63">
        <v>5491420</v>
      </c>
      <c t="inlineStr" r="E360">
        <is>
          <t xml:space="preserve">Orange County</t>
        </is>
      </c>
      <c r="F360" s="65">
        <v>0</v>
      </c>
      <c r="G360" s="63">
        <v>50902</v>
      </c>
      <c t="inlineStr" r="H360">
        <is>
          <t xml:space="preserve">Other Services (except public administration)</t>
        </is>
      </c>
      <c t="inlineStr" r="I360">
        <is>
          <t xml:space="preserve">Repair and Maintenance</t>
        </is>
      </c>
      <c t="inlineStr" r="J360">
        <is>
          <t xml:space="preserve">Nobuko Isoda</t>
        </is>
      </c>
      <c t="inlineStr" r="K360">
        <is>
          <t xml:space="preserve">Sara Vaziri</t>
        </is>
      </c>
      <c t="inlineStr" r="L360">
        <is>
          <t xml:space="preserve">-----</t>
        </is>
      </c>
    </row>
    <row r="361">
      <c t="str" r="A361" s="4">
        <f>HYPERLINK("https://linkbusiness.com/businesses-for-sale/LA04829/High-Volume-%26-Profitable-Italian-Restaurant-in-Santa-Clarita-Valley","LA04829")</f>
      </c>
      <c t="inlineStr" r="B361">
        <is>
          <t xml:space="preserve">High Volume &amp; Profitable Italian Restaurant in Santa Clarita Valley</t>
        </is>
      </c>
      <c r="C361" s="63">
        <v>275000</v>
      </c>
      <c r="D361" s="63">
        <v>13854500</v>
      </c>
      <c t="inlineStr" r="E361">
        <is>
          <t xml:space="preserve">Los Angeles County</t>
        </is>
      </c>
      <c r="F361" s="65">
        <v>0</v>
      </c>
      <c r="G361" s="63">
        <v>142200</v>
      </c>
      <c t="inlineStr" r="H361">
        <is>
          <t xml:space="preserve">Restaurant</t>
        </is>
      </c>
      <c t="inlineStr" r="I361">
        <is>
          <t xml:space="preserve">Food Services and Drinking Places</t>
        </is>
      </c>
      <c t="inlineStr" r="J361">
        <is>
          <t xml:space="preserve">Joe Khoury</t>
        </is>
      </c>
      <c t="inlineStr" r="L361">
        <is>
          <t xml:space="preserve">-----</t>
        </is>
      </c>
    </row>
    <row r="362">
      <c t="str" r="A362" s="4">
        <f>HYPERLINK("https://linkbusiness.com/businesses-for-sale/LA04830/Highly-Successful-Commercial%252fResidential-Plumbing-Co!","LA04830")</f>
      </c>
      <c t="inlineStr" r="B362">
        <is>
          <t xml:space="preserve">Highly Successful Commercial/Residential Plumbing Co!</t>
        </is>
      </c>
      <c r="C362" s="63">
        <v>1100000</v>
      </c>
      <c r="D362" s="63">
        <v>55418000</v>
      </c>
      <c t="inlineStr" r="E362">
        <is>
          <t xml:space="preserve">Southern California</t>
        </is>
      </c>
      <c r="F362" s="65">
        <v>0</v>
      </c>
      <c r="G362" s="63">
        <v>326024</v>
      </c>
      <c t="inlineStr" r="H362">
        <is>
          <t xml:space="preserve">Construction</t>
        </is>
      </c>
      <c t="inlineStr" r="I362">
        <is>
          <t xml:space="preserve">Construction of Buildings</t>
        </is>
      </c>
      <c t="inlineStr" r="J362">
        <is>
          <t xml:space="preserve">Susie Kang</t>
        </is>
      </c>
      <c t="inlineStr" r="L362">
        <is>
          <t xml:space="preserve">-----</t>
        </is>
      </c>
    </row>
    <row r="363">
      <c t="str" r="A363" s="4">
        <f>HYPERLINK("https://linkbusiness.com/businesses-for-sale/LA04831/45-Star-Yelp-%26-Google%2c-5Day-Pizzeria-In-LA-County!","LA04831")</f>
      </c>
      <c t="inlineStr" r="B363">
        <is>
          <t xml:space="preserve">4.5 Star Yelp &amp; Google, 5Day Pizzeria In LA County!</t>
        </is>
      </c>
      <c r="C363" s="63">
        <v>49000</v>
      </c>
      <c r="D363" s="63">
        <v>2468620</v>
      </c>
      <c t="inlineStr" r="E363">
        <is>
          <t xml:space="preserve">Los Angeles County</t>
        </is>
      </c>
      <c r="F363" s="65">
        <v>0</v>
      </c>
      <c r="G363" s="63">
        <v>66500</v>
      </c>
      <c t="inlineStr" r="H363">
        <is>
          <t xml:space="preserve">Restaurant</t>
        </is>
      </c>
      <c t="inlineStr" r="I363">
        <is>
          <t xml:space="preserve">Food Services and Drinking Places</t>
        </is>
      </c>
      <c t="inlineStr" r="J363">
        <is>
          <t xml:space="preserve">Susie Kang</t>
        </is>
      </c>
      <c t="inlineStr" r="L363">
        <is>
          <t xml:space="preserve">-----</t>
        </is>
      </c>
    </row>
    <row r="364">
      <c t="str" r="A364" s="4">
        <f>HYPERLINK("https://linkbusiness.com/businesses-for-sale/LA04832/Jujube-Farm-in-San-Bernardino-County","LA04832")</f>
      </c>
      <c t="inlineStr" r="B364">
        <is>
          <t xml:space="preserve">Jujube Farm in San Bernardino County</t>
        </is>
      </c>
      <c r="C364" s="63">
        <v>1600000</v>
      </c>
      <c r="D364" s="63">
        <v>80608000</v>
      </c>
      <c t="inlineStr" r="E364">
        <is>
          <t xml:space="preserve">California</t>
        </is>
      </c>
      <c r="F364" s="65">
        <v>0</v>
      </c>
      <c r="G364" s="63">
        <v>200000</v>
      </c>
      <c t="inlineStr" r="H364">
        <is>
          <t xml:space="preserve">Agriculture, Forestry, Fishing and Hunting</t>
        </is>
      </c>
      <c t="inlineStr" r="I364">
        <is>
          <t xml:space="preserve">Fishing, Hunting and Trapping</t>
        </is>
      </c>
      <c t="inlineStr" r="J364">
        <is>
          <t xml:space="preserve">Paul Suh</t>
        </is>
      </c>
      <c t="inlineStr" r="L364">
        <is>
          <t xml:space="preserve">-----</t>
        </is>
      </c>
    </row>
    <row r="365">
      <c t="str" r="A365" s="4">
        <f>HYPERLINK("https://linkbusiness.com/businesses-for-sale/LA04833/High-Volume-Pizzeria-in-Irvine","LA04833")</f>
      </c>
      <c t="inlineStr" r="B365">
        <is>
          <t xml:space="preserve">High Volume Pizzeria in Irvine</t>
        </is>
      </c>
      <c r="C365" s="63">
        <v>395000</v>
      </c>
      <c r="D365" s="63">
        <v>19900100</v>
      </c>
      <c t="inlineStr" r="E365">
        <is>
          <t xml:space="preserve">Orange County</t>
        </is>
      </c>
      <c r="F365" s="65">
        <v>0</v>
      </c>
      <c r="G365" s="63">
        <v>132000</v>
      </c>
      <c t="inlineStr" r="H365">
        <is>
          <t xml:space="preserve">Restaurant</t>
        </is>
      </c>
      <c t="inlineStr" r="I365">
        <is>
          <t xml:space="preserve">Food Services and Drinking Places</t>
        </is>
      </c>
      <c t="inlineStr" r="J365">
        <is>
          <t xml:space="preserve">Paul Suh</t>
        </is>
      </c>
      <c t="inlineStr" r="L365">
        <is>
          <t xml:space="preserve">-----</t>
        </is>
      </c>
    </row>
    <row r="366">
      <c t="str" r="A366" s="4">
        <f>HYPERLINK("https://linkbusiness.com/businesses-for-sale/LA04834/Plexi-Glass-and-Acrylic-Fabrication-Business-in-Orange-County","LA04834")</f>
      </c>
      <c t="inlineStr" r="B366">
        <is>
          <t xml:space="preserve">Plexi Glass and Acrylic Fabrication Business in Orange County</t>
        </is>
      </c>
      <c r="C366" s="63">
        <v>155000</v>
      </c>
      <c r="D366" s="63">
        <v>7808900</v>
      </c>
      <c t="inlineStr" r="E366">
        <is>
          <t xml:space="preserve">Orange County</t>
        </is>
      </c>
      <c r="F366" s="65">
        <v>0</v>
      </c>
      <c r="G366" s="63">
        <v>40000</v>
      </c>
      <c t="inlineStr" r="H366">
        <is>
          <t xml:space="preserve">Manufacturing</t>
        </is>
      </c>
      <c t="inlineStr" r="I366">
        <is>
          <t xml:space="preserve">Plastics and Rubber Products Manufacturing</t>
        </is>
      </c>
      <c t="inlineStr" r="J366">
        <is>
          <t xml:space="preserve">Ved Sajnani</t>
        </is>
      </c>
      <c t="inlineStr" r="L366">
        <is>
          <t xml:space="preserve">-----</t>
        </is>
      </c>
    </row>
    <row r="367">
      <c t="str" r="A367" s="4">
        <f>HYPERLINK("https://linkbusiness.com/businesses-for-sale/LA04835/Beautiful-Salon-by-the-Sea-Quality-of-Life-Purchase","LA04835")</f>
      </c>
      <c t="inlineStr" r="B367">
        <is>
          <t xml:space="preserve">Beautiful Salon by the Sea Quality of Life Purchase</t>
        </is>
      </c>
      <c r="C367" s="63">
        <v>130329</v>
      </c>
      <c r="D367" s="63">
        <v>6565975</v>
      </c>
      <c t="inlineStr" r="E367">
        <is>
          <t xml:space="preserve">Los Angeles County</t>
        </is>
      </c>
      <c r="F367" s="65">
        <v>0</v>
      </c>
      <c r="G367" s="63">
        <v>56884</v>
      </c>
      <c t="inlineStr" r="H367">
        <is>
          <t xml:space="preserve">Other Services (except public administration)</t>
        </is>
      </c>
      <c t="inlineStr" r="I367">
        <is>
          <t xml:space="preserve">Personal Care Services</t>
        </is>
      </c>
      <c t="inlineStr" r="J367">
        <is>
          <t xml:space="preserve">Ethan Skugrud</t>
        </is>
      </c>
      <c t="inlineStr" r="K367">
        <is>
          <t xml:space="preserve">Wes Lewison</t>
        </is>
      </c>
      <c t="inlineStr" r="L367">
        <is>
          <t xml:space="preserve">-----</t>
        </is>
      </c>
    </row>
    <row r="368">
      <c t="str" r="A368" s="4">
        <f>HYPERLINK("https://linkbusiness.com/businesses-for-sale/LA04837/Beautiful-Greek-Cuisine-with-B%26W-Asset-Sale-OC","LA04837")</f>
      </c>
      <c t="inlineStr" r="B368">
        <is>
          <t xml:space="preserve">Beautiful Greek Cuisine with B&amp;W Asset Sale OC</t>
        </is>
      </c>
      <c r="C368" s="63">
        <v>150000</v>
      </c>
      <c r="D368" s="63">
        <v>7557000</v>
      </c>
      <c t="inlineStr" r="E368">
        <is>
          <t xml:space="preserve">California</t>
        </is>
      </c>
      <c r="F368" s="65">
        <v>0</v>
      </c>
      <c r="G368" s="65">
        <v>0</v>
      </c>
      <c t="inlineStr" r="H368">
        <is>
          <t xml:space="preserve">Restaurant</t>
        </is>
      </c>
      <c t="inlineStr" r="I368">
        <is>
          <t xml:space="preserve">Food Services and Drinking Places</t>
        </is>
      </c>
      <c t="inlineStr" r="J368">
        <is>
          <t xml:space="preserve">Paul Suh</t>
        </is>
      </c>
      <c t="inlineStr" r="L368">
        <is>
          <t xml:space="preserve">-----</t>
        </is>
      </c>
    </row>
    <row r="369">
      <c t="str" r="A369" s="4">
        <f>HYPERLINK("https://linkbusiness.com/businesses-for-sale/LA04839/Profitable-Home-Based-Environmental-Consulting-Company","LA04839")</f>
      </c>
      <c t="inlineStr" r="B369">
        <is>
          <t xml:space="preserve">Profitable Home Based Environmental Consulting Company</t>
        </is>
      </c>
      <c r="C369" s="63">
        <v>210000</v>
      </c>
      <c r="D369" s="63">
        <v>10579800</v>
      </c>
      <c t="inlineStr" r="E369">
        <is>
          <t xml:space="preserve">Washington</t>
        </is>
      </c>
      <c r="F369" s="65">
        <v>0</v>
      </c>
      <c r="G369" s="63">
        <v>134430</v>
      </c>
      <c t="inlineStr" r="H369">
        <is>
          <t xml:space="preserve">Other Services (except public administration)</t>
        </is>
      </c>
      <c t="inlineStr" r="I369">
        <is>
          <t xml:space="preserve">&lt;none&gt;</t>
        </is>
      </c>
      <c t="inlineStr" r="J369">
        <is>
          <t xml:space="preserve">Daniel Alway</t>
        </is>
      </c>
      <c t="inlineStr" r="K369">
        <is>
          <t xml:space="preserve">Shawn Davis</t>
        </is>
      </c>
      <c t="inlineStr" r="L369">
        <is>
          <t xml:space="preserve">-----</t>
        </is>
      </c>
    </row>
    <row r="370">
      <c t="str" r="A370" s="4">
        <f>HYPERLINK("https://linkbusiness.com/businesses-for-sale/LA04840/Absentee-Run-Family-Restaurant-in-Riverside-County","LA04840")</f>
      </c>
      <c t="inlineStr" r="B370">
        <is>
          <t xml:space="preserve">Absentee Run Family Restaurant in Riverside County</t>
        </is>
      </c>
      <c r="C370" s="63">
        <v>725000</v>
      </c>
      <c r="D370" s="63">
        <v>36525500</v>
      </c>
      <c t="inlineStr" r="E370">
        <is>
          <t xml:space="preserve">California</t>
        </is>
      </c>
      <c r="F370" s="65">
        <v>0</v>
      </c>
      <c r="G370" s="63">
        <v>180000</v>
      </c>
      <c t="inlineStr" r="H370">
        <is>
          <t xml:space="preserve">Restaurant</t>
        </is>
      </c>
      <c t="inlineStr" r="I370">
        <is>
          <t xml:space="preserve">Food Services and Drinking Places</t>
        </is>
      </c>
      <c t="inlineStr" r="J370">
        <is>
          <t xml:space="preserve">Paul Suh</t>
        </is>
      </c>
      <c t="inlineStr" r="L370">
        <is>
          <t xml:space="preserve">-----</t>
        </is>
      </c>
    </row>
    <row r="371">
      <c t="str" r="A371" s="4">
        <f>HYPERLINK("https://linkbusiness.com/businesses-for-sale/LA04841/French-Bistrot-Prime-Ventura-Blvd-Location","LA04841")</f>
      </c>
      <c t="inlineStr" r="B371">
        <is>
          <t xml:space="preserve">French Bistrot Prime Ventura Blvd Location</t>
        </is>
      </c>
      <c r="C371" s="63">
        <v>100000</v>
      </c>
      <c r="D371" s="63">
        <v>5038000</v>
      </c>
      <c t="inlineStr" r="E371">
        <is>
          <t xml:space="preserve">Los Angeles County</t>
        </is>
      </c>
      <c r="F371" s="65">
        <v>0</v>
      </c>
      <c r="G371" s="65">
        <v>0</v>
      </c>
      <c t="inlineStr" r="H371">
        <is>
          <t xml:space="preserve">Restaurant</t>
        </is>
      </c>
      <c t="inlineStr" r="I371">
        <is>
          <t xml:space="preserve">Food Services and Drinking Places</t>
        </is>
      </c>
      <c t="inlineStr" r="J371">
        <is>
          <t xml:space="preserve">Giulio J Maresca</t>
        </is>
      </c>
      <c t="inlineStr" r="K371">
        <is>
          <t xml:space="preserve">Conrad Partida</t>
        </is>
      </c>
      <c t="inlineStr" r="L371">
        <is>
          <t xml:space="preserve">-----</t>
        </is>
      </c>
    </row>
    <row r="372">
      <c t="str" r="A372" s="4">
        <f>HYPERLINK("https://linkbusiness.com/businesses-for-sale/LA04843/Semi-Absentee-Run-Nail-Salon-in-a-Fast-Growing-Area","LA04843")</f>
      </c>
      <c t="inlineStr" r="B372">
        <is>
          <t xml:space="preserve">Semi Absentee Run Nail Salon in a Fast Growing Area</t>
        </is>
      </c>
      <c r="C372" s="63">
        <v>125000</v>
      </c>
      <c r="D372" s="63">
        <v>6297500</v>
      </c>
      <c t="inlineStr" r="E372">
        <is>
          <t xml:space="preserve">Los Angeles County</t>
        </is>
      </c>
      <c r="F372" s="65">
        <v>0</v>
      </c>
      <c r="G372" s="63">
        <v>77000</v>
      </c>
      <c t="inlineStr" r="H372">
        <is>
          <t xml:space="preserve">Other Services (except public administration)</t>
        </is>
      </c>
      <c t="inlineStr" r="I372">
        <is>
          <t xml:space="preserve">Personal Care Services</t>
        </is>
      </c>
      <c t="inlineStr" r="J372">
        <is>
          <t xml:space="preserve">Loren Hoffman</t>
        </is>
      </c>
      <c t="inlineStr" r="K372">
        <is>
          <t xml:space="preserve">Jim Moazez</t>
        </is>
      </c>
      <c t="inlineStr" r="L372">
        <is>
          <t xml:space="preserve">-----</t>
        </is>
      </c>
    </row>
    <row r="373">
      <c t="str" r="A373" s="4">
        <f>HYPERLINK("https://linkbusiness.com/businesses-for-sale/LA04845/SoCal-Charter-Fishing-Business-w%252f-Vessel%2c-Along-w-dock-in-Popular-Tourist-Harbor","LA04845")</f>
      </c>
      <c t="inlineStr" r="B373">
        <is>
          <t xml:space="preserve">SoCal Charter Fishing Business w/ Vessel, Along w dock in Popular Tourist Harbor</t>
        </is>
      </c>
      <c r="C373" s="63">
        <v>225000</v>
      </c>
      <c r="D373" s="63">
        <v>11335500</v>
      </c>
      <c t="inlineStr" r="E373">
        <is>
          <t xml:space="preserve">California</t>
        </is>
      </c>
      <c r="F373" s="65">
        <v>0</v>
      </c>
      <c r="G373" s="65">
        <v>0</v>
      </c>
      <c t="inlineStr" r="H373">
        <is>
          <t xml:space="preserve">Transportation &amp; Warehousing</t>
        </is>
      </c>
      <c t="inlineStr" r="I373">
        <is>
          <t xml:space="preserve">&lt;none&gt;</t>
        </is>
      </c>
      <c t="inlineStr" r="J373">
        <is>
          <t xml:space="preserve">Wes Lewison</t>
        </is>
      </c>
      <c t="inlineStr" r="K373">
        <is>
          <t xml:space="preserve">Paul Mendoza</t>
        </is>
      </c>
      <c t="inlineStr" r="L373">
        <is>
          <t xml:space="preserve">-----</t>
        </is>
      </c>
    </row>
    <row r="374">
      <c t="str" r="A374" s="4">
        <f>HYPERLINK("https://linkbusiness.com/businesses-for-sale/LA04846/Manufacturer-of-High-End-Aftermarket-Parts","LA04846")</f>
      </c>
      <c t="inlineStr" r="B374">
        <is>
          <t xml:space="preserve">Manufacturer of High End Aftermarket Parts</t>
        </is>
      </c>
      <c r="C374" s="63">
        <v>134750</v>
      </c>
      <c r="D374" s="63">
        <v>6788705</v>
      </c>
      <c t="inlineStr" r="E374">
        <is>
          <t xml:space="preserve">Los Angeles County</t>
        </is>
      </c>
      <c r="F374" s="65">
        <v>0</v>
      </c>
      <c r="G374" s="63">
        <v>64193</v>
      </c>
      <c t="inlineStr" r="H374">
        <is>
          <t xml:space="preserve">Retail Trade</t>
        </is>
      </c>
      <c t="inlineStr" r="I374">
        <is>
          <t xml:space="preserve">Motor Vehicle and Parts Dealers</t>
        </is>
      </c>
      <c t="inlineStr" r="J374">
        <is>
          <t xml:space="preserve">Giulio J Maresca</t>
        </is>
      </c>
      <c t="inlineStr" r="K374">
        <is>
          <t xml:space="preserve">Conrad Partida</t>
        </is>
      </c>
      <c t="inlineStr" r="L374">
        <is>
          <t xml:space="preserve">-----</t>
        </is>
      </c>
    </row>
    <row r="375">
      <c t="str" r="A375" s="4">
        <f>HYPERLINK("https://linkbusiness.com/businesses-for-sale/LA04848/Profitable-Realty-Staging-Biz-in-Affluent-Area-w-Great-Potential-to-Grow","LA04848")</f>
      </c>
      <c t="inlineStr" r="B375">
        <is>
          <t xml:space="preserve">Profitable Realty Staging Biz in Affluent Area w Great Potential to Grow</t>
        </is>
      </c>
      <c r="C375" s="63">
        <v>159000</v>
      </c>
      <c r="D375" s="63">
        <v>8010420</v>
      </c>
      <c t="inlineStr" r="E375">
        <is>
          <t xml:space="preserve">California</t>
        </is>
      </c>
      <c r="F375" s="65">
        <v>0</v>
      </c>
      <c r="G375" s="63">
        <v>62088</v>
      </c>
      <c t="inlineStr" r="H375">
        <is>
          <t xml:space="preserve">Real Estate and Rental &amp; Leasing</t>
        </is>
      </c>
      <c t="inlineStr" r="I375">
        <is>
          <t xml:space="preserve">Real Estate</t>
        </is>
      </c>
      <c t="inlineStr" r="J375">
        <is>
          <t xml:space="preserve">Wen Chen Karkhanis</t>
        </is>
      </c>
      <c t="inlineStr" r="L375">
        <is>
          <t xml:space="preserve">-----</t>
        </is>
      </c>
    </row>
    <row r="376">
      <c t="str" r="A376" s="4">
        <f>HYPERLINK("https://linkbusiness.com/businesses-for-sale/LA04851/Established-and-Profitable-Auto-Repair-Shop-w-7-bays-in-OC","LA04851")</f>
      </c>
      <c t="inlineStr" r="B376">
        <is>
          <t xml:space="preserve">Established and Profitable Auto Repair Shop w 7 bays in OC</t>
        </is>
      </c>
      <c r="C376" s="63">
        <v>375000</v>
      </c>
      <c r="D376" s="63">
        <v>18892500</v>
      </c>
      <c t="inlineStr" r="E376">
        <is>
          <t xml:space="preserve">Orange County</t>
        </is>
      </c>
      <c r="F376" s="65">
        <v>0</v>
      </c>
      <c r="G376" s="65">
        <v>0</v>
      </c>
      <c t="inlineStr" r="H376">
        <is>
          <t xml:space="preserve">Other Services (except public administration)</t>
        </is>
      </c>
      <c t="inlineStr" r="I376">
        <is>
          <t xml:space="preserve">Repair and Maintenance</t>
        </is>
      </c>
      <c t="inlineStr" r="J376">
        <is>
          <t xml:space="preserve">Joe Khoury</t>
        </is>
      </c>
      <c t="inlineStr" r="L376">
        <is>
          <t xml:space="preserve">-----</t>
        </is>
      </c>
    </row>
    <row r="377">
      <c t="str" r="A377" s="4">
        <f>HYPERLINK("https://linkbusiness.com/businesses-for-sale/LA04852/Hospice-License-in-LA-County-Asset-Sale","LA04852")</f>
      </c>
      <c t="inlineStr" r="B377">
        <is>
          <t xml:space="preserve">Hospice License in LA County Asset Sale</t>
        </is>
      </c>
      <c r="C377" s="63">
        <v>175000</v>
      </c>
      <c r="D377" s="63">
        <v>8816500</v>
      </c>
      <c t="inlineStr" r="E377">
        <is>
          <t xml:space="preserve">Los Angeles County</t>
        </is>
      </c>
      <c r="F377" s="65">
        <v>0</v>
      </c>
      <c r="G377" s="65">
        <v>0</v>
      </c>
      <c t="inlineStr" r="H377">
        <is>
          <t xml:space="preserve">Health Care &amp; Social Assistance</t>
        </is>
      </c>
      <c t="inlineStr" r="I377">
        <is>
          <t xml:space="preserve">Social Assistance</t>
        </is>
      </c>
      <c t="inlineStr" r="J377">
        <is>
          <t xml:space="preserve">Joe Khoury</t>
        </is>
      </c>
      <c t="inlineStr" r="L377">
        <is>
          <t xml:space="preserve">-----</t>
        </is>
      </c>
    </row>
    <row r="378">
      <c t="str" r="A378" s="4">
        <f>HYPERLINK("https://linkbusiness.com/businesses-for-sale/LA04853/Free-Standing-Mexican-Restaurant-w-Full-Liquor-License-in-Los-Angeles-Area","LA04853")</f>
      </c>
      <c t="inlineStr" r="B378">
        <is>
          <t xml:space="preserve">Free Standing Mexican Restaurant w Full Liquor License in Los Angeles Area</t>
        </is>
      </c>
      <c r="C378" s="63">
        <v>197500</v>
      </c>
      <c r="D378" s="63">
        <v>9950050</v>
      </c>
      <c t="inlineStr" r="E378">
        <is>
          <t xml:space="preserve">Los Angeles County</t>
        </is>
      </c>
      <c r="F378" s="65">
        <v>0</v>
      </c>
      <c r="G378" s="65">
        <v>0</v>
      </c>
      <c t="inlineStr" r="H378">
        <is>
          <t xml:space="preserve">Restaurant</t>
        </is>
      </c>
      <c t="inlineStr" r="I378">
        <is>
          <t xml:space="preserve">Food Services and Drinking Places</t>
        </is>
      </c>
      <c t="inlineStr" r="J378">
        <is>
          <t xml:space="preserve">Joe Khoury</t>
        </is>
      </c>
      <c t="inlineStr" r="L378">
        <is>
          <t xml:space="preserve">-----</t>
        </is>
      </c>
    </row>
    <row r="379">
      <c t="str" r="A379" s="4">
        <f>HYPERLINK("https://linkbusiness.com/businesses-for-sale/LA04854/B2B-Lumber-%26-Hardware-Locations-in-NE-Los-Angeles-County","LA04854")</f>
      </c>
      <c t="inlineStr" r="B379">
        <is>
          <t xml:space="preserve">B2B Lumber &amp; Hardware Locations in NE Los Angeles County</t>
        </is>
      </c>
      <c r="C379" s="63">
        <v>7000000</v>
      </c>
      <c r="D379" s="63">
        <v>352660000</v>
      </c>
      <c t="inlineStr" r="E379">
        <is>
          <t xml:space="preserve">Los Angeles County</t>
        </is>
      </c>
      <c r="F379" s="65">
        <v>0</v>
      </c>
      <c r="G379" s="63">
        <v>1351347</v>
      </c>
      <c t="inlineStr" r="H379">
        <is>
          <t xml:space="preserve">Retail Trade</t>
        </is>
      </c>
      <c t="inlineStr" r="I379">
        <is>
          <t xml:space="preserve">Furniture and Home Furnishings Stores</t>
        </is>
      </c>
      <c t="inlineStr" r="J379">
        <is>
          <t xml:space="preserve">Joe Khoury</t>
        </is>
      </c>
      <c t="inlineStr" r="L379">
        <is>
          <t xml:space="preserve">-----</t>
        </is>
      </c>
    </row>
    <row r="380">
      <c t="str" r="A380" s="4">
        <f>HYPERLINK("https://linkbusiness.com/businesses-for-sale/LA04855/Great-Opportunity!-Auto-Repair-Tire-Retail-with-2-Stores","LA04855")</f>
      </c>
      <c t="inlineStr" r="B380">
        <is>
          <t xml:space="preserve">Great Opportunity! Auto Repair Tire Retail with 2 Stores</t>
        </is>
      </c>
      <c r="C380" s="63">
        <v>595000</v>
      </c>
      <c r="D380" s="63">
        <v>29976100</v>
      </c>
      <c t="inlineStr" r="E380">
        <is>
          <t xml:space="preserve">California</t>
        </is>
      </c>
      <c r="F380" s="65">
        <v>0</v>
      </c>
      <c r="G380" s="63">
        <v>166672</v>
      </c>
      <c t="inlineStr" r="H380">
        <is>
          <t xml:space="preserve">Professional, Scientific and Technical Services</t>
        </is>
      </c>
      <c t="inlineStr" r="I380">
        <is>
          <t xml:space="preserve">Motor Vehicle and Parts Dealers</t>
        </is>
      </c>
      <c t="inlineStr" r="J380">
        <is>
          <t xml:space="preserve">Wen Chen Karkhanis</t>
        </is>
      </c>
      <c t="inlineStr" r="L380">
        <is>
          <t xml:space="preserve">Including FF&amp;E $242,750</t>
        </is>
      </c>
    </row>
    <row r="381">
      <c t="str" r="A381" s="4">
        <f>HYPERLINK("https://linkbusiness.com/businesses-for-sale/LA04856/Sheet-Metal-Duct-And-Roofing-Fabrication-Custom-Shop","LA04856")</f>
      </c>
      <c t="inlineStr" r="B381">
        <is>
          <t xml:space="preserve">Sheet Metal Duct And Roofing Fabrication Custom Shop</t>
        </is>
      </c>
      <c r="C381" s="63">
        <v>125000</v>
      </c>
      <c r="D381" s="63">
        <v>6297500</v>
      </c>
      <c t="inlineStr" r="E381">
        <is>
          <t xml:space="preserve">Los Angeles County</t>
        </is>
      </c>
      <c r="F381" s="65">
        <v>0</v>
      </c>
      <c r="G381" s="65">
        <v>0</v>
      </c>
      <c t="inlineStr" r="H381">
        <is>
          <t xml:space="preserve">Manufacturing</t>
        </is>
      </c>
      <c t="inlineStr" r="I381">
        <is>
          <t xml:space="preserve">Fabricated Metal Product Manufacturing</t>
        </is>
      </c>
      <c t="inlineStr" r="J381">
        <is>
          <t xml:space="preserve">Giulio J Maresca</t>
        </is>
      </c>
      <c t="inlineStr" r="K381">
        <is>
          <t xml:space="preserve">Conrad Partida</t>
        </is>
      </c>
      <c t="inlineStr" r="L381">
        <is>
          <t xml:space="preserve">-----</t>
        </is>
      </c>
    </row>
    <row r="382">
      <c t="str" r="A382" s="4">
        <f>HYPERLINK("https://linkbusiness.com/businesses-for-sale/LA04858/Over-20-years-Established-Restaurant-W%252f-%24900K-Revenue-and-Good-Rent%2c-Belmont-Shore%2c-2nd-Street","LA04858")</f>
      </c>
      <c t="inlineStr" r="B382">
        <is>
          <t xml:space="preserve">Over 20 years Established Restaurant W/ $900K Revenue and Good Rent, Belmont Shore, 2nd Street</t>
        </is>
      </c>
      <c r="C382" s="63">
        <v>80000</v>
      </c>
      <c r="D382" s="63">
        <v>4030400</v>
      </c>
      <c t="inlineStr" r="E382">
        <is>
          <t xml:space="preserve">Los Angeles County</t>
        </is>
      </c>
      <c r="F382" s="65">
        <v>0</v>
      </c>
      <c r="G382" s="65">
        <v>0</v>
      </c>
      <c t="inlineStr" r="H382">
        <is>
          <t xml:space="preserve">Restaurant</t>
        </is>
      </c>
      <c t="inlineStr" r="I382">
        <is>
          <t xml:space="preserve">Food Services and Drinking Places</t>
        </is>
      </c>
      <c t="inlineStr" r="J382">
        <is>
          <t xml:space="preserve">Jim Moazez</t>
        </is>
      </c>
      <c t="inlineStr" r="L382">
        <is>
          <t xml:space="preserve">-----</t>
        </is>
      </c>
    </row>
    <row r="383">
      <c t="str" r="A383" s="4">
        <f>HYPERLINK("https://linkbusiness.com/businesses-for-sale/LA04859/Hollywood-Caf%c3%a9-%26-Restaurant-Local-Favorite-and-Great-Location-W%252f-2-Patios","LA04859")</f>
      </c>
      <c t="inlineStr" r="B383">
        <is>
          <t xml:space="preserve">Hollywood Café &amp; Restaurant Local Favorite and Great Location W/ 2 Patios</t>
        </is>
      </c>
      <c r="C383" s="63">
        <v>285000</v>
      </c>
      <c r="D383" s="63">
        <v>14358300</v>
      </c>
      <c t="inlineStr" r="E383">
        <is>
          <t xml:space="preserve">Los Angeles County</t>
        </is>
      </c>
      <c r="F383" s="65">
        <v>0</v>
      </c>
      <c r="G383" s="65">
        <v>0</v>
      </c>
      <c t="inlineStr" r="H383">
        <is>
          <t xml:space="preserve">Restaurant</t>
        </is>
      </c>
      <c t="inlineStr" r="I383">
        <is>
          <t xml:space="preserve">Food Services and Drinking Places</t>
        </is>
      </c>
      <c t="inlineStr" r="J383">
        <is>
          <t xml:space="preserve">Joe Khoury</t>
        </is>
      </c>
      <c t="inlineStr" r="L383">
        <is>
          <t xml:space="preserve">-----</t>
        </is>
      </c>
    </row>
    <row r="384">
      <c t="str" r="A384" s="4">
        <f>HYPERLINK("https://linkbusiness.com/businesses-for-sale/LA04860/6-Days-Breakfast-%26-Lunch-Cafe%2c-Great-Location","LA04860")</f>
      </c>
      <c t="inlineStr" r="B384">
        <is>
          <t xml:space="preserve">6 Days Breakfast &amp; Lunch Cafe, Great Location</t>
        </is>
      </c>
      <c r="C384" s="63">
        <v>175000</v>
      </c>
      <c r="D384" s="63">
        <v>8816500</v>
      </c>
      <c t="inlineStr" r="E384">
        <is>
          <t xml:space="preserve">Los Angeles County</t>
        </is>
      </c>
      <c r="F384" s="65">
        <v>0</v>
      </c>
      <c r="G384" s="63">
        <v>129000</v>
      </c>
      <c t="inlineStr" r="H384">
        <is>
          <t xml:space="preserve">Restaurant</t>
        </is>
      </c>
      <c t="inlineStr" r="I384">
        <is>
          <t xml:space="preserve">Food Services and Drinking Places</t>
        </is>
      </c>
      <c t="inlineStr" r="J384">
        <is>
          <t xml:space="preserve">Loren Hoffman</t>
        </is>
      </c>
      <c t="inlineStr" r="K384">
        <is>
          <t xml:space="preserve">Jim Moazez</t>
        </is>
      </c>
      <c t="inlineStr" r="L384">
        <is>
          <t xml:space="preserve">-----</t>
        </is>
      </c>
    </row>
    <row r="385">
      <c t="str" r="A385" s="4">
        <f>HYPERLINK("https://linkbusiness.com/businesses-for-sale/LA04861/Hi-Volume-Market-with-Kitchen-in-Orange-County","LA04861")</f>
      </c>
      <c t="inlineStr" r="B385">
        <is>
          <t xml:space="preserve">Hi Volume Market with Kitchen in Orange County</t>
        </is>
      </c>
      <c r="C385" s="63">
        <v>385000</v>
      </c>
      <c r="D385" s="63">
        <v>19396300</v>
      </c>
      <c t="inlineStr" r="E385">
        <is>
          <t xml:space="preserve">California</t>
        </is>
      </c>
      <c r="F385" s="65">
        <v>0</v>
      </c>
      <c r="G385" s="63">
        <v>168000</v>
      </c>
      <c t="inlineStr" r="H385">
        <is>
          <t xml:space="preserve">Retail Trade</t>
        </is>
      </c>
      <c t="inlineStr" r="I385">
        <is>
          <t xml:space="preserve">General Merchandise Stores</t>
        </is>
      </c>
      <c t="inlineStr" r="J385">
        <is>
          <t xml:space="preserve">Paul Suh</t>
        </is>
      </c>
      <c t="inlineStr" r="L385">
        <is>
          <t xml:space="preserve">-----</t>
        </is>
      </c>
    </row>
    <row r="386">
      <c t="str" r="A386" s="4">
        <f>HYPERLINK("https://linkbusiness.com/businesses-for-sale/LA04862/Franchise-Gym-Semi-Absentee-Ownership-Management-in-Place","LA04862")</f>
      </c>
      <c t="inlineStr" r="B386">
        <is>
          <t xml:space="preserve">Franchise Gym Semi Absentee Ownership Management in Place</t>
        </is>
      </c>
      <c r="C386" s="63">
        <v>167309</v>
      </c>
      <c r="D386" s="63">
        <v>8429027</v>
      </c>
      <c t="inlineStr" r="E386">
        <is>
          <t xml:space="preserve">Los Angeles County</t>
        </is>
      </c>
      <c r="F386" s="65">
        <v>0</v>
      </c>
      <c r="G386" s="63">
        <v>108232</v>
      </c>
      <c t="inlineStr" r="H386">
        <is>
          <t xml:space="preserve">Retail Trade</t>
        </is>
      </c>
      <c t="inlineStr" r="I386">
        <is>
          <t xml:space="preserve">Health and Personal Care Stores</t>
        </is>
      </c>
      <c t="inlineStr" r="J386">
        <is>
          <t xml:space="preserve">Ethan Skugrud</t>
        </is>
      </c>
      <c t="inlineStr" r="K386">
        <is>
          <t xml:space="preserve">Wes Lewison</t>
        </is>
      </c>
      <c t="inlineStr" r="L386">
        <is>
          <t xml:space="preserve">-----</t>
        </is>
      </c>
    </row>
    <row r="387">
      <c t="str" r="A387" s="4">
        <f>HYPERLINK("https://linkbusiness.com/businesses-for-sale/LA04863/Auto-Industry-Lead-Generation-Software-SaaS","LA04863")</f>
      </c>
      <c t="inlineStr" r="B387">
        <is>
          <t xml:space="preserve">Auto Industry Lead Generation Software SaaS</t>
        </is>
      </c>
      <c r="C387" s="63">
        <v>5000000</v>
      </c>
      <c r="D387" s="63">
        <v>251900000</v>
      </c>
      <c t="inlineStr" r="E387">
        <is>
          <t xml:space="preserve">California</t>
        </is>
      </c>
      <c r="F387" s="65">
        <v>0</v>
      </c>
      <c r="G387" s="65">
        <v>0</v>
      </c>
      <c t="inlineStr" r="H387">
        <is>
          <t xml:space="preserve">Professional, Scientific and Technical Services</t>
        </is>
      </c>
      <c t="inlineStr" r="I387">
        <is>
          <t xml:space="preserve">&lt;none&gt;</t>
        </is>
      </c>
      <c t="inlineStr" r="J387">
        <is>
          <t xml:space="preserve">Ethan Skugrud</t>
        </is>
      </c>
      <c t="inlineStr" r="K387">
        <is>
          <t xml:space="preserve">Wes Lewison</t>
        </is>
      </c>
      <c t="inlineStr" r="L387">
        <is>
          <t xml:space="preserve">-----</t>
        </is>
      </c>
    </row>
    <row r="388">
      <c t="str" r="A388" s="4">
        <f>HYPERLINK("https://linkbusiness.com/businesses-for-sale/LA04864/Portable-Solar-Tech-Smart-Phone-Cases","LA04864")</f>
      </c>
      <c t="inlineStr" r="B388">
        <is>
          <t xml:space="preserve">Portable Solar Tech Smart Phone Cases</t>
        </is>
      </c>
      <c r="C388" s="63">
        <v>1500000</v>
      </c>
      <c r="D388" s="63">
        <v>75570000</v>
      </c>
      <c t="inlineStr" r="E388">
        <is>
          <t xml:space="preserve">California</t>
        </is>
      </c>
      <c r="F388" s="65">
        <v>0</v>
      </c>
      <c r="G388" s="65">
        <v>0</v>
      </c>
      <c t="inlineStr" r="H388">
        <is>
          <t xml:space="preserve">Manufacturing</t>
        </is>
      </c>
      <c t="inlineStr" r="I388">
        <is>
          <t xml:space="preserve">Electrical Equipment, Appliance, and Component Manufacturing</t>
        </is>
      </c>
      <c t="inlineStr" r="J388">
        <is>
          <t xml:space="preserve">Ethan Skugrud</t>
        </is>
      </c>
      <c t="inlineStr" r="K388">
        <is>
          <t xml:space="preserve">Wes Lewison</t>
        </is>
      </c>
      <c t="inlineStr" r="L388">
        <is>
          <t xml:space="preserve">-----</t>
        </is>
      </c>
    </row>
    <row r="389">
      <c t="str" r="A389" s="4">
        <f>HYPERLINK("https://linkbusiness.com/businesses-for-sale/LA04867/1-Year-Brand-New-Breakfast-%26-Lunch-Cafe-with-Patio","LA04867")</f>
      </c>
      <c t="inlineStr" r="B389">
        <is>
          <t xml:space="preserve">1 Year Brand New Breakfast &amp; Lunch Cafe with Patio</t>
        </is>
      </c>
      <c r="C389" s="63">
        <v>150000</v>
      </c>
      <c r="D389" s="63">
        <v>7557000</v>
      </c>
      <c t="inlineStr" r="E389">
        <is>
          <t xml:space="preserve">Los Angeles County</t>
        </is>
      </c>
      <c r="F389" s="65">
        <v>0</v>
      </c>
      <c r="G389" s="65">
        <v>0</v>
      </c>
      <c t="inlineStr" r="H389">
        <is>
          <t xml:space="preserve">Restaurant</t>
        </is>
      </c>
      <c t="inlineStr" r="I389">
        <is>
          <t xml:space="preserve">Food Services and Drinking Places</t>
        </is>
      </c>
      <c t="inlineStr" r="J389">
        <is>
          <t xml:space="preserve">Jim Moazez</t>
        </is>
      </c>
      <c t="inlineStr" r="L389">
        <is>
          <t xml:space="preserve">-----</t>
        </is>
      </c>
    </row>
    <row r="390">
      <c t="str" r="A390" s="4">
        <f>HYPERLINK("https://linkbusiness.com/businesses-for-sale/LA04868/Neighborhood-Cafe-in-Ideal-Location%2c-Needs-New-Concept","LA04868")</f>
      </c>
      <c t="inlineStr" r="B390">
        <is>
          <t xml:space="preserve">Neighborhood Cafe in Ideal Location, Needs New Concept</t>
        </is>
      </c>
      <c r="C390" s="63">
        <v>45000</v>
      </c>
      <c r="D390" s="63">
        <v>2267100</v>
      </c>
      <c t="inlineStr" r="E390">
        <is>
          <t xml:space="preserve">Orange County</t>
        </is>
      </c>
      <c r="F390" s="65">
        <v>0</v>
      </c>
      <c r="G390" s="65">
        <v>0</v>
      </c>
      <c t="inlineStr" r="H390">
        <is>
          <t xml:space="preserve">Restaurant</t>
        </is>
      </c>
      <c t="inlineStr" r="I390">
        <is>
          <t xml:space="preserve">Food Services and Drinking Places</t>
        </is>
      </c>
      <c t="inlineStr" r="J390">
        <is>
          <t xml:space="preserve">Rafael Garcia</t>
        </is>
      </c>
      <c t="inlineStr" r="L390">
        <is>
          <t xml:space="preserve">Includes Inventory</t>
        </is>
      </c>
    </row>
    <row r="391">
      <c t="str" r="A391" s="4">
        <f>HYPERLINK("https://linkbusiness.com/businesses-for-sale/LA04869/Pizzeria-with-B%26W-LA-County","LA04869")</f>
      </c>
      <c t="inlineStr" r="B391">
        <is>
          <t xml:space="preserve">Pizzeria with B&amp;W LA County</t>
        </is>
      </c>
      <c r="C391" s="63">
        <v>165000</v>
      </c>
      <c r="D391" s="63">
        <v>8312700</v>
      </c>
      <c t="inlineStr" r="E391">
        <is>
          <t xml:space="preserve">Los Angeles County</t>
        </is>
      </c>
      <c r="F391" s="65">
        <v>0</v>
      </c>
      <c r="G391" s="63">
        <v>72000</v>
      </c>
      <c t="inlineStr" r="H391">
        <is>
          <t xml:space="preserve">Restaurant</t>
        </is>
      </c>
      <c t="inlineStr" r="I391">
        <is>
          <t xml:space="preserve">Food Services and Drinking Places</t>
        </is>
      </c>
      <c t="inlineStr" r="J391">
        <is>
          <t xml:space="preserve">Paul Suh</t>
        </is>
      </c>
      <c t="inlineStr" r="L391">
        <is>
          <t xml:space="preserve">-----</t>
        </is>
      </c>
    </row>
    <row r="392">
      <c t="str" r="A392" s="4">
        <f>HYPERLINK("https://linkbusiness.com/businesses-for-sale/LA04870/Beautiful-Massage-Salon-in-South-Bay-Area-for-Bargain-Sale","LA04870")</f>
      </c>
      <c t="inlineStr" r="B392">
        <is>
          <t xml:space="preserve">Beautiful Massage Salon in South Bay Area for Bargain Sale</t>
        </is>
      </c>
      <c r="C392" s="63">
        <v>38200</v>
      </c>
      <c r="D392" s="63">
        <v>1924516</v>
      </c>
      <c t="inlineStr" r="E392">
        <is>
          <t xml:space="preserve">East Los Angeles County</t>
        </is>
      </c>
      <c r="F392" s="65">
        <v>0</v>
      </c>
      <c r="G392" s="65">
        <v>0</v>
      </c>
      <c t="inlineStr" r="H392">
        <is>
          <t xml:space="preserve">Other Services (except public administration)</t>
        </is>
      </c>
      <c t="inlineStr" r="I392">
        <is>
          <t xml:space="preserve">Personal Care Services</t>
        </is>
      </c>
      <c t="inlineStr" r="J392">
        <is>
          <t xml:space="preserve">Nobuko Isoda</t>
        </is>
      </c>
      <c t="inlineStr" r="L392">
        <is>
          <t xml:space="preserve">Bargain Price!</t>
        </is>
      </c>
    </row>
    <row r="393">
      <c t="str" r="A393" s="4">
        <f>HYPERLINK("https://linkbusiness.com/businesses-for-sale/LA04871/High-Profit-Margin-Food-Truck-Business-Brings-You-the-Ultimate-NY-Deli-Experience!","LA04871")</f>
      </c>
      <c t="inlineStr" r="B393">
        <is>
          <t xml:space="preserve">High Profit Margin Food Truck Business Brings You the Ultimate NY Deli Experience!</t>
        </is>
      </c>
      <c r="C393" s="63">
        <v>1620000</v>
      </c>
      <c r="D393" s="63">
        <v>81615600</v>
      </c>
      <c t="inlineStr" r="E393">
        <is>
          <t xml:space="preserve">Los Angeles County</t>
        </is>
      </c>
      <c r="F393" s="65">
        <v>0</v>
      </c>
      <c r="G393" s="65">
        <v>0</v>
      </c>
      <c t="inlineStr" r="H393">
        <is>
          <t xml:space="preserve">Retail Trade</t>
        </is>
      </c>
      <c t="inlineStr" r="I393">
        <is>
          <t xml:space="preserve">Food and Beverage Stores</t>
        </is>
      </c>
      <c t="inlineStr" r="J393">
        <is>
          <t xml:space="preserve">Rafael Garcia</t>
        </is>
      </c>
      <c t="inlineStr" r="L393">
        <is>
          <t xml:space="preserve">-----</t>
        </is>
      </c>
    </row>
    <row r="394">
      <c t="str" r="A394" s="4">
        <f>HYPERLINK("https://linkbusiness.com/businesses-for-sale/LA04872/Great-Restaurant-Location-in-Venice-on-Main-Street-Fully-Equipped%2c-Asset-Sale-Only!","LA04872")</f>
      </c>
      <c t="inlineStr" r="B394">
        <is>
          <t xml:space="preserve">Great Restaurant Location in Venice on Main Street Fully Equipped, Asset Sale Only!</t>
        </is>
      </c>
      <c r="C394" s="63">
        <v>75000</v>
      </c>
      <c r="D394" s="63">
        <v>3778500</v>
      </c>
      <c t="inlineStr" r="E394">
        <is>
          <t xml:space="preserve">Los Angeles County</t>
        </is>
      </c>
      <c r="F394" s="65">
        <v>0</v>
      </c>
      <c r="G394" s="65">
        <v>0</v>
      </c>
      <c t="inlineStr" r="H394">
        <is>
          <t xml:space="preserve">Restaurant</t>
        </is>
      </c>
      <c t="inlineStr" r="I394">
        <is>
          <t xml:space="preserve">Food Services and Drinking Places</t>
        </is>
      </c>
      <c t="inlineStr" r="J394">
        <is>
          <t xml:space="preserve">Joe Khoury</t>
        </is>
      </c>
      <c t="inlineStr" r="L394">
        <is>
          <t xml:space="preserve">-----</t>
        </is>
      </c>
    </row>
    <row r="395">
      <c t="str" r="A395" s="4">
        <f>HYPERLINK("https://linkbusiness.com/businesses-for-sale/LA0498/","LA0498")</f>
      </c>
      <c t="inlineStr" r="B395">
        <is>
          <t xml:space="preserve">&lt;none&gt;</t>
        </is>
      </c>
      <c r="C395" s="63">
        <v>67000</v>
      </c>
      <c r="D395" s="63">
        <v>3375460</v>
      </c>
      <c t="inlineStr" r="E395">
        <is>
          <t xml:space="preserve">-----</t>
        </is>
      </c>
      <c r="F395" s="65">
        <v>0</v>
      </c>
      <c r="G395" s="65">
        <v>0</v>
      </c>
      <c t="inlineStr" r="H395">
        <is>
          <t xml:space="preserve">Retail Trade</t>
        </is>
      </c>
      <c t="inlineStr" r="I395">
        <is>
          <t xml:space="preserve">&lt;none&gt;</t>
        </is>
      </c>
      <c t="inlineStr" r="L395">
        <is>
          <t xml:space="preserve">-----</t>
        </is>
      </c>
    </row>
    <row r="396">
      <c t="str" r="A396" s="4">
        <f>HYPERLINK("https://linkbusiness.com/businesses-for-sale/LA0528/","LA0528")</f>
      </c>
      <c t="inlineStr" r="B396">
        <is>
          <t xml:space="preserve">&lt;none&gt;</t>
        </is>
      </c>
      <c r="C396" s="63">
        <v>150000</v>
      </c>
      <c r="D396" s="63">
        <v>7557000</v>
      </c>
      <c t="inlineStr" r="E396">
        <is>
          <t xml:space="preserve">-----</t>
        </is>
      </c>
      <c r="F396" s="65">
        <v>0</v>
      </c>
      <c r="G396" s="65">
        <v>0</v>
      </c>
      <c t="inlineStr" r="H396">
        <is>
          <t xml:space="preserve">&lt;none&gt;</t>
        </is>
      </c>
      <c t="inlineStr" r="I396">
        <is>
          <t xml:space="preserve">&lt;none&gt;</t>
        </is>
      </c>
      <c t="inlineStr" r="L396">
        <is>
          <t xml:space="preserve">-----</t>
        </is>
      </c>
    </row>
    <row r="397">
      <c t="str" r="A397" s="4">
        <f>HYPERLINK("https://linkbusiness.com/businesses-for-sale/LA0567/","LA0567")</f>
      </c>
      <c t="inlineStr" r="B397">
        <is>
          <t xml:space="preserve">&lt;none&gt;</t>
        </is>
      </c>
      <c r="C397" s="63">
        <v>395000</v>
      </c>
      <c r="D397" s="63">
        <v>19900100</v>
      </c>
      <c t="inlineStr" r="E397">
        <is>
          <t xml:space="preserve">-----</t>
        </is>
      </c>
      <c r="F397" s="65">
        <v>0</v>
      </c>
      <c r="G397" s="65">
        <v>0</v>
      </c>
      <c t="inlineStr" r="H397">
        <is>
          <t xml:space="preserve">Manufacturing</t>
        </is>
      </c>
      <c t="inlineStr" r="I397">
        <is>
          <t xml:space="preserve">&lt;none&gt;</t>
        </is>
      </c>
      <c t="inlineStr" r="L397">
        <is>
          <t xml:space="preserve">-----</t>
        </is>
      </c>
    </row>
    <row r="398">
      <c t="str" r="A398" s="4">
        <f>HYPERLINK("https://linkbusiness.com/businesses-for-sale/LA0599/","LA0599")</f>
      </c>
      <c t="inlineStr" r="B398">
        <is>
          <t xml:space="preserve">&lt;none&gt;</t>
        </is>
      </c>
      <c r="C398" s="63">
        <v>2000000</v>
      </c>
      <c r="D398" s="63">
        <v>100760000</v>
      </c>
      <c t="inlineStr" r="E398">
        <is>
          <t xml:space="preserve">-----</t>
        </is>
      </c>
      <c r="F398" s="65">
        <v>0</v>
      </c>
      <c r="G398" s="65">
        <v>0</v>
      </c>
      <c t="inlineStr" r="H398">
        <is>
          <t xml:space="preserve">&lt;none&gt;</t>
        </is>
      </c>
      <c t="inlineStr" r="I398">
        <is>
          <t xml:space="preserve">&lt;none&gt;</t>
        </is>
      </c>
      <c t="inlineStr" r="L398">
        <is>
          <t xml:space="preserve">-----</t>
        </is>
      </c>
    </row>
    <row r="399">
      <c t="str" r="A399" s="4">
        <f>HYPERLINK("https://linkbusiness.com/businesses-for-sale/LA0615/","LA0615")</f>
      </c>
      <c t="inlineStr" r="B399">
        <is>
          <t xml:space="preserve">&lt;none&gt;</t>
        </is>
      </c>
      <c r="C399" s="63">
        <v>485000</v>
      </c>
      <c r="D399" s="63">
        <v>24434300</v>
      </c>
      <c t="inlineStr" r="E399">
        <is>
          <t xml:space="preserve">-----</t>
        </is>
      </c>
      <c r="F399" s="65">
        <v>0</v>
      </c>
      <c r="G399" s="65">
        <v>0</v>
      </c>
      <c t="inlineStr" r="H399">
        <is>
          <t xml:space="preserve">Restaurant</t>
        </is>
      </c>
      <c t="inlineStr" r="I399">
        <is>
          <t xml:space="preserve">&lt;none&gt;</t>
        </is>
      </c>
      <c t="inlineStr" r="L399">
        <is>
          <t xml:space="preserve">-----</t>
        </is>
      </c>
    </row>
    <row r="400">
      <c t="str" r="A400" s="4">
        <f>HYPERLINK("https://linkbusiness.com/businesses-for-sale/LA0634/","LA0634")</f>
      </c>
      <c t="inlineStr" r="B400">
        <is>
          <t xml:space="preserve">&lt;none&gt;</t>
        </is>
      </c>
      <c r="C400" s="63">
        <v>60000</v>
      </c>
      <c r="D400" s="63">
        <v>3022800</v>
      </c>
      <c t="inlineStr" r="E400">
        <is>
          <t xml:space="preserve">-----</t>
        </is>
      </c>
      <c r="F400" s="65">
        <v>0</v>
      </c>
      <c r="G400" s="65">
        <v>0</v>
      </c>
      <c t="inlineStr" r="H400">
        <is>
          <t xml:space="preserve">&lt;none&gt;</t>
        </is>
      </c>
      <c t="inlineStr" r="I400">
        <is>
          <t xml:space="preserve">&lt;none&gt;</t>
        </is>
      </c>
      <c t="inlineStr" r="L400">
        <is>
          <t xml:space="preserve">-----</t>
        </is>
      </c>
    </row>
    <row r="401">
      <c t="str" r="A401" s="4">
        <f>HYPERLINK("https://linkbusiness.com/businesses-for-sale/LA0658/","LA0658")</f>
      </c>
      <c t="inlineStr" r="B401">
        <is>
          <t xml:space="preserve">&lt;none&gt;</t>
        </is>
      </c>
      <c r="C401" s="63">
        <v>1400000</v>
      </c>
      <c r="D401" s="63">
        <v>70532000</v>
      </c>
      <c t="inlineStr" r="E401">
        <is>
          <t xml:space="preserve">-----</t>
        </is>
      </c>
      <c r="F401" s="65">
        <v>0</v>
      </c>
      <c r="G401" s="65">
        <v>0</v>
      </c>
      <c t="inlineStr" r="H401">
        <is>
          <t xml:space="preserve">&lt;none&gt;</t>
        </is>
      </c>
      <c t="inlineStr" r="I401">
        <is>
          <t xml:space="preserve">&lt;none&gt;</t>
        </is>
      </c>
      <c t="inlineStr" r="L401">
        <is>
          <t xml:space="preserve">-----</t>
        </is>
      </c>
    </row>
    <row r="402">
      <c t="str" r="A402" s="4">
        <f>HYPERLINK("https://linkbusiness.com/businesses-for-sale/LA0671/","LA0671")</f>
      </c>
      <c t="inlineStr" r="B402">
        <is>
          <t xml:space="preserve">&lt;none&gt;</t>
        </is>
      </c>
      <c r="C402" s="63">
        <v>28000</v>
      </c>
      <c r="D402" s="63">
        <v>1410640</v>
      </c>
      <c t="inlineStr" r="E402">
        <is>
          <t xml:space="preserve">-----</t>
        </is>
      </c>
      <c r="F402" s="65">
        <v>0</v>
      </c>
      <c r="G402" s="65">
        <v>0</v>
      </c>
      <c t="inlineStr" r="H402">
        <is>
          <t xml:space="preserve">Restaurant</t>
        </is>
      </c>
      <c t="inlineStr" r="I402">
        <is>
          <t xml:space="preserve">&lt;none&gt;</t>
        </is>
      </c>
      <c t="inlineStr" r="L402">
        <is>
          <t xml:space="preserve">-----</t>
        </is>
      </c>
    </row>
    <row r="403">
      <c t="str" r="A403" s="4">
        <f>HYPERLINK("https://linkbusiness.com/businesses-for-sale/LA0768/","LA0768")</f>
      </c>
      <c t="inlineStr" r="B403">
        <is>
          <t xml:space="preserve">&lt;none&gt;</t>
        </is>
      </c>
      <c r="C403" s="63">
        <v>300000</v>
      </c>
      <c r="D403" s="63">
        <v>15114000</v>
      </c>
      <c t="inlineStr" r="E403">
        <is>
          <t xml:space="preserve">-----</t>
        </is>
      </c>
      <c r="F403" s="65">
        <v>0</v>
      </c>
      <c r="G403" s="65">
        <v>0</v>
      </c>
      <c t="inlineStr" r="H403">
        <is>
          <t xml:space="preserve">&lt;none&gt;</t>
        </is>
      </c>
      <c t="inlineStr" r="I403">
        <is>
          <t xml:space="preserve">&lt;none&gt;</t>
        </is>
      </c>
      <c t="inlineStr" r="L403">
        <is>
          <t xml:space="preserve">-----</t>
        </is>
      </c>
    </row>
    <row r="404">
      <c t="str" r="A404" s="4">
        <f>HYPERLINK("https://linkbusiness.com/businesses-for-sale/LA0862/","LA0862")</f>
      </c>
      <c t="inlineStr" r="B404">
        <is>
          <t xml:space="preserve">&lt;none&gt;</t>
        </is>
      </c>
      <c r="C404" s="63">
        <v>595000</v>
      </c>
      <c r="D404" s="63">
        <v>29976100</v>
      </c>
      <c t="inlineStr" r="E404">
        <is>
          <t xml:space="preserve">-----</t>
        </is>
      </c>
      <c r="F404" s="65">
        <v>0</v>
      </c>
      <c r="G404" s="65">
        <v>0</v>
      </c>
      <c t="inlineStr" r="H404">
        <is>
          <t xml:space="preserve">&lt;none&gt;</t>
        </is>
      </c>
      <c t="inlineStr" r="I404">
        <is>
          <t xml:space="preserve">&lt;none&gt;</t>
        </is>
      </c>
      <c t="inlineStr" r="L404">
        <is>
          <t xml:space="preserve">-----</t>
        </is>
      </c>
    </row>
    <row r="405">
      <c t="str" r="A405" s="4">
        <f>HYPERLINK("https://linkbusiness.com/businesses-for-sale/LA0875/","LA0875")</f>
      </c>
      <c t="inlineStr" r="B405">
        <is>
          <t xml:space="preserve">&lt;none&gt;</t>
        </is>
      </c>
      <c r="C405" s="63">
        <v>787500</v>
      </c>
      <c r="D405" s="63">
        <v>39674250</v>
      </c>
      <c t="inlineStr" r="E405">
        <is>
          <t xml:space="preserve">-----</t>
        </is>
      </c>
      <c r="F405" s="65">
        <v>0</v>
      </c>
      <c r="G405" s="65">
        <v>0</v>
      </c>
      <c t="inlineStr" r="H405">
        <is>
          <t xml:space="preserve">&lt;none&gt;</t>
        </is>
      </c>
      <c t="inlineStr" r="I405">
        <is>
          <t xml:space="preserve">&lt;none&gt;</t>
        </is>
      </c>
      <c t="inlineStr" r="L405">
        <is>
          <t xml:space="preserve">-----</t>
        </is>
      </c>
    </row>
    <row r="406">
      <c t="str" r="A406" s="4">
        <f>HYPERLINK("https://linkbusiness.com/businesses-for-sale/LA0969/","LA0969")</f>
      </c>
      <c t="inlineStr" r="B406">
        <is>
          <t xml:space="preserve">&lt;none&gt;</t>
        </is>
      </c>
      <c r="C406" s="63">
        <v>500000</v>
      </c>
      <c r="D406" s="63">
        <v>25190000</v>
      </c>
      <c t="inlineStr" r="E406">
        <is>
          <t xml:space="preserve">-----</t>
        </is>
      </c>
      <c r="F406" s="65">
        <v>0</v>
      </c>
      <c r="G406" s="65">
        <v>0</v>
      </c>
      <c t="inlineStr" r="H406">
        <is>
          <t xml:space="preserve">Other Services (except public administration)</t>
        </is>
      </c>
      <c t="inlineStr" r="I406">
        <is>
          <t xml:space="preserve">&lt;none&gt;</t>
        </is>
      </c>
      <c t="inlineStr" r="L406">
        <is>
          <t xml:space="preserve">-----</t>
        </is>
      </c>
    </row>
    <row r="407">
      <c t="str" r="A407" s="4">
        <f>HYPERLINK("https://linkbusiness.com/businesses-for-sale/LA0971/","LA0971")</f>
      </c>
      <c t="inlineStr" r="B407">
        <is>
          <t xml:space="preserve">&lt;none&gt;</t>
        </is>
      </c>
      <c r="C407" s="63">
        <v>250000</v>
      </c>
      <c r="D407" s="63">
        <v>12595000</v>
      </c>
      <c t="inlineStr" r="E407">
        <is>
          <t xml:space="preserve">-----</t>
        </is>
      </c>
      <c r="F407" s="65">
        <v>0</v>
      </c>
      <c r="G407" s="65">
        <v>0</v>
      </c>
      <c t="inlineStr" r="H407">
        <is>
          <t xml:space="preserve">&lt;none&gt;</t>
        </is>
      </c>
      <c t="inlineStr" r="I407">
        <is>
          <t xml:space="preserve">&lt;none&gt;</t>
        </is>
      </c>
      <c t="inlineStr" r="L407">
        <is>
          <t xml:space="preserve">-----</t>
        </is>
      </c>
    </row>
    <row r="408">
      <c t="str" r="A408" s="4">
        <f>HYPERLINK("https://linkbusiness.com/businesses-for-sale/LA1025/","LA1025")</f>
      </c>
      <c t="inlineStr" r="B408">
        <is>
          <t xml:space="preserve">&lt;none&gt;</t>
        </is>
      </c>
      <c r="C408" s="63">
        <v>950000</v>
      </c>
      <c r="D408" s="63">
        <v>47861000</v>
      </c>
      <c t="inlineStr" r="E408">
        <is>
          <t xml:space="preserve">-----</t>
        </is>
      </c>
      <c r="F408" s="65">
        <v>0</v>
      </c>
      <c r="G408" s="65">
        <v>0</v>
      </c>
      <c t="inlineStr" r="H408">
        <is>
          <t xml:space="preserve">&lt;none&gt;</t>
        </is>
      </c>
      <c t="inlineStr" r="I408">
        <is>
          <t xml:space="preserve">&lt;none&gt;</t>
        </is>
      </c>
      <c t="inlineStr" r="L408">
        <is>
          <t xml:space="preserve">-----</t>
        </is>
      </c>
    </row>
    <row r="409">
      <c t="str" r="A409" s="4">
        <f>HYPERLINK("https://linkbusiness.com/businesses-for-sale/LA1052/","LA1052")</f>
      </c>
      <c t="inlineStr" r="B409">
        <is>
          <t xml:space="preserve">&lt;none&gt;</t>
        </is>
      </c>
      <c r="C409" s="63">
        <v>195000</v>
      </c>
      <c r="D409" s="63">
        <v>9824100</v>
      </c>
      <c t="inlineStr" r="E409">
        <is>
          <t xml:space="preserve">-----</t>
        </is>
      </c>
      <c r="F409" s="65">
        <v>0</v>
      </c>
      <c r="G409" s="65">
        <v>0</v>
      </c>
      <c t="inlineStr" r="H409">
        <is>
          <t xml:space="preserve">&lt;none&gt;</t>
        </is>
      </c>
      <c t="inlineStr" r="I409">
        <is>
          <t xml:space="preserve">&lt;none&gt;</t>
        </is>
      </c>
      <c t="inlineStr" r="L409">
        <is>
          <t xml:space="preserve">-----</t>
        </is>
      </c>
    </row>
    <row r="410">
      <c t="str" r="A410" s="4">
        <f>HYPERLINK("https://linkbusiness.com/businesses-for-sale/LA1106/","LA1106")</f>
      </c>
      <c t="inlineStr" r="B410">
        <is>
          <t xml:space="preserve">&lt;none&gt;</t>
        </is>
      </c>
      <c r="C410" s="63">
        <v>720000</v>
      </c>
      <c r="D410" s="63">
        <v>36273600</v>
      </c>
      <c t="inlineStr" r="E410">
        <is>
          <t xml:space="preserve">-----</t>
        </is>
      </c>
      <c r="F410" s="65">
        <v>0</v>
      </c>
      <c r="G410" s="65">
        <v>0</v>
      </c>
      <c t="inlineStr" r="H410">
        <is>
          <t xml:space="preserve">Manufacturing</t>
        </is>
      </c>
      <c t="inlineStr" r="I410">
        <is>
          <t xml:space="preserve">&lt;none&gt;</t>
        </is>
      </c>
      <c t="inlineStr" r="L410">
        <is>
          <t xml:space="preserve">-----</t>
        </is>
      </c>
    </row>
    <row r="411">
      <c t="str" r="A411" s="4">
        <f>HYPERLINK("https://linkbusiness.com/businesses-for-sale/LA1270/","LA1270")</f>
      </c>
      <c t="inlineStr" r="B411">
        <is>
          <t xml:space="preserve">&lt;none&gt;</t>
        </is>
      </c>
      <c r="C411" s="63">
        <v>200000</v>
      </c>
      <c r="D411" s="63">
        <v>10076000</v>
      </c>
      <c t="inlineStr" r="E411">
        <is>
          <t xml:space="preserve">-----</t>
        </is>
      </c>
      <c r="F411" s="65">
        <v>0</v>
      </c>
      <c r="G411" s="65">
        <v>0</v>
      </c>
      <c t="inlineStr" r="H411">
        <is>
          <t xml:space="preserve">&lt;none&gt;</t>
        </is>
      </c>
      <c t="inlineStr" r="I411">
        <is>
          <t xml:space="preserve">&lt;none&gt;</t>
        </is>
      </c>
      <c t="inlineStr" r="L411">
        <is>
          <t xml:space="preserve">-----</t>
        </is>
      </c>
    </row>
    <row r="412">
      <c t="str" r="A412" s="4">
        <f>HYPERLINK("https://linkbusiness.com/businesses-for-sale/LA1305/","LA1305")</f>
      </c>
      <c t="inlineStr" r="B412">
        <is>
          <t xml:space="preserve">&lt;none&gt;</t>
        </is>
      </c>
      <c r="C412" s="63">
        <v>550000</v>
      </c>
      <c r="D412" s="63">
        <v>27709000</v>
      </c>
      <c t="inlineStr" r="E412">
        <is>
          <t xml:space="preserve">-----</t>
        </is>
      </c>
      <c r="F412" s="65">
        <v>0</v>
      </c>
      <c r="G412" s="65">
        <v>0</v>
      </c>
      <c t="inlineStr" r="H412">
        <is>
          <t xml:space="preserve">&lt;none&gt;</t>
        </is>
      </c>
      <c t="inlineStr" r="I412">
        <is>
          <t xml:space="preserve">&lt;none&gt;</t>
        </is>
      </c>
      <c t="inlineStr" r="L412">
        <is>
          <t xml:space="preserve">-----</t>
        </is>
      </c>
    </row>
    <row r="413">
      <c t="str" r="A413" s="4">
        <f>HYPERLINK("https://linkbusiness.com/businesses-for-sale/LA1342/","LA1342")</f>
      </c>
      <c t="inlineStr" r="B413">
        <is>
          <t xml:space="preserve">&lt;none&gt;</t>
        </is>
      </c>
      <c r="C413" s="63">
        <v>875000</v>
      </c>
      <c r="D413" s="63">
        <v>44082500</v>
      </c>
      <c t="inlineStr" r="E413">
        <is>
          <t xml:space="preserve">-----</t>
        </is>
      </c>
      <c r="F413" s="65">
        <v>0</v>
      </c>
      <c r="G413" s="65">
        <v>0</v>
      </c>
      <c t="inlineStr" r="H413">
        <is>
          <t xml:space="preserve">Restaurant</t>
        </is>
      </c>
      <c t="inlineStr" r="I413">
        <is>
          <t xml:space="preserve">&lt;none&gt;</t>
        </is>
      </c>
      <c t="inlineStr" r="L413">
        <is>
          <t xml:space="preserve">-----</t>
        </is>
      </c>
    </row>
    <row r="414">
      <c t="str" r="A414" s="4">
        <f>HYPERLINK("https://linkbusiness.com/businesses-for-sale/LA1462/","LA1462")</f>
      </c>
      <c t="inlineStr" r="B414">
        <is>
          <t xml:space="preserve">&lt;none&gt;</t>
        </is>
      </c>
      <c r="C414" s="63">
        <v>125000</v>
      </c>
      <c r="D414" s="63">
        <v>6297500</v>
      </c>
      <c t="inlineStr" r="E414">
        <is>
          <t xml:space="preserve">-----</t>
        </is>
      </c>
      <c r="F414" s="65">
        <v>0</v>
      </c>
      <c r="G414" s="65">
        <v>0</v>
      </c>
      <c t="inlineStr" r="H414">
        <is>
          <t xml:space="preserve">&lt;none&gt;</t>
        </is>
      </c>
      <c t="inlineStr" r="I414">
        <is>
          <t xml:space="preserve">&lt;none&gt;</t>
        </is>
      </c>
      <c t="inlineStr" r="L414">
        <is>
          <t xml:space="preserve">-----</t>
        </is>
      </c>
    </row>
    <row r="415">
      <c t="str" r="A415" s="4">
        <f>HYPERLINK("https://linkbusiness.com/businesses-for-sale/LA1569/","LA1569")</f>
      </c>
      <c t="inlineStr" r="B415">
        <is>
          <t xml:space="preserve">&lt;none&gt;</t>
        </is>
      </c>
      <c r="C415" s="63">
        <v>250000</v>
      </c>
      <c r="D415" s="63">
        <v>12595000</v>
      </c>
      <c t="inlineStr" r="E415">
        <is>
          <t xml:space="preserve">-----</t>
        </is>
      </c>
      <c r="F415" s="65">
        <v>0</v>
      </c>
      <c r="G415" s="65">
        <v>0</v>
      </c>
      <c t="inlineStr" r="H415">
        <is>
          <t xml:space="preserve">&lt;none&gt;</t>
        </is>
      </c>
      <c t="inlineStr" r="I415">
        <is>
          <t xml:space="preserve">&lt;none&gt;</t>
        </is>
      </c>
      <c t="inlineStr" r="L415">
        <is>
          <t xml:space="preserve">-----</t>
        </is>
      </c>
    </row>
    <row r="416">
      <c t="str" r="A416" s="4">
        <f>HYPERLINK("https://linkbusiness.com/businesses-for-sale/LA1591/","LA1591")</f>
      </c>
      <c t="inlineStr" r="B416">
        <is>
          <t xml:space="preserve">&lt;none&gt;</t>
        </is>
      </c>
      <c r="C416" s="63">
        <v>525000</v>
      </c>
      <c r="D416" s="63">
        <v>26449500</v>
      </c>
      <c t="inlineStr" r="E416">
        <is>
          <t xml:space="preserve">-----</t>
        </is>
      </c>
      <c r="F416" s="65">
        <v>0</v>
      </c>
      <c r="G416" s="65">
        <v>0</v>
      </c>
      <c t="inlineStr" r="H416">
        <is>
          <t xml:space="preserve">&lt;none&gt;</t>
        </is>
      </c>
      <c t="inlineStr" r="I416">
        <is>
          <t xml:space="preserve">&lt;none&gt;</t>
        </is>
      </c>
      <c t="inlineStr" r="L416">
        <is>
          <t xml:space="preserve">-----</t>
        </is>
      </c>
    </row>
    <row r="417">
      <c t="str" r="A417" s="4">
        <f>HYPERLINK("https://linkbusiness.com/businesses-for-sale/LA1635/","LA1635")</f>
      </c>
      <c t="inlineStr" r="B417">
        <is>
          <t xml:space="preserve">&lt;none&gt;</t>
        </is>
      </c>
      <c r="C417" s="63">
        <v>150000</v>
      </c>
      <c r="D417" s="63">
        <v>7557000</v>
      </c>
      <c t="inlineStr" r="E417">
        <is>
          <t xml:space="preserve">-----</t>
        </is>
      </c>
      <c r="F417" s="65">
        <v>0</v>
      </c>
      <c r="G417" s="65">
        <v>0</v>
      </c>
      <c t="inlineStr" r="H417">
        <is>
          <t xml:space="preserve">Retail Trade</t>
        </is>
      </c>
      <c t="inlineStr" r="I417">
        <is>
          <t xml:space="preserve">&lt;none&gt;</t>
        </is>
      </c>
      <c t="inlineStr" r="L417">
        <is>
          <t xml:space="preserve">-----</t>
        </is>
      </c>
    </row>
    <row r="418">
      <c t="str" r="A418" s="4">
        <f>HYPERLINK("https://linkbusiness.com/businesses-for-sale/LA1743/","LA1743")</f>
      </c>
      <c t="inlineStr" r="B418">
        <is>
          <t xml:space="preserve">&lt;none&gt;</t>
        </is>
      </c>
      <c r="C418" s="63">
        <v>425000</v>
      </c>
      <c r="D418" s="63">
        <v>21411500</v>
      </c>
      <c t="inlineStr" r="E418">
        <is>
          <t xml:space="preserve">-----</t>
        </is>
      </c>
      <c r="F418" s="65">
        <v>0</v>
      </c>
      <c r="G418" s="65">
        <v>0</v>
      </c>
      <c t="inlineStr" r="H418">
        <is>
          <t xml:space="preserve">&lt;none&gt;</t>
        </is>
      </c>
      <c t="inlineStr" r="I418">
        <is>
          <t xml:space="preserve">&lt;none&gt;</t>
        </is>
      </c>
      <c t="inlineStr" r="L418">
        <is>
          <t xml:space="preserve">-----</t>
        </is>
      </c>
    </row>
    <row r="419">
      <c t="str" r="A419" s="4">
        <f>HYPERLINK("https://linkbusiness.com/businesses-for-sale/LA1783/","LA1783")</f>
      </c>
      <c t="inlineStr" r="B419">
        <is>
          <t xml:space="preserve">&lt;none&gt;</t>
        </is>
      </c>
      <c r="C419" s="63">
        <v>75000</v>
      </c>
      <c r="D419" s="63">
        <v>3778500</v>
      </c>
      <c t="inlineStr" r="E419">
        <is>
          <t xml:space="preserve">-----</t>
        </is>
      </c>
      <c r="F419" s="65">
        <v>0</v>
      </c>
      <c r="G419" s="65">
        <v>0</v>
      </c>
      <c t="inlineStr" r="H419">
        <is>
          <t xml:space="preserve">Retail Trade</t>
        </is>
      </c>
      <c t="inlineStr" r="I419">
        <is>
          <t xml:space="preserve">&lt;none&gt;</t>
        </is>
      </c>
      <c t="inlineStr" r="L419">
        <is>
          <t xml:space="preserve">-----</t>
        </is>
      </c>
    </row>
    <row r="420">
      <c t="str" r="A420" s="4">
        <f>HYPERLINK("https://linkbusiness.com/businesses-for-sale/LA1799/","LA1799")</f>
      </c>
      <c t="inlineStr" r="B420">
        <is>
          <t xml:space="preserve">&lt;none&gt;</t>
        </is>
      </c>
      <c r="C420" s="63">
        <v>1800000</v>
      </c>
      <c r="D420" s="63">
        <v>90684000</v>
      </c>
      <c t="inlineStr" r="E420">
        <is>
          <t xml:space="preserve">-----</t>
        </is>
      </c>
      <c r="F420" s="65">
        <v>0</v>
      </c>
      <c r="G420" s="65">
        <v>0</v>
      </c>
      <c t="inlineStr" r="H420">
        <is>
          <t xml:space="preserve">Restaurant</t>
        </is>
      </c>
      <c t="inlineStr" r="I420">
        <is>
          <t xml:space="preserve">&lt;none&gt;</t>
        </is>
      </c>
      <c t="inlineStr" r="L420">
        <is>
          <t xml:space="preserve">-----</t>
        </is>
      </c>
    </row>
    <row r="421">
      <c t="str" r="A421" s="4">
        <f>HYPERLINK("https://linkbusiness.com/businesses-for-sale/LA1817/","LA1817")</f>
      </c>
      <c t="inlineStr" r="B421">
        <is>
          <t xml:space="preserve">&lt;none&gt;</t>
        </is>
      </c>
      <c r="C421" s="63">
        <v>200000</v>
      </c>
      <c r="D421" s="63">
        <v>10076000</v>
      </c>
      <c t="inlineStr" r="E421">
        <is>
          <t xml:space="preserve">-----</t>
        </is>
      </c>
      <c r="F421" s="65">
        <v>0</v>
      </c>
      <c r="G421" s="65">
        <v>0</v>
      </c>
      <c t="inlineStr" r="H421">
        <is>
          <t xml:space="preserve">Manufacturing</t>
        </is>
      </c>
      <c t="inlineStr" r="I421">
        <is>
          <t xml:space="preserve">&lt;none&gt;</t>
        </is>
      </c>
      <c t="inlineStr" r="L421">
        <is>
          <t xml:space="preserve">-----</t>
        </is>
      </c>
    </row>
    <row r="422">
      <c t="str" r="A422" s="4">
        <f>HYPERLINK("https://linkbusiness.com/businesses-for-sale/LA1828/","LA1828")</f>
      </c>
      <c t="inlineStr" r="B422">
        <is>
          <t xml:space="preserve">&lt;none&gt;</t>
        </is>
      </c>
      <c r="C422" s="63">
        <v>275000</v>
      </c>
      <c r="D422" s="63">
        <v>13854500</v>
      </c>
      <c t="inlineStr" r="E422">
        <is>
          <t xml:space="preserve">-----</t>
        </is>
      </c>
      <c r="F422" s="65">
        <v>0</v>
      </c>
      <c r="G422" s="65">
        <v>0</v>
      </c>
      <c t="inlineStr" r="H422">
        <is>
          <t xml:space="preserve">&lt;none&gt;</t>
        </is>
      </c>
      <c t="inlineStr" r="I422">
        <is>
          <t xml:space="preserve">&lt;none&gt;</t>
        </is>
      </c>
      <c t="inlineStr" r="L422">
        <is>
          <t xml:space="preserve">-----</t>
        </is>
      </c>
    </row>
    <row r="423">
      <c t="str" r="A423" s="4">
        <f>HYPERLINK("https://linkbusiness.com/businesses-for-sale/LA1842/","LA1842")</f>
      </c>
      <c t="inlineStr" r="B423">
        <is>
          <t xml:space="preserve">&lt;none&gt;</t>
        </is>
      </c>
      <c r="C423" s="63">
        <v>295000</v>
      </c>
      <c r="D423" s="63">
        <v>14862100</v>
      </c>
      <c t="inlineStr" r="E423">
        <is>
          <t xml:space="preserve">-----</t>
        </is>
      </c>
      <c r="F423" s="65">
        <v>0</v>
      </c>
      <c r="G423" s="65">
        <v>0</v>
      </c>
      <c t="inlineStr" r="H423">
        <is>
          <t xml:space="preserve">Manufacturing</t>
        </is>
      </c>
      <c t="inlineStr" r="I423">
        <is>
          <t xml:space="preserve">&lt;none&gt;</t>
        </is>
      </c>
      <c t="inlineStr" r="L423">
        <is>
          <t xml:space="preserve">-----</t>
        </is>
      </c>
    </row>
    <row r="424">
      <c t="str" r="A424" s="4">
        <f>HYPERLINK("https://linkbusiness.com/businesses-for-sale/LA1890/Fast-food-Restaurant-in-Food-court-at-busy-Shoppin","LA1890")</f>
      </c>
      <c t="inlineStr" r="B424">
        <is>
          <t xml:space="preserve">Fast food Restaurant in Food court at busy Shoppin</t>
        </is>
      </c>
      <c r="C424" s="63">
        <v>119000</v>
      </c>
      <c r="D424" s="63">
        <v>5995220</v>
      </c>
      <c t="inlineStr" r="E424">
        <is>
          <t xml:space="preserve">-----</t>
        </is>
      </c>
      <c r="F424" s="65">
        <v>0</v>
      </c>
      <c r="G424" s="65">
        <v>0</v>
      </c>
      <c t="inlineStr" r="H424">
        <is>
          <t xml:space="preserve">Other Services (except public administration)</t>
        </is>
      </c>
      <c t="inlineStr" r="I424">
        <is>
          <t xml:space="preserve">&lt;none&gt;</t>
        </is>
      </c>
      <c t="inlineStr" r="L424">
        <is>
          <t xml:space="preserve">-----</t>
        </is>
      </c>
    </row>
    <row r="425">
      <c t="str" r="A425" s="4">
        <f>HYPERLINK("https://linkbusiness.com/businesses-for-sale/LA1927/Cell-Phone-Retail","LA1927")</f>
      </c>
      <c t="inlineStr" r="B425">
        <is>
          <t xml:space="preserve">Cell Phone Retail</t>
        </is>
      </c>
      <c r="C425" s="63">
        <v>100000</v>
      </c>
      <c r="D425" s="63">
        <v>5038000</v>
      </c>
      <c t="inlineStr" r="E425">
        <is>
          <t xml:space="preserve">-----</t>
        </is>
      </c>
      <c r="F425" s="65">
        <v>0</v>
      </c>
      <c r="G425" s="65">
        <v>0</v>
      </c>
      <c t="inlineStr" r="H425">
        <is>
          <t xml:space="preserve">Other Services (except public administration)</t>
        </is>
      </c>
      <c t="inlineStr" r="I425">
        <is>
          <t xml:space="preserve">&lt;none&gt;</t>
        </is>
      </c>
      <c t="inlineStr" r="L425">
        <is>
          <t xml:space="preserve">-----</t>
        </is>
      </c>
    </row>
    <row r="426">
      <c t="str" r="A426" s="4">
        <f>HYPERLINK("https://linkbusiness.com/businesses-for-sale/LA1933/","LA1933")</f>
      </c>
      <c t="inlineStr" r="B426">
        <is>
          <t xml:space="preserve">&lt;none&gt;</t>
        </is>
      </c>
      <c r="C426" s="63">
        <v>675000</v>
      </c>
      <c r="D426" s="63">
        <v>34006500</v>
      </c>
      <c t="inlineStr" r="E426">
        <is>
          <t xml:space="preserve">-----</t>
        </is>
      </c>
      <c r="F426" s="65">
        <v>0</v>
      </c>
      <c r="G426" s="65">
        <v>0</v>
      </c>
      <c t="inlineStr" r="H426">
        <is>
          <t xml:space="preserve">Manufacturing</t>
        </is>
      </c>
      <c t="inlineStr" r="I426">
        <is>
          <t xml:space="preserve">&lt;none&gt;</t>
        </is>
      </c>
      <c t="inlineStr" r="L426">
        <is>
          <t xml:space="preserve">-----</t>
        </is>
      </c>
    </row>
    <row r="427">
      <c t="str" r="A427" s="4">
        <f>HYPERLINK("https://linkbusiness.com/businesses-for-sale/LA1934/","LA1934")</f>
      </c>
      <c t="inlineStr" r="B427">
        <is>
          <t xml:space="preserve">&lt;none&gt;</t>
        </is>
      </c>
      <c r="C427" s="63">
        <v>449000</v>
      </c>
      <c r="D427" s="63">
        <v>22620620</v>
      </c>
      <c t="inlineStr" r="E427">
        <is>
          <t xml:space="preserve">-----</t>
        </is>
      </c>
      <c r="F427" s="65">
        <v>0</v>
      </c>
      <c r="G427" s="65">
        <v>0</v>
      </c>
      <c t="inlineStr" r="H427">
        <is>
          <t xml:space="preserve">Other Services (except public administration)</t>
        </is>
      </c>
      <c t="inlineStr" r="I427">
        <is>
          <t xml:space="preserve">&lt;none&gt;</t>
        </is>
      </c>
      <c t="inlineStr" r="L427">
        <is>
          <t xml:space="preserve">-----</t>
        </is>
      </c>
    </row>
    <row r="428">
      <c t="str" r="A428" s="4">
        <f>HYPERLINK("https://linkbusiness.com/businesses-for-sale/LA1977/","LA1977")</f>
      </c>
      <c t="inlineStr" r="B428">
        <is>
          <t xml:space="preserve">&lt;none&gt;</t>
        </is>
      </c>
      <c r="C428" s="63">
        <v>325000</v>
      </c>
      <c r="D428" s="63">
        <v>16373500</v>
      </c>
      <c t="inlineStr" r="E428">
        <is>
          <t xml:space="preserve">-----</t>
        </is>
      </c>
      <c r="F428" s="65">
        <v>0</v>
      </c>
      <c r="G428" s="65">
        <v>0</v>
      </c>
      <c t="inlineStr" r="H428">
        <is>
          <t xml:space="preserve">&lt;none&gt;</t>
        </is>
      </c>
      <c t="inlineStr" r="I428">
        <is>
          <t xml:space="preserve">&lt;none&gt;</t>
        </is>
      </c>
      <c t="inlineStr" r="L428">
        <is>
          <t xml:space="preserve">-----</t>
        </is>
      </c>
    </row>
    <row r="429">
      <c t="str" r="A429" s="4">
        <f>HYPERLINK("https://linkbusiness.com/businesses-for-sale/LA1984/","LA1984")</f>
      </c>
      <c t="inlineStr" r="B429">
        <is>
          <t xml:space="preserve">&lt;none&gt;</t>
        </is>
      </c>
      <c r="C429" s="63">
        <v>110000</v>
      </c>
      <c r="D429" s="63">
        <v>5541800</v>
      </c>
      <c t="inlineStr" r="E429">
        <is>
          <t xml:space="preserve">-----</t>
        </is>
      </c>
      <c r="F429" s="65">
        <v>0</v>
      </c>
      <c r="G429" s="65">
        <v>0</v>
      </c>
      <c t="inlineStr" r="H429">
        <is>
          <t xml:space="preserve">Restaurant</t>
        </is>
      </c>
      <c t="inlineStr" r="I429">
        <is>
          <t xml:space="preserve">&lt;none&gt;</t>
        </is>
      </c>
      <c t="inlineStr" r="L429">
        <is>
          <t xml:space="preserve">-----</t>
        </is>
      </c>
    </row>
    <row r="430">
      <c t="str" r="A430" s="4">
        <f>HYPERLINK("https://linkbusiness.com/businesses-for-sale/LA2046/","LA2046")</f>
      </c>
      <c t="inlineStr" r="B430">
        <is>
          <t xml:space="preserve">&lt;none&gt;</t>
        </is>
      </c>
      <c r="C430" s="63">
        <v>150000</v>
      </c>
      <c r="D430" s="63">
        <v>7557000</v>
      </c>
      <c t="inlineStr" r="E430">
        <is>
          <t xml:space="preserve">-----</t>
        </is>
      </c>
      <c r="F430" s="65">
        <v>0</v>
      </c>
      <c r="G430" s="65">
        <v>0</v>
      </c>
      <c t="inlineStr" r="H430">
        <is>
          <t xml:space="preserve">Restaurant</t>
        </is>
      </c>
      <c t="inlineStr" r="I430">
        <is>
          <t xml:space="preserve">&lt;none&gt;</t>
        </is>
      </c>
      <c t="inlineStr" r="L430">
        <is>
          <t xml:space="preserve">-----</t>
        </is>
      </c>
    </row>
    <row r="431">
      <c t="str" r="A431" s="4">
        <f>HYPERLINK("https://linkbusiness.com/businesses-for-sale/LA2080/Mrs-Fields-Franchise","LA2080")</f>
      </c>
      <c t="inlineStr" r="B431">
        <is>
          <t xml:space="preserve">Mrs. Fields Franchise</t>
        </is>
      </c>
      <c r="C431" s="63">
        <v>380000</v>
      </c>
      <c r="D431" s="63">
        <v>19144400</v>
      </c>
      <c t="inlineStr" r="E431">
        <is>
          <t xml:space="preserve">-----</t>
        </is>
      </c>
      <c r="F431" s="65">
        <v>0</v>
      </c>
      <c r="G431" s="65">
        <v>0</v>
      </c>
      <c t="inlineStr" r="H431">
        <is>
          <t xml:space="preserve">Retail Trade</t>
        </is>
      </c>
      <c t="inlineStr" r="I431">
        <is>
          <t xml:space="preserve">&lt;none&gt;</t>
        </is>
      </c>
      <c t="inlineStr" r="L431">
        <is>
          <t xml:space="preserve">-----</t>
        </is>
      </c>
    </row>
    <row r="432">
      <c t="str" r="A432" s="4">
        <f>HYPERLINK("https://linkbusiness.com/businesses-for-sale/LA2107/","LA2107")</f>
      </c>
      <c t="inlineStr" r="B432">
        <is>
          <t xml:space="preserve">&lt;none&gt;</t>
        </is>
      </c>
      <c r="C432" s="63">
        <v>574000</v>
      </c>
      <c r="D432" s="63">
        <v>28918120</v>
      </c>
      <c t="inlineStr" r="E432">
        <is>
          <t xml:space="preserve">-----</t>
        </is>
      </c>
      <c r="F432" s="65">
        <v>0</v>
      </c>
      <c r="G432" s="65">
        <v>0</v>
      </c>
      <c t="inlineStr" r="H432">
        <is>
          <t xml:space="preserve">&lt;none&gt;</t>
        </is>
      </c>
      <c t="inlineStr" r="I432">
        <is>
          <t xml:space="preserve">&lt;none&gt;</t>
        </is>
      </c>
      <c t="inlineStr" r="L432">
        <is>
          <t xml:space="preserve">-----</t>
        </is>
      </c>
    </row>
    <row r="433">
      <c t="str" r="A433" s="4">
        <f>HYPERLINK("https://linkbusiness.com/businesses-for-sale/LA2134/","LA2134")</f>
      </c>
      <c t="inlineStr" r="B433">
        <is>
          <t xml:space="preserve">&lt;none&gt;</t>
        </is>
      </c>
      <c r="C433" s="63">
        <v>550000</v>
      </c>
      <c r="D433" s="63">
        <v>27709000</v>
      </c>
      <c t="inlineStr" r="E433">
        <is>
          <t xml:space="preserve">-----</t>
        </is>
      </c>
      <c r="F433" s="65">
        <v>0</v>
      </c>
      <c r="G433" s="65">
        <v>0</v>
      </c>
      <c t="inlineStr" r="H433">
        <is>
          <t xml:space="preserve">Retail Trade</t>
        </is>
      </c>
      <c t="inlineStr" r="I433">
        <is>
          <t xml:space="preserve">&lt;none&gt;</t>
        </is>
      </c>
      <c t="inlineStr" r="L433">
        <is>
          <t xml:space="preserve">-----</t>
        </is>
      </c>
    </row>
    <row r="434">
      <c t="str" r="A434" s="4">
        <f>HYPERLINK("https://linkbusiness.com/businesses-for-sale/LA2142/","LA2142")</f>
      </c>
      <c t="inlineStr" r="B434">
        <is>
          <t xml:space="preserve">&lt;none&gt;</t>
        </is>
      </c>
      <c r="C434" s="63">
        <v>380000</v>
      </c>
      <c r="D434" s="63">
        <v>19144400</v>
      </c>
      <c t="inlineStr" r="E434">
        <is>
          <t xml:space="preserve">-----</t>
        </is>
      </c>
      <c r="F434" s="65">
        <v>0</v>
      </c>
      <c r="G434" s="65">
        <v>0</v>
      </c>
      <c t="inlineStr" r="H434">
        <is>
          <t xml:space="preserve">Retail Trade</t>
        </is>
      </c>
      <c t="inlineStr" r="I434">
        <is>
          <t xml:space="preserve">&lt;none&gt;</t>
        </is>
      </c>
      <c t="inlineStr" r="L434">
        <is>
          <t xml:space="preserve">-----</t>
        </is>
      </c>
    </row>
    <row r="435">
      <c t="str" r="A435" s="4">
        <f>HYPERLINK("https://linkbusiness.com/businesses-for-sale/LA2161/","LA2161")</f>
      </c>
      <c t="inlineStr" r="B435">
        <is>
          <t xml:space="preserve">&lt;none&gt;</t>
        </is>
      </c>
      <c r="C435" s="63">
        <v>60000</v>
      </c>
      <c r="D435" s="63">
        <v>3022800</v>
      </c>
      <c t="inlineStr" r="E435">
        <is>
          <t xml:space="preserve">-----</t>
        </is>
      </c>
      <c r="F435" s="65">
        <v>0</v>
      </c>
      <c r="G435" s="65">
        <v>0</v>
      </c>
      <c t="inlineStr" r="H435">
        <is>
          <t xml:space="preserve">&lt;none&gt;</t>
        </is>
      </c>
      <c t="inlineStr" r="I435">
        <is>
          <t xml:space="preserve">&lt;none&gt;</t>
        </is>
      </c>
      <c t="inlineStr" r="L435">
        <is>
          <t xml:space="preserve">-----</t>
        </is>
      </c>
    </row>
    <row r="436">
      <c t="str" r="A436" s="4">
        <f>HYPERLINK("https://linkbusiness.com/businesses-for-sale/LA2182/","LA2182")</f>
      </c>
      <c t="inlineStr" r="B436">
        <is>
          <t xml:space="preserve">&lt;none&gt;</t>
        </is>
      </c>
      <c r="C436" s="63">
        <v>700000</v>
      </c>
      <c r="D436" s="63">
        <v>35266000</v>
      </c>
      <c t="inlineStr" r="E436">
        <is>
          <t xml:space="preserve">-----</t>
        </is>
      </c>
      <c r="F436" s="65">
        <v>0</v>
      </c>
      <c r="G436" s="65">
        <v>0</v>
      </c>
      <c t="inlineStr" r="H436">
        <is>
          <t xml:space="preserve">&lt;none&gt;</t>
        </is>
      </c>
      <c t="inlineStr" r="I436">
        <is>
          <t xml:space="preserve">&lt;none&gt;</t>
        </is>
      </c>
      <c t="inlineStr" r="L436">
        <is>
          <t xml:space="preserve">-----</t>
        </is>
      </c>
    </row>
    <row r="437">
      <c t="str" r="A437" s="4">
        <f>HYPERLINK("https://linkbusiness.com/businesses-for-sale/LA2223/","LA2223")</f>
      </c>
      <c t="inlineStr" r="B437">
        <is>
          <t xml:space="preserve">&lt;none&gt;</t>
        </is>
      </c>
      <c r="C437" s="63">
        <v>365000</v>
      </c>
      <c r="D437" s="63">
        <v>18388700</v>
      </c>
      <c t="inlineStr" r="E437">
        <is>
          <t xml:space="preserve">-----</t>
        </is>
      </c>
      <c r="F437" s="65">
        <v>0</v>
      </c>
      <c r="G437" s="65">
        <v>0</v>
      </c>
      <c t="inlineStr" r="H437">
        <is>
          <t xml:space="preserve">Retail Trade</t>
        </is>
      </c>
      <c t="inlineStr" r="I437">
        <is>
          <t xml:space="preserve">&lt;none&gt;</t>
        </is>
      </c>
      <c t="inlineStr" r="L437">
        <is>
          <t xml:space="preserve">-----</t>
        </is>
      </c>
    </row>
    <row r="438">
      <c t="str" r="A438" s="4">
        <f>HYPERLINK("https://linkbusiness.com/businesses-for-sale/LA2238/Voice%2c-Data%2c-and-Video-Wiring-Contractors","LA2238")</f>
      </c>
      <c t="inlineStr" r="B438">
        <is>
          <t xml:space="preserve">Voice, Data, and Video Wiring Contractors</t>
        </is>
      </c>
      <c r="C438" s="63">
        <v>225000</v>
      </c>
      <c r="D438" s="63">
        <v>11335500</v>
      </c>
      <c t="inlineStr" r="E438">
        <is>
          <t xml:space="preserve">-----</t>
        </is>
      </c>
      <c r="F438" s="65">
        <v>0</v>
      </c>
      <c r="G438" s="65">
        <v>0</v>
      </c>
      <c t="inlineStr" r="H438">
        <is>
          <t xml:space="preserve">Other Services (except public administration)</t>
        </is>
      </c>
      <c t="inlineStr" r="I438">
        <is>
          <t xml:space="preserve">&lt;none&gt;</t>
        </is>
      </c>
      <c t="inlineStr" r="L438">
        <is>
          <t xml:space="preserve">-----</t>
        </is>
      </c>
    </row>
    <row r="439">
      <c t="str" r="A439" s="4">
        <f>HYPERLINK("https://linkbusiness.com/businesses-for-sale/LA2240/Commercial-and-Residential-Plumbing-Contractor","LA2240")</f>
      </c>
      <c t="inlineStr" r="B439">
        <is>
          <t xml:space="preserve">Commercial and Residential Plumbing Contractor</t>
        </is>
      </c>
      <c r="C439" s="63">
        <v>2200000</v>
      </c>
      <c r="D439" s="63">
        <v>110836000</v>
      </c>
      <c t="inlineStr" r="E439">
        <is>
          <t xml:space="preserve">-----</t>
        </is>
      </c>
      <c r="F439" s="65">
        <v>0</v>
      </c>
      <c r="G439" s="65">
        <v>0</v>
      </c>
      <c t="inlineStr" r="H439">
        <is>
          <t xml:space="preserve">Other Services (except public administration)</t>
        </is>
      </c>
      <c t="inlineStr" r="I439">
        <is>
          <t xml:space="preserve">&lt;none&gt;</t>
        </is>
      </c>
      <c t="inlineStr" r="L439">
        <is>
          <t xml:space="preserve">-----</t>
        </is>
      </c>
    </row>
    <row r="440">
      <c t="str" r="A440" s="4">
        <f>HYPERLINK("https://linkbusiness.com/businesses-for-sale/LA2259/Full-Service-Dry-Cleaners-Established-for-Over-26","LA2259")</f>
      </c>
      <c t="inlineStr" r="B440">
        <is>
          <t xml:space="preserve">Full Service Dry Cleaners Established for Over 26</t>
        </is>
      </c>
      <c r="C440" s="63">
        <v>120000</v>
      </c>
      <c r="D440" s="63">
        <v>6045600</v>
      </c>
      <c t="inlineStr" r="E440">
        <is>
          <t xml:space="preserve">San Fernando Valley</t>
        </is>
      </c>
      <c r="F440" s="65">
        <v>0</v>
      </c>
      <c r="G440" s="65">
        <v>0</v>
      </c>
      <c t="inlineStr" r="H440">
        <is>
          <t xml:space="preserve">Other Services (except public administration)</t>
        </is>
      </c>
      <c t="inlineStr" r="I440">
        <is>
          <t xml:space="preserve">&lt;none&gt;</t>
        </is>
      </c>
      <c t="inlineStr" r="L440">
        <is>
          <t xml:space="preserve">-----</t>
        </is>
      </c>
    </row>
    <row r="441">
      <c t="str" r="A441" s="4">
        <f>HYPERLINK("https://linkbusiness.com/businesses-for-sale/LA2262/Established-Franchise-Retail","LA2262")</f>
      </c>
      <c t="inlineStr" r="B441">
        <is>
          <t xml:space="preserve">Established Franchise Retail</t>
        </is>
      </c>
      <c r="C441" s="63">
        <v>100000</v>
      </c>
      <c r="D441" s="63">
        <v>5038000</v>
      </c>
      <c t="inlineStr" r="E441">
        <is>
          <t xml:space="preserve">-----</t>
        </is>
      </c>
      <c r="F441" s="65">
        <v>0</v>
      </c>
      <c r="G441" s="65">
        <v>0</v>
      </c>
      <c t="inlineStr" r="H441">
        <is>
          <t xml:space="preserve">Other Services (except public administration)</t>
        </is>
      </c>
      <c t="inlineStr" r="I441">
        <is>
          <t xml:space="preserve">&lt;none&gt;</t>
        </is>
      </c>
      <c t="inlineStr" r="L441">
        <is>
          <t xml:space="preserve">-----</t>
        </is>
      </c>
    </row>
    <row r="442">
      <c t="str" r="A442" s="4">
        <f>HYPERLINK("https://linkbusiness.com/businesses-for-sale/LA2266/High-Volume-Retail-Flower-Shop","LA2266")</f>
      </c>
      <c t="inlineStr" r="B442">
        <is>
          <t xml:space="preserve">High Volume Retail Flower Shop</t>
        </is>
      </c>
      <c r="C442" s="63">
        <v>495000</v>
      </c>
      <c r="D442" s="63">
        <v>24938100</v>
      </c>
      <c t="inlineStr" r="E442">
        <is>
          <t xml:space="preserve">-----</t>
        </is>
      </c>
      <c r="F442" s="65">
        <v>0</v>
      </c>
      <c r="G442" s="65">
        <v>0</v>
      </c>
      <c t="inlineStr" r="H442">
        <is>
          <t xml:space="preserve">Retail Trade</t>
        </is>
      </c>
      <c t="inlineStr" r="I442">
        <is>
          <t xml:space="preserve">&lt;none&gt;</t>
        </is>
      </c>
      <c t="inlineStr" r="L442">
        <is>
          <t xml:space="preserve">-----</t>
        </is>
      </c>
    </row>
    <row r="443">
      <c t="str" r="A443" s="4">
        <f>HYPERLINK("https://linkbusiness.com/businesses-for-sale/LA2285/Conroy%e2%80%99s-Flower-Shop-in-North-Orange-County","LA2285")</f>
      </c>
      <c t="inlineStr" r="B443">
        <is>
          <t xml:space="preserve">Conroy’s Flower Shop in North Orange County</t>
        </is>
      </c>
      <c r="C443" s="63">
        <v>197000</v>
      </c>
      <c r="D443" s="63">
        <v>9924860</v>
      </c>
      <c t="inlineStr" r="E443">
        <is>
          <t xml:space="preserve">Orange County</t>
        </is>
      </c>
      <c r="F443" s="65">
        <v>0</v>
      </c>
      <c r="G443" s="65">
        <v>0</v>
      </c>
      <c t="inlineStr" r="H443">
        <is>
          <t xml:space="preserve">Other Services (except public administration)</t>
        </is>
      </c>
      <c t="inlineStr" r="I443">
        <is>
          <t xml:space="preserve">&lt;none&gt;</t>
        </is>
      </c>
      <c t="inlineStr" r="L443">
        <is>
          <t xml:space="preserve">-----</t>
        </is>
      </c>
    </row>
    <row r="444">
      <c t="str" r="A444" s="4">
        <f>HYPERLINK("https://linkbusiness.com/businesses-for-sale/LA2302/Well-Established-Highly-Profitable-Plumbing-Busine","LA2302")</f>
      </c>
      <c t="inlineStr" r="B444">
        <is>
          <t xml:space="preserve">Well Established Highly Profitable Plumbing Busine</t>
        </is>
      </c>
      <c r="C444" s="63">
        <v>995000</v>
      </c>
      <c r="D444" s="63">
        <v>50128100</v>
      </c>
      <c t="inlineStr" r="E444">
        <is>
          <t xml:space="preserve">Southern California</t>
        </is>
      </c>
      <c r="F444" s="65">
        <v>0</v>
      </c>
      <c r="G444" s="65">
        <v>0</v>
      </c>
      <c t="inlineStr" r="H444">
        <is>
          <t xml:space="preserve">Other Services (except public administration)</t>
        </is>
      </c>
      <c t="inlineStr" r="I444">
        <is>
          <t xml:space="preserve">&lt;none&gt;</t>
        </is>
      </c>
      <c t="inlineStr" r="L444">
        <is>
          <t xml:space="preserve">-----</t>
        </is>
      </c>
    </row>
    <row r="445">
      <c t="str" r="A445" s="4">
        <f>HYPERLINK("https://linkbusiness.com/businesses-for-sale/LA2303/Long-Established-Veterinary-Hospital-in-North-Oran","LA2303")</f>
      </c>
      <c t="inlineStr" r="B445">
        <is>
          <t xml:space="preserve">Long Established Veterinary Hospital in North Oran</t>
        </is>
      </c>
      <c r="C445" s="63">
        <v>200000</v>
      </c>
      <c r="D445" s="63">
        <v>10076000</v>
      </c>
      <c t="inlineStr" r="E445">
        <is>
          <t xml:space="preserve">Orange County</t>
        </is>
      </c>
      <c r="F445" s="65">
        <v>0</v>
      </c>
      <c r="G445" s="65">
        <v>0</v>
      </c>
      <c t="inlineStr" r="H445">
        <is>
          <t xml:space="preserve">Health Care &amp; Social Assistance</t>
        </is>
      </c>
      <c t="inlineStr" r="I445">
        <is>
          <t xml:space="preserve">&lt;none&gt;</t>
        </is>
      </c>
      <c t="inlineStr" r="L445">
        <is>
          <t xml:space="preserve">-----</t>
        </is>
      </c>
    </row>
    <row r="446">
      <c t="str" r="A446" s="4">
        <f>HYPERLINK("https://linkbusiness.com/businesses-for-sale/LA2311/Finance-Lender%2c-Auto-Plus-Auto-Pawn","LA2311")</f>
      </c>
      <c t="inlineStr" r="B446">
        <is>
          <t xml:space="preserve">Finance Lender, Auto Plus Auto Pawn</t>
        </is>
      </c>
      <c r="C446" s="63">
        <v>6000000</v>
      </c>
      <c r="D446" s="63">
        <v>302280000</v>
      </c>
      <c t="inlineStr" r="E446">
        <is>
          <t xml:space="preserve">-----</t>
        </is>
      </c>
      <c r="F446" s="65">
        <v>0</v>
      </c>
      <c r="G446" s="65">
        <v>0</v>
      </c>
      <c t="inlineStr" r="H446">
        <is>
          <t xml:space="preserve">Other Services (except public administration)</t>
        </is>
      </c>
      <c t="inlineStr" r="I446">
        <is>
          <t xml:space="preserve">&lt;none&gt;</t>
        </is>
      </c>
      <c t="inlineStr" r="L446">
        <is>
          <t xml:space="preserve">-----</t>
        </is>
      </c>
    </row>
    <row r="447">
      <c t="str" r="A447" s="4">
        <f>HYPERLINK("https://linkbusiness.com/businesses-for-sale/LA2316/Market-with-Beer-%26-Wine-in-Los-Angeles","LA2316")</f>
      </c>
      <c t="inlineStr" r="B447">
        <is>
          <t xml:space="preserve">Market with Beer &amp; Wine in Los Angeles</t>
        </is>
      </c>
      <c r="C447" s="63">
        <v>155000</v>
      </c>
      <c r="D447" s="63">
        <v>7808900</v>
      </c>
      <c t="inlineStr" r="E447">
        <is>
          <t xml:space="preserve">-----</t>
        </is>
      </c>
      <c r="F447" s="65">
        <v>0</v>
      </c>
      <c r="G447" s="65">
        <v>0</v>
      </c>
      <c t="inlineStr" r="H447">
        <is>
          <t xml:space="preserve">Restaurant</t>
        </is>
      </c>
      <c t="inlineStr" r="I447">
        <is>
          <t xml:space="preserve">&lt;none&gt;</t>
        </is>
      </c>
      <c t="inlineStr" r="L447">
        <is>
          <t xml:space="preserve">-----</t>
        </is>
      </c>
    </row>
    <row r="448">
      <c t="str" r="A448" s="4">
        <f>HYPERLINK("https://linkbusiness.com/businesses-for-sale/LA2355/","LA2355")</f>
      </c>
      <c t="inlineStr" r="B448">
        <is>
          <t xml:space="preserve">&lt;none&gt;</t>
        </is>
      </c>
      <c r="C448" s="63">
        <v>60000</v>
      </c>
      <c r="D448" s="63">
        <v>3022800</v>
      </c>
      <c t="inlineStr" r="E448">
        <is>
          <t xml:space="preserve">-----</t>
        </is>
      </c>
      <c r="F448" s="65">
        <v>0</v>
      </c>
      <c r="G448" s="65">
        <v>0</v>
      </c>
      <c t="inlineStr" r="H448">
        <is>
          <t xml:space="preserve">Retail Trade</t>
        </is>
      </c>
      <c t="inlineStr" r="I448">
        <is>
          <t xml:space="preserve">&lt;none&gt;</t>
        </is>
      </c>
      <c t="inlineStr" r="L448">
        <is>
          <t xml:space="preserve">-----</t>
        </is>
      </c>
    </row>
    <row r="449">
      <c t="str" r="A449" s="4">
        <f>HYPERLINK("https://linkbusiness.com/businesses-for-sale/LA2379/Franchise-Restaurant","LA2379")</f>
      </c>
      <c t="inlineStr" r="B449">
        <is>
          <t xml:space="preserve">Franchise Restaurant</t>
        </is>
      </c>
      <c r="C449" s="63">
        <v>100000</v>
      </c>
      <c r="D449" s="63">
        <v>5038000</v>
      </c>
      <c t="inlineStr" r="E449">
        <is>
          <t xml:space="preserve">-----</t>
        </is>
      </c>
      <c r="F449" s="65">
        <v>0</v>
      </c>
      <c r="G449" s="65">
        <v>0</v>
      </c>
      <c t="inlineStr" r="H449">
        <is>
          <t xml:space="preserve">Restaurant</t>
        </is>
      </c>
      <c t="inlineStr" r="I449">
        <is>
          <t xml:space="preserve">&lt;none&gt;</t>
        </is>
      </c>
      <c t="inlineStr" r="L449">
        <is>
          <t xml:space="preserve">-----</t>
        </is>
      </c>
    </row>
    <row r="450">
      <c t="str" r="A450" s="4">
        <f>HYPERLINK("https://linkbusiness.com/businesses-for-sale/LA2413/Boutique-Italian-Restaurant","LA2413")</f>
      </c>
      <c t="inlineStr" r="B450">
        <is>
          <t xml:space="preserve">Boutique Italian Restaurant</t>
        </is>
      </c>
      <c r="C450" s="63">
        <v>110000</v>
      </c>
      <c r="D450" s="63">
        <v>5541800</v>
      </c>
      <c t="inlineStr" r="E450">
        <is>
          <t xml:space="preserve">-----</t>
        </is>
      </c>
      <c r="F450" s="65">
        <v>0</v>
      </c>
      <c r="G450" s="65">
        <v>0</v>
      </c>
      <c t="inlineStr" r="H450">
        <is>
          <t xml:space="preserve">Restaurant</t>
        </is>
      </c>
      <c t="inlineStr" r="I450">
        <is>
          <t xml:space="preserve">&lt;none&gt;</t>
        </is>
      </c>
      <c t="inlineStr" r="L450">
        <is>
          <t xml:space="preserve">-----</t>
        </is>
      </c>
    </row>
    <row r="451">
      <c t="str" r="A451" s="4">
        <f>HYPERLINK("https://linkbusiness.com/businesses-for-sale/LA2415/GNC-Nutrition-%26-Vitamin-Store","LA2415")</f>
      </c>
      <c t="inlineStr" r="B451">
        <is>
          <t xml:space="preserve">GNC Nutrition &amp; Vitamin Store</t>
        </is>
      </c>
      <c r="C451" s="63">
        <v>225000</v>
      </c>
      <c r="D451" s="63">
        <v>11335500</v>
      </c>
      <c t="inlineStr" r="E451">
        <is>
          <t xml:space="preserve">-----</t>
        </is>
      </c>
      <c r="F451" s="65">
        <v>0</v>
      </c>
      <c r="G451" s="65">
        <v>0</v>
      </c>
      <c t="inlineStr" r="H451">
        <is>
          <t xml:space="preserve">Health Care &amp; Social Assistance</t>
        </is>
      </c>
      <c t="inlineStr" r="I451">
        <is>
          <t xml:space="preserve">&lt;none&gt;</t>
        </is>
      </c>
      <c t="inlineStr" r="L451">
        <is>
          <t xml:space="preserve">-----</t>
        </is>
      </c>
    </row>
    <row r="452">
      <c t="str" r="A452" s="4">
        <f>HYPERLINK("https://linkbusiness.com/businesses-for-sale/LA2452/Highly-Profitable-Wholesale-Flower-and-Supply-Busi","LA2452")</f>
      </c>
      <c t="inlineStr" r="B452">
        <is>
          <t xml:space="preserve">Highly Profitable Wholesale Flower and Supply Busi</t>
        </is>
      </c>
      <c r="C452" s="63">
        <v>285000</v>
      </c>
      <c r="D452" s="63">
        <v>14358300</v>
      </c>
      <c t="inlineStr" r="E452">
        <is>
          <t xml:space="preserve">-----</t>
        </is>
      </c>
      <c r="F452" s="65">
        <v>0</v>
      </c>
      <c r="G452" s="65">
        <v>0</v>
      </c>
      <c t="inlineStr" r="H452">
        <is>
          <t xml:space="preserve">Other Services (except public administration)</t>
        </is>
      </c>
      <c t="inlineStr" r="I452">
        <is>
          <t xml:space="preserve">&lt;none&gt;</t>
        </is>
      </c>
      <c t="inlineStr" r="L452">
        <is>
          <t xml:space="preserve">-----</t>
        </is>
      </c>
    </row>
    <row r="453">
      <c t="str" r="A453" s="4">
        <f>HYPERLINK("https://linkbusiness.com/businesses-for-sale/LA2454/Well-Established-Auto-Body-%26-Paint-Shop-Available","LA2454")</f>
      </c>
      <c t="inlineStr" r="B453">
        <is>
          <t xml:space="preserve">Well Established Auto Body &amp; Paint Shop Available</t>
        </is>
      </c>
      <c r="C453" s="63">
        <v>95000</v>
      </c>
      <c r="D453" s="63">
        <v>4786100</v>
      </c>
      <c t="inlineStr" r="E453">
        <is>
          <t xml:space="preserve">-----</t>
        </is>
      </c>
      <c r="F453" s="65">
        <v>0</v>
      </c>
      <c r="G453" s="65">
        <v>0</v>
      </c>
      <c t="inlineStr" r="H453">
        <is>
          <t xml:space="preserve">Retail Trade</t>
        </is>
      </c>
      <c t="inlineStr" r="I453">
        <is>
          <t xml:space="preserve">&lt;none&gt;</t>
        </is>
      </c>
      <c t="inlineStr" r="L453">
        <is>
          <t xml:space="preserve">-----</t>
        </is>
      </c>
    </row>
    <row r="454">
      <c t="str" r="A454" s="4">
        <f>HYPERLINK("https://linkbusiness.com/businesses-for-sale/LA2473/Chinese-Restaurant-in-Fast-Growing-City-of-Beaumon","LA2473")</f>
      </c>
      <c t="inlineStr" r="B454">
        <is>
          <t xml:space="preserve">Chinese Restaurant in Fast Growing City of Beaumon</t>
        </is>
      </c>
      <c r="C454" s="63">
        <v>70000</v>
      </c>
      <c r="D454" s="63">
        <v>3526600</v>
      </c>
      <c t="inlineStr" r="E454">
        <is>
          <t xml:space="preserve">Southern California</t>
        </is>
      </c>
      <c r="F454" s="65">
        <v>0</v>
      </c>
      <c r="G454" s="65">
        <v>0</v>
      </c>
      <c t="inlineStr" r="H454">
        <is>
          <t xml:space="preserve">Restaurant</t>
        </is>
      </c>
      <c t="inlineStr" r="I454">
        <is>
          <t xml:space="preserve">Food Services and Drinking Places</t>
        </is>
      </c>
      <c t="inlineStr" r="L454">
        <is>
          <t xml:space="preserve">-----</t>
        </is>
      </c>
    </row>
    <row r="455">
      <c t="str" r="A455" s="4">
        <f>HYPERLINK("https://linkbusiness.com/businesses-for-sale/LA2483/Unbelievable-Opportunity-to-Buy-Manufacturer%252f-Dist","LA2483")</f>
      </c>
      <c t="inlineStr" r="B455">
        <is>
          <t xml:space="preserve">Unbelievable Opportunity to Buy Manufacturer/ Dist</t>
        </is>
      </c>
      <c r="C455" s="63">
        <v>550000</v>
      </c>
      <c r="D455" s="63">
        <v>27709000</v>
      </c>
      <c t="inlineStr" r="E455">
        <is>
          <t xml:space="preserve">-----</t>
        </is>
      </c>
      <c r="F455" s="65">
        <v>0</v>
      </c>
      <c r="G455" s="65">
        <v>0</v>
      </c>
      <c t="inlineStr" r="H455">
        <is>
          <t xml:space="preserve">Retail Trade</t>
        </is>
      </c>
      <c t="inlineStr" r="I455">
        <is>
          <t xml:space="preserve">&lt;none&gt;</t>
        </is>
      </c>
      <c t="inlineStr" r="L455">
        <is>
          <t xml:space="preserve">-----</t>
        </is>
      </c>
    </row>
    <row r="456">
      <c t="str" r="A456" s="4">
        <f>HYPERLINK("https://linkbusiness.com/businesses-for-sale/LA2508/Veterinary-Hospital","LA2508")</f>
      </c>
      <c t="inlineStr" r="B456">
        <is>
          <t xml:space="preserve">Veterinary Hospital</t>
        </is>
      </c>
      <c r="C456" s="63">
        <v>250000</v>
      </c>
      <c r="D456" s="63">
        <v>12595000</v>
      </c>
      <c t="inlineStr" r="E456">
        <is>
          <t xml:space="preserve">North Orange County</t>
        </is>
      </c>
      <c r="F456" s="65">
        <v>0</v>
      </c>
      <c r="G456" s="65">
        <v>0</v>
      </c>
      <c t="inlineStr" r="H456">
        <is>
          <t xml:space="preserve">Health Care &amp; Social Assistance</t>
        </is>
      </c>
      <c t="inlineStr" r="I456">
        <is>
          <t xml:space="preserve">&lt;none&gt;</t>
        </is>
      </c>
      <c t="inlineStr" r="L456">
        <is>
          <t xml:space="preserve">-----</t>
        </is>
      </c>
    </row>
    <row r="457">
      <c t="str" r="A457" s="4">
        <f>HYPERLINK("https://linkbusiness.com/businesses-for-sale/LA2515/Coin-Operated-Laundry-Priced-to-Sell","LA2515")</f>
      </c>
      <c t="inlineStr" r="B457">
        <is>
          <t xml:space="preserve">Coin-Operated Laundry Priced to Sell</t>
        </is>
      </c>
      <c r="C457" s="63">
        <v>150000</v>
      </c>
      <c r="D457" s="63">
        <v>7557000</v>
      </c>
      <c t="inlineStr" r="E457">
        <is>
          <t xml:space="preserve">-----</t>
        </is>
      </c>
      <c r="F457" s="65">
        <v>0</v>
      </c>
      <c r="G457" s="65">
        <v>0</v>
      </c>
      <c t="inlineStr" r="H457">
        <is>
          <t xml:space="preserve">Other Services (except public administration)</t>
        </is>
      </c>
      <c t="inlineStr" r="I457">
        <is>
          <t xml:space="preserve">&lt;none&gt;</t>
        </is>
      </c>
      <c t="inlineStr" r="L457">
        <is>
          <t xml:space="preserve">-----</t>
        </is>
      </c>
    </row>
    <row r="458">
      <c t="str" r="A458" s="4">
        <f>HYPERLINK("https://linkbusiness.com/businesses-for-sale/LA2520/Profitable-Mail-Box-Store-in-Rancho-Palos-Verdes","LA2520")</f>
      </c>
      <c t="inlineStr" r="B458">
        <is>
          <t xml:space="preserve">Profitable Mail Box Store in Rancho Palos Verdes</t>
        </is>
      </c>
      <c r="C458" s="63">
        <v>104607</v>
      </c>
      <c r="D458" s="63">
        <v>5270100</v>
      </c>
      <c t="inlineStr" r="E458">
        <is>
          <t xml:space="preserve">-----</t>
        </is>
      </c>
      <c r="F458" s="65">
        <v>0</v>
      </c>
      <c r="G458" s="65">
        <v>0</v>
      </c>
      <c t="inlineStr" r="H458">
        <is>
          <t xml:space="preserve">Other Services (except public administration)</t>
        </is>
      </c>
      <c t="inlineStr" r="I458">
        <is>
          <t xml:space="preserve">&lt;none&gt;</t>
        </is>
      </c>
      <c t="inlineStr" r="L458">
        <is>
          <t xml:space="preserve">-----</t>
        </is>
      </c>
    </row>
    <row r="459">
      <c t="str" r="A459" s="4">
        <f>HYPERLINK("https://linkbusiness.com/businesses-for-sale/LA2533/Ice-Cream-Store---Incredible-Retail-Location","LA2533")</f>
      </c>
      <c t="inlineStr" r="B459">
        <is>
          <t xml:space="preserve">Ice Cream Store - Incredible Retail Location</t>
        </is>
      </c>
      <c r="C459" s="63">
        <v>450000</v>
      </c>
      <c r="D459" s="63">
        <v>22671000</v>
      </c>
      <c t="inlineStr" r="E459">
        <is>
          <t xml:space="preserve">-----</t>
        </is>
      </c>
      <c r="F459" s="65">
        <v>0</v>
      </c>
      <c r="G459" s="65">
        <v>0</v>
      </c>
      <c t="inlineStr" r="H459">
        <is>
          <t xml:space="preserve">Restaurant</t>
        </is>
      </c>
      <c t="inlineStr" r="I459">
        <is>
          <t xml:space="preserve">&lt;none&gt;</t>
        </is>
      </c>
      <c t="inlineStr" r="L459">
        <is>
          <t xml:space="preserve">-----</t>
        </is>
      </c>
    </row>
    <row r="460">
      <c t="str" r="A460" s="4">
        <f>HYPERLINK("https://linkbusiness.com/businesses-for-sale/LA2549/High-Volume-Animal-Hospital-with-RE","LA2549")</f>
      </c>
      <c t="inlineStr" r="B460">
        <is>
          <t xml:space="preserve">High Volume Animal Hospital with R.E.</t>
        </is>
      </c>
      <c r="C460" s="63">
        <v>525000</v>
      </c>
      <c r="D460" s="63">
        <v>26449500</v>
      </c>
      <c t="inlineStr" r="E460">
        <is>
          <t xml:space="preserve">-----</t>
        </is>
      </c>
      <c r="F460" s="65">
        <v>0</v>
      </c>
      <c r="G460" s="65">
        <v>0</v>
      </c>
      <c t="inlineStr" r="H460">
        <is>
          <t xml:space="preserve">&lt;none&gt;</t>
        </is>
      </c>
      <c t="inlineStr" r="I460">
        <is>
          <t xml:space="preserve">&lt;none&gt;</t>
        </is>
      </c>
      <c t="inlineStr" r="L460">
        <is>
          <t xml:space="preserve">-----</t>
        </is>
      </c>
    </row>
    <row r="461">
      <c t="str" r="A461" s="4">
        <f>HYPERLINK("https://linkbusiness.com/businesses-for-sale/LA2552/Long-Established-Cute-Retail-Flower-Shop-in-Corona","LA2552")</f>
      </c>
      <c t="inlineStr" r="B461">
        <is>
          <t xml:space="preserve">Long Established Cute Retail Flower Shop in Corona</t>
        </is>
      </c>
      <c r="C461" s="63">
        <v>75000</v>
      </c>
      <c r="D461" s="63">
        <v>3778500</v>
      </c>
      <c t="inlineStr" r="E461">
        <is>
          <t xml:space="preserve">Riverside County</t>
        </is>
      </c>
      <c r="F461" s="65">
        <v>0</v>
      </c>
      <c r="G461" s="65">
        <v>0</v>
      </c>
      <c t="inlineStr" r="H461">
        <is>
          <t xml:space="preserve">Retail Trade</t>
        </is>
      </c>
      <c t="inlineStr" r="I461">
        <is>
          <t xml:space="preserve">Miscellaneous Store Retailers</t>
        </is>
      </c>
      <c t="inlineStr" r="L461">
        <is>
          <t xml:space="preserve">-----</t>
        </is>
      </c>
    </row>
    <row r="462">
      <c t="str" r="A462" s="4">
        <f>HYPERLINK("https://linkbusiness.com/businesses-for-sale/LA2560/Absentee-Owner-Laundromat-Business-in-Paramount","LA2560")</f>
      </c>
      <c t="inlineStr" r="B462">
        <is>
          <t xml:space="preserve">Absentee-Owner Laundromat Business in Paramount</t>
        </is>
      </c>
      <c r="C462" s="63">
        <v>110000</v>
      </c>
      <c r="D462" s="63">
        <v>5541800</v>
      </c>
      <c t="inlineStr" r="E462">
        <is>
          <t xml:space="preserve">-----</t>
        </is>
      </c>
      <c r="F462" s="65">
        <v>0</v>
      </c>
      <c r="G462" s="65">
        <v>0</v>
      </c>
      <c t="inlineStr" r="H462">
        <is>
          <t xml:space="preserve">Other Services (except public administration)</t>
        </is>
      </c>
      <c t="inlineStr" r="I462">
        <is>
          <t xml:space="preserve">&lt;none&gt;</t>
        </is>
      </c>
      <c t="inlineStr" r="L462">
        <is>
          <t xml:space="preserve">-----</t>
        </is>
      </c>
    </row>
    <row r="463">
      <c t="str" r="A463" s="4">
        <f>HYPERLINK("https://linkbusiness.com/businesses-for-sale/LA2570/Profitable-Commercial-Printing-Company","LA2570")</f>
      </c>
      <c t="inlineStr" r="B463">
        <is>
          <t xml:space="preserve">Profitable Commercial Printing Company</t>
        </is>
      </c>
      <c r="C463" s="63">
        <v>115000</v>
      </c>
      <c r="D463" s="63">
        <v>5793700</v>
      </c>
      <c t="inlineStr" r="E463">
        <is>
          <t xml:space="preserve">-----</t>
        </is>
      </c>
      <c r="F463" s="65">
        <v>0</v>
      </c>
      <c r="G463" s="65">
        <v>0</v>
      </c>
      <c t="inlineStr" r="H463">
        <is>
          <t xml:space="preserve">&lt;none&gt;</t>
        </is>
      </c>
      <c t="inlineStr" r="I463">
        <is>
          <t xml:space="preserve">&lt;none&gt;</t>
        </is>
      </c>
      <c t="inlineStr" r="L463">
        <is>
          <t xml:space="preserve">-----</t>
        </is>
      </c>
    </row>
    <row r="464">
      <c t="str" r="A464" s="4">
        <f>HYPERLINK("https://linkbusiness.com/businesses-for-sale/LA2572/Ready-Mix-Concrete-Batch-Plant%e2%80%94Inland-Empire","LA2572")</f>
      </c>
      <c t="inlineStr" r="B464">
        <is>
          <t xml:space="preserve">Ready Mix Concrete Batch Plant—Inland Empire</t>
        </is>
      </c>
      <c r="C464" s="63">
        <v>100000</v>
      </c>
      <c r="D464" s="63">
        <v>5038000</v>
      </c>
      <c t="inlineStr" r="E464">
        <is>
          <t xml:space="preserve">-----</t>
        </is>
      </c>
      <c r="F464" s="65">
        <v>0</v>
      </c>
      <c r="G464" s="65">
        <v>0</v>
      </c>
      <c t="inlineStr" r="H464">
        <is>
          <t xml:space="preserve">&lt;none&gt;</t>
        </is>
      </c>
      <c t="inlineStr" r="I464">
        <is>
          <t xml:space="preserve">&lt;none&gt;</t>
        </is>
      </c>
      <c t="inlineStr" r="L464">
        <is>
          <t xml:space="preserve">-----</t>
        </is>
      </c>
    </row>
    <row r="465">
      <c t="str" r="A465" s="4">
        <f>HYPERLINK("https://linkbusiness.com/businesses-for-sale/LA2602/Full-Service-Mechanical-Plumbing-and-HVAC-Company","LA2602")</f>
      </c>
      <c t="inlineStr" r="B465">
        <is>
          <t xml:space="preserve">Full Service Mechanical Plumbing and HVAC Company</t>
        </is>
      </c>
      <c r="C465" s="63">
        <v>2500000</v>
      </c>
      <c r="D465" s="63">
        <v>125950000</v>
      </c>
      <c t="inlineStr" r="E465">
        <is>
          <t xml:space="preserve">San Diego County</t>
        </is>
      </c>
      <c r="F465" s="65">
        <v>0</v>
      </c>
      <c r="G465" s="65">
        <v>0</v>
      </c>
      <c t="inlineStr" r="H465">
        <is>
          <t xml:space="preserve">Construction</t>
        </is>
      </c>
      <c t="inlineStr" r="I465">
        <is>
          <t xml:space="preserve">Construction of Buildings</t>
        </is>
      </c>
      <c t="inlineStr" r="L465">
        <is>
          <t xml:space="preserve">-----</t>
        </is>
      </c>
    </row>
    <row r="466">
      <c t="str" r="A466" s="4">
        <f>HYPERLINK("https://linkbusiness.com/businesses-for-sale/LA2621/Home-and-Kitchen-Ware-and-a-Separate-Candy-store","LA2621")</f>
      </c>
      <c t="inlineStr" r="B466">
        <is>
          <t xml:space="preserve">Home and Kitchen Ware and a Separate Candy store</t>
        </is>
      </c>
      <c r="C466" s="63">
        <v>178000</v>
      </c>
      <c r="D466" s="63">
        <v>8967640</v>
      </c>
      <c t="inlineStr" r="E466">
        <is>
          <t xml:space="preserve">Southern California</t>
        </is>
      </c>
      <c r="F466" s="65">
        <v>0</v>
      </c>
      <c r="G466" s="65">
        <v>0</v>
      </c>
      <c t="inlineStr" r="H466">
        <is>
          <t xml:space="preserve">Retail Trade</t>
        </is>
      </c>
      <c t="inlineStr" r="I466">
        <is>
          <t xml:space="preserve">General Merchandise Stores</t>
        </is>
      </c>
      <c t="inlineStr" r="L466">
        <is>
          <t xml:space="preserve">-----</t>
        </is>
      </c>
    </row>
    <row r="467">
      <c t="str" r="A467" s="4">
        <f>HYPERLINK("https://linkbusiness.com/businesses-for-sale/LA2622/Cute-little-candy-store-in-a-major-mall","LA2622")</f>
      </c>
      <c t="inlineStr" r="B467">
        <is>
          <t xml:space="preserve">Cute little candy store in a major mall</t>
        </is>
      </c>
      <c r="C467" s="63">
        <v>65000</v>
      </c>
      <c r="D467" s="63">
        <v>3274700</v>
      </c>
      <c t="inlineStr" r="E467">
        <is>
          <t xml:space="preserve">-----</t>
        </is>
      </c>
      <c r="F467" s="65">
        <v>0</v>
      </c>
      <c r="G467" s="65">
        <v>0</v>
      </c>
      <c t="inlineStr" r="H467">
        <is>
          <t xml:space="preserve">Retail Trade</t>
        </is>
      </c>
      <c t="inlineStr" r="I467">
        <is>
          <t xml:space="preserve">&lt;none&gt;</t>
        </is>
      </c>
      <c t="inlineStr" r="L467">
        <is>
          <t xml:space="preserve">-----</t>
        </is>
      </c>
    </row>
    <row r="468">
      <c t="str" r="A468" s="4">
        <f>HYPERLINK("https://linkbusiness.com/businesses-for-sale/LA2623/Highly-Profitable-99-Cent-Store-in-a-Major-Mall","LA2623")</f>
      </c>
      <c t="inlineStr" r="B468">
        <is>
          <t xml:space="preserve">Highly Profitable 99 Cent Store in a Major Mall</t>
        </is>
      </c>
      <c r="C468" s="63">
        <v>120000</v>
      </c>
      <c r="D468" s="63">
        <v>6045600</v>
      </c>
      <c t="inlineStr" r="E468">
        <is>
          <t xml:space="preserve">-----</t>
        </is>
      </c>
      <c r="F468" s="65">
        <v>0</v>
      </c>
      <c r="G468" s="65">
        <v>0</v>
      </c>
      <c t="inlineStr" r="H468">
        <is>
          <t xml:space="preserve">Retail Trade</t>
        </is>
      </c>
      <c t="inlineStr" r="I468">
        <is>
          <t xml:space="preserve">&lt;none&gt;</t>
        </is>
      </c>
      <c t="inlineStr" r="L468">
        <is>
          <t xml:space="preserve">-----</t>
        </is>
      </c>
    </row>
    <row r="469">
      <c t="str" r="A469" s="4">
        <f>HYPERLINK("https://linkbusiness.com/businesses-for-sale/LA2628/Long-Established-Animal-Hospital-in-East-San-Diego","LA2628")</f>
      </c>
      <c t="inlineStr" r="B469">
        <is>
          <t xml:space="preserve">Long Established Animal Hospital in East San Diego</t>
        </is>
      </c>
      <c r="C469" s="63">
        <v>180000</v>
      </c>
      <c r="D469" s="63">
        <v>9068400</v>
      </c>
      <c t="inlineStr" r="E469">
        <is>
          <t xml:space="preserve">San Diego County</t>
        </is>
      </c>
      <c r="F469" s="65">
        <v>0</v>
      </c>
      <c r="G469" s="65">
        <v>0</v>
      </c>
      <c t="inlineStr" r="H469">
        <is>
          <t xml:space="preserve">&lt;none&gt;</t>
        </is>
      </c>
      <c t="inlineStr" r="I469">
        <is>
          <t xml:space="preserve">&lt;none&gt;</t>
        </is>
      </c>
      <c t="inlineStr" r="L469">
        <is>
          <t xml:space="preserve">-----</t>
        </is>
      </c>
    </row>
    <row r="470">
      <c t="str" r="A470" s="4">
        <f>HYPERLINK("https://linkbusiness.com/businesses-for-sale/LA2629/Pay-Day-Loan-Makes-460%25-Return","LA2629")</f>
      </c>
      <c t="inlineStr" r="B470">
        <is>
          <t xml:space="preserve">Pay Day Loan Makes 460% Return</t>
        </is>
      </c>
      <c r="C470" s="63">
        <v>90000</v>
      </c>
      <c r="D470" s="63">
        <v>4534200</v>
      </c>
      <c t="inlineStr" r="E470">
        <is>
          <t xml:space="preserve">San Bernardino County</t>
        </is>
      </c>
      <c r="F470" s="65">
        <v>0</v>
      </c>
      <c r="G470" s="65">
        <v>0</v>
      </c>
      <c t="inlineStr" r="H470">
        <is>
          <t xml:space="preserve">&lt;none&gt;</t>
        </is>
      </c>
      <c t="inlineStr" r="I470">
        <is>
          <t xml:space="preserve">&lt;none&gt;</t>
        </is>
      </c>
      <c t="inlineStr" r="L470">
        <is>
          <t xml:space="preserve">-----</t>
        </is>
      </c>
    </row>
    <row r="471">
      <c t="str" r="A471" s="4">
        <f>HYPERLINK("https://linkbusiness.com/businesses-for-sale/LA2654/Profitable-Candy-Store-Franchise","LA2654")</f>
      </c>
      <c t="inlineStr" r="B471">
        <is>
          <t xml:space="preserve">Profitable Candy Store Franchise</t>
        </is>
      </c>
      <c r="C471" s="63">
        <v>245000</v>
      </c>
      <c r="D471" s="63">
        <v>12343100</v>
      </c>
      <c t="inlineStr" r="E471">
        <is>
          <t xml:space="preserve">Riverside County</t>
        </is>
      </c>
      <c r="F471" s="65">
        <v>0</v>
      </c>
      <c r="G471" s="65">
        <v>0</v>
      </c>
      <c t="inlineStr" r="H471">
        <is>
          <t xml:space="preserve">Franchises</t>
        </is>
      </c>
      <c t="inlineStr" r="I471">
        <is>
          <t xml:space="preserve">&lt;none&gt;</t>
        </is>
      </c>
      <c t="inlineStr" r="L471">
        <is>
          <t xml:space="preserve">-----</t>
        </is>
      </c>
    </row>
    <row r="472">
      <c t="str" r="A472" s="4">
        <f>HYPERLINK("https://linkbusiness.com/businesses-for-sale/LA2731/Cosmetic-Teeth-Whitening-Business","LA2731")</f>
      </c>
      <c t="inlineStr" r="B472">
        <is>
          <t xml:space="preserve">Cosmetic Teeth Whitening Business</t>
        </is>
      </c>
      <c r="C472" s="63">
        <v>75000</v>
      </c>
      <c r="D472" s="63">
        <v>3778500</v>
      </c>
      <c t="inlineStr" r="E472">
        <is>
          <t xml:space="preserve">-----</t>
        </is>
      </c>
      <c r="F472" s="65">
        <v>0</v>
      </c>
      <c r="G472" s="65">
        <v>0</v>
      </c>
      <c t="inlineStr" r="H472">
        <is>
          <t xml:space="preserve">Other Services (except public administration)</t>
        </is>
      </c>
      <c t="inlineStr" r="I472">
        <is>
          <t xml:space="preserve">&lt;none&gt;</t>
        </is>
      </c>
      <c t="inlineStr" r="L472">
        <is>
          <t xml:space="preserve">-----</t>
        </is>
      </c>
    </row>
    <row r="473">
      <c t="str" r="A473" s="4">
        <f>HYPERLINK("https://linkbusiness.com/businesses-for-sale/LA2732/Cosmetic-Teeth-Whitening-Business","LA2732")</f>
      </c>
      <c t="inlineStr" r="B473">
        <is>
          <t xml:space="preserve">Cosmetic Teeth Whitening Business</t>
        </is>
      </c>
      <c r="C473" s="63">
        <v>75000</v>
      </c>
      <c r="D473" s="63">
        <v>3778500</v>
      </c>
      <c t="inlineStr" r="E473">
        <is>
          <t xml:space="preserve">-----</t>
        </is>
      </c>
      <c r="F473" s="65">
        <v>0</v>
      </c>
      <c r="G473" s="65">
        <v>0</v>
      </c>
      <c t="inlineStr" r="H473">
        <is>
          <t xml:space="preserve">Other Services (except public administration)</t>
        </is>
      </c>
      <c t="inlineStr" r="I473">
        <is>
          <t xml:space="preserve">&lt;none&gt;</t>
        </is>
      </c>
      <c t="inlineStr" r="L473">
        <is>
          <t xml:space="preserve">-----</t>
        </is>
      </c>
    </row>
    <row r="474">
      <c t="str" r="A474" s="4">
        <f>HYPERLINK("https://linkbusiness.com/businesses-for-sale/LA2826/Wholesale-Flower-and-Supply-Business","LA2826")</f>
      </c>
      <c t="inlineStr" r="B474">
        <is>
          <t xml:space="preserve">Wholesale Flower and Supply Business</t>
        </is>
      </c>
      <c r="C474" s="63">
        <v>350000</v>
      </c>
      <c r="D474" s="63">
        <v>17633000</v>
      </c>
      <c t="inlineStr" r="E474">
        <is>
          <t xml:space="preserve">Orange County</t>
        </is>
      </c>
      <c r="F474" s="65">
        <v>0</v>
      </c>
      <c r="G474" s="65">
        <v>0</v>
      </c>
      <c t="inlineStr" r="H474">
        <is>
          <t xml:space="preserve">Retail Trade</t>
        </is>
      </c>
      <c t="inlineStr" r="I474">
        <is>
          <t xml:space="preserve">Miscellaneous Store Retailers</t>
        </is>
      </c>
      <c t="inlineStr" r="L474">
        <is>
          <t xml:space="preserve">-----</t>
        </is>
      </c>
    </row>
    <row r="475">
      <c t="str" r="A475" s="4">
        <f>HYPERLINK("https://linkbusiness.com/businesses-for-sale/LA2923/Landmark-Independent-Bookseller-to-the-Stars!!","LA2923")</f>
      </c>
      <c t="inlineStr" r="B475">
        <is>
          <t xml:space="preserve">Landmark Independent Bookseller to the Stars!!</t>
        </is>
      </c>
      <c r="C475" s="63">
        <v>990000</v>
      </c>
      <c r="D475" s="63">
        <v>49876200</v>
      </c>
      <c t="inlineStr" r="E475">
        <is>
          <t xml:space="preserve">-----</t>
        </is>
      </c>
      <c r="F475" s="65">
        <v>0</v>
      </c>
      <c r="G475" s="65">
        <v>0</v>
      </c>
      <c t="inlineStr" r="H475">
        <is>
          <t xml:space="preserve">Retail Trade</t>
        </is>
      </c>
      <c t="inlineStr" r="I475">
        <is>
          <t xml:space="preserve">&lt;none&gt;</t>
        </is>
      </c>
      <c t="inlineStr" r="L475">
        <is>
          <t xml:space="preserve">-----</t>
        </is>
      </c>
    </row>
    <row r="476">
      <c t="str" r="A476" s="4">
        <f>HYPERLINK("https://linkbusiness.com/businesses-for-sale/LA2940/Long-Established-Well-known-Flower-Shop-in-Corona","LA2940")</f>
      </c>
      <c t="inlineStr" r="B476">
        <is>
          <t xml:space="preserve">Long Established Well known Flower Shop in Corona</t>
        </is>
      </c>
      <c r="C476" s="63">
        <v>74000</v>
      </c>
      <c r="D476" s="63">
        <v>3728120</v>
      </c>
      <c t="inlineStr" r="E476">
        <is>
          <t xml:space="preserve">Riverside County</t>
        </is>
      </c>
      <c r="F476" s="65">
        <v>0</v>
      </c>
      <c r="G476" s="65">
        <v>0</v>
      </c>
      <c t="inlineStr" r="H476">
        <is>
          <t xml:space="preserve">Retail Trade</t>
        </is>
      </c>
      <c t="inlineStr" r="I476">
        <is>
          <t xml:space="preserve">Miscellaneous Store Retailers</t>
        </is>
      </c>
      <c t="inlineStr" r="L476">
        <is>
          <t xml:space="preserve">-----</t>
        </is>
      </c>
    </row>
    <row r="477">
      <c t="str" r="A477" s="4">
        <f>HYPERLINK("https://linkbusiness.com/businesses-for-sale/LA2955/Fortune-100-Executive-Search-Firm","LA2955")</f>
      </c>
      <c t="inlineStr" r="B477">
        <is>
          <t xml:space="preserve">Fortune 100 Executive Search Firm</t>
        </is>
      </c>
      <c r="C477" s="63">
        <v>650000</v>
      </c>
      <c r="D477" s="63">
        <v>32747000</v>
      </c>
      <c t="inlineStr" r="E477">
        <is>
          <t xml:space="preserve">Southern California</t>
        </is>
      </c>
      <c r="F477" s="65">
        <v>0</v>
      </c>
      <c r="G477" s="65">
        <v>0</v>
      </c>
      <c t="inlineStr" r="H477">
        <is>
          <t xml:space="preserve">Other Services (except public administration)</t>
        </is>
      </c>
      <c t="inlineStr" r="I477">
        <is>
          <t xml:space="preserve">&lt;none&gt;</t>
        </is>
      </c>
      <c t="inlineStr" r="L477">
        <is>
          <t xml:space="preserve">-----</t>
        </is>
      </c>
    </row>
    <row r="478">
      <c t="str" r="A478" s="4">
        <f>HYPERLINK("https://linkbusiness.com/businesses-for-sale/LA2960/Pregnancy-and-Parenting-Store-w%252f-Education-Center","LA2960")</f>
      </c>
      <c t="inlineStr" r="B478">
        <is>
          <t xml:space="preserve">Pregnancy and Parenting Store w/ Education Center</t>
        </is>
      </c>
      <c r="C478" s="63">
        <v>350000</v>
      </c>
      <c r="D478" s="63">
        <v>17633000</v>
      </c>
      <c t="inlineStr" r="E478">
        <is>
          <t xml:space="preserve">-----</t>
        </is>
      </c>
      <c r="F478" s="65">
        <v>0</v>
      </c>
      <c r="G478" s="65">
        <v>0</v>
      </c>
      <c t="inlineStr" r="H478">
        <is>
          <t xml:space="preserve">Retail Trade</t>
        </is>
      </c>
      <c t="inlineStr" r="I478">
        <is>
          <t xml:space="preserve">&lt;none&gt;</t>
        </is>
      </c>
      <c t="inlineStr" r="L478">
        <is>
          <t xml:space="preserve">-----</t>
        </is>
      </c>
    </row>
    <row r="479">
      <c t="str" r="A479" s="4">
        <f>HYPERLINK("https://linkbusiness.com/businesses-for-sale/LA2978/Medical-Cannabis-Consulting-Firm-in-Los-Angeles","LA2978")</f>
      </c>
      <c t="inlineStr" r="B479">
        <is>
          <t xml:space="preserve">Medical Cannabis Consulting Firm in Los Angeles</t>
        </is>
      </c>
      <c r="C479" s="63">
        <v>650000</v>
      </c>
      <c r="D479" s="63">
        <v>32747000</v>
      </c>
      <c t="inlineStr" r="E479">
        <is>
          <t xml:space="preserve">-----</t>
        </is>
      </c>
      <c r="F479" s="65">
        <v>0</v>
      </c>
      <c r="G479" s="65">
        <v>0</v>
      </c>
      <c t="inlineStr" r="H479">
        <is>
          <t xml:space="preserve">Health Care &amp; Social Assistance</t>
        </is>
      </c>
      <c t="inlineStr" r="I479">
        <is>
          <t xml:space="preserve">&lt;none&gt;</t>
        </is>
      </c>
      <c t="inlineStr" r="L479">
        <is>
          <t xml:space="preserve">-----</t>
        </is>
      </c>
    </row>
    <row r="480">
      <c t="str" r="A480" s="4">
        <f>HYPERLINK("https://linkbusiness.com/businesses-for-sale/LA3007/Tree-%26-Plant-Nursery-in-N-Orange-County","LA3007")</f>
      </c>
      <c t="inlineStr" r="B480">
        <is>
          <t xml:space="preserve">Tree &amp; Plant Nursery in N. Orange County</t>
        </is>
      </c>
      <c r="C480" s="63">
        <v>150000</v>
      </c>
      <c r="D480" s="63">
        <v>7557000</v>
      </c>
      <c t="inlineStr" r="E480">
        <is>
          <t xml:space="preserve">North Orange County</t>
        </is>
      </c>
      <c r="F480" s="65">
        <v>0</v>
      </c>
      <c r="G480" s="65">
        <v>0</v>
      </c>
      <c t="inlineStr" r="H480">
        <is>
          <t xml:space="preserve">Transportation &amp; Warehousing</t>
        </is>
      </c>
      <c t="inlineStr" r="I480">
        <is>
          <t xml:space="preserve">&lt;none&gt;</t>
        </is>
      </c>
      <c t="inlineStr" r="L480">
        <is>
          <t xml:space="preserve">-----</t>
        </is>
      </c>
    </row>
    <row r="481">
      <c t="str" r="A481" s="4">
        <f>HYPERLINK("https://linkbusiness.com/businesses-for-sale/LA3017/Full-Service-Beauty-Salon-in-Cerritos","LA3017")</f>
      </c>
      <c t="inlineStr" r="B481">
        <is>
          <t xml:space="preserve">Full Service Beauty Salon in Cerritos</t>
        </is>
      </c>
      <c r="C481" s="63">
        <v>29000</v>
      </c>
      <c r="D481" s="63">
        <v>1461020</v>
      </c>
      <c t="inlineStr" r="E481">
        <is>
          <t xml:space="preserve">Southern California</t>
        </is>
      </c>
      <c r="F481" s="65">
        <v>0</v>
      </c>
      <c r="G481" s="65">
        <v>0</v>
      </c>
      <c t="inlineStr" r="H481">
        <is>
          <t xml:space="preserve">Other Services (except public administration)</t>
        </is>
      </c>
      <c t="inlineStr" r="I481">
        <is>
          <t xml:space="preserve">Personal Care Services</t>
        </is>
      </c>
      <c t="inlineStr" r="L481">
        <is>
          <t xml:space="preserve">-----</t>
        </is>
      </c>
    </row>
    <row r="482">
      <c t="str" r="A482" s="4">
        <f>HYPERLINK("https://linkbusiness.com/businesses-for-sale/LA3029/Manufacturer-of-Composite-Machinery","LA3029")</f>
      </c>
      <c t="inlineStr" r="B482">
        <is>
          <t xml:space="preserve">Manufacturer of Composite Machinery</t>
        </is>
      </c>
      <c r="C482" s="63">
        <v>4500000</v>
      </c>
      <c r="D482" s="63">
        <v>226710000</v>
      </c>
      <c t="inlineStr" r="E482">
        <is>
          <t xml:space="preserve">-----</t>
        </is>
      </c>
      <c r="F482" s="65">
        <v>0</v>
      </c>
      <c r="G482" s="65">
        <v>0</v>
      </c>
      <c t="inlineStr" r="H482">
        <is>
          <t xml:space="preserve">Manufacturing</t>
        </is>
      </c>
      <c t="inlineStr" r="I482">
        <is>
          <t xml:space="preserve">&lt;none&gt;</t>
        </is>
      </c>
      <c t="inlineStr" r="L482">
        <is>
          <t xml:space="preserve">-----</t>
        </is>
      </c>
    </row>
    <row r="483">
      <c t="str" r="A483" s="4">
        <f>HYPERLINK("https://linkbusiness.com/businesses-for-sale/LA3030/Long-Established-Flight-Training-School","LA3030")</f>
      </c>
      <c t="inlineStr" r="B483">
        <is>
          <t xml:space="preserve">Long Established Flight Training School</t>
        </is>
      </c>
      <c r="C483" s="63">
        <v>575000</v>
      </c>
      <c r="D483" s="63">
        <v>28968500</v>
      </c>
      <c t="inlineStr" r="E483">
        <is>
          <t xml:space="preserve">San Diego County</t>
        </is>
      </c>
      <c r="F483" s="65">
        <v>0</v>
      </c>
      <c r="G483" s="65">
        <v>0</v>
      </c>
      <c t="inlineStr" r="H483">
        <is>
          <t xml:space="preserve">Educational Services</t>
        </is>
      </c>
      <c t="inlineStr" r="I483">
        <is>
          <t xml:space="preserve">&lt;none&gt;</t>
        </is>
      </c>
      <c t="inlineStr" r="L483">
        <is>
          <t xml:space="preserve">-----</t>
        </is>
      </c>
    </row>
    <row r="484">
      <c t="str" r="A484" s="4">
        <f>HYPERLINK("https://linkbusiness.com/businesses-for-sale/LA3041/Profitable-and-Growing-Machine-Shop-for-Sale","LA3041")</f>
      </c>
      <c t="inlineStr" r="B484">
        <is>
          <t xml:space="preserve">Profitable and Growing Machine Shop for Sale</t>
        </is>
      </c>
      <c r="C484" s="63">
        <v>1200000</v>
      </c>
      <c r="D484" s="63">
        <v>60456000</v>
      </c>
      <c t="inlineStr" r="E484">
        <is>
          <t xml:space="preserve">-----</t>
        </is>
      </c>
      <c r="F484" s="65">
        <v>0</v>
      </c>
      <c r="G484" s="65">
        <v>0</v>
      </c>
      <c t="inlineStr" r="H484">
        <is>
          <t xml:space="preserve">Manufacturing</t>
        </is>
      </c>
      <c t="inlineStr" r="I484">
        <is>
          <t xml:space="preserve">&lt;none&gt;</t>
        </is>
      </c>
      <c t="inlineStr" r="L484">
        <is>
          <t xml:space="preserve">-----</t>
        </is>
      </c>
    </row>
    <row r="485">
      <c t="str" r="A485" s="4">
        <f>HYPERLINK("https://linkbusiness.com/businesses-for-sale/LA3057/Check-Cashing-Gold-Mine-in-Best-Location","LA3057")</f>
      </c>
      <c t="inlineStr" r="B485">
        <is>
          <t xml:space="preserve">Check Cashing Gold Mine in Best Location</t>
        </is>
      </c>
      <c r="C485" s="63">
        <v>110000</v>
      </c>
      <c r="D485" s="63">
        <v>5541800</v>
      </c>
      <c t="inlineStr" r="E485">
        <is>
          <t xml:space="preserve">-----</t>
        </is>
      </c>
      <c r="F485" s="65">
        <v>0</v>
      </c>
      <c r="G485" s="65">
        <v>0</v>
      </c>
      <c t="inlineStr" r="H485">
        <is>
          <t xml:space="preserve">Finance and Insurance</t>
        </is>
      </c>
      <c t="inlineStr" r="I485">
        <is>
          <t xml:space="preserve">&lt;none&gt;</t>
        </is>
      </c>
      <c t="inlineStr" r="L485">
        <is>
          <t xml:space="preserve">-----</t>
        </is>
      </c>
    </row>
    <row r="486">
      <c t="str" r="A486" s="4">
        <f>HYPERLINK("https://linkbusiness.com/businesses-for-sale/LA3059/Juice-Franchise-in-a-Great-Location","LA3059")</f>
      </c>
      <c t="inlineStr" r="B486">
        <is>
          <t xml:space="preserve">Juice Franchise in a Great Location</t>
        </is>
      </c>
      <c r="C486" s="63">
        <v>110000</v>
      </c>
      <c r="D486" s="63">
        <v>5541800</v>
      </c>
      <c t="inlineStr" r="E486">
        <is>
          <t xml:space="preserve">-----</t>
        </is>
      </c>
      <c r="F486" s="65">
        <v>0</v>
      </c>
      <c r="G486" s="65">
        <v>0</v>
      </c>
      <c t="inlineStr" r="H486">
        <is>
          <t xml:space="preserve">Restaurant</t>
        </is>
      </c>
      <c t="inlineStr" r="I486">
        <is>
          <t xml:space="preserve">&lt;none&gt;</t>
        </is>
      </c>
      <c t="inlineStr" r="L486">
        <is>
          <t xml:space="preserve">-----</t>
        </is>
      </c>
    </row>
    <row r="487">
      <c t="str" r="A487" s="4">
        <f>HYPERLINK("https://linkbusiness.com/businesses-for-sale/LA3060/World-Class-Coffee-and-Pastry-Shop","LA3060")</f>
      </c>
      <c t="inlineStr" r="B487">
        <is>
          <t xml:space="preserve">World Class Coffee and Pastry Shop</t>
        </is>
      </c>
      <c r="C487" s="63">
        <v>20000</v>
      </c>
      <c r="D487" s="63">
        <v>1007600</v>
      </c>
      <c t="inlineStr" r="E487">
        <is>
          <t xml:space="preserve">-----</t>
        </is>
      </c>
      <c r="F487" s="65">
        <v>0</v>
      </c>
      <c r="G487" s="65">
        <v>0</v>
      </c>
      <c t="inlineStr" r="H487">
        <is>
          <t xml:space="preserve">Restaurant</t>
        </is>
      </c>
      <c t="inlineStr" r="I487">
        <is>
          <t xml:space="preserve">&lt;none&gt;</t>
        </is>
      </c>
      <c t="inlineStr" r="L487">
        <is>
          <t xml:space="preserve">-----</t>
        </is>
      </c>
    </row>
    <row r="488">
      <c t="str" r="A488" s="4">
        <f>HYPERLINK("https://linkbusiness.com/businesses-for-sale/LA3065/Janitorial-and-Landscape-Services","LA3065")</f>
      </c>
      <c t="inlineStr" r="B488">
        <is>
          <t xml:space="preserve">Janitorial and Landscape Services</t>
        </is>
      </c>
      <c r="C488" s="63">
        <v>60000</v>
      </c>
      <c r="D488" s="63">
        <v>3022800</v>
      </c>
      <c t="inlineStr" r="E488">
        <is>
          <t xml:space="preserve">-----</t>
        </is>
      </c>
      <c r="F488" s="65">
        <v>0</v>
      </c>
      <c r="G488" s="65">
        <v>0</v>
      </c>
      <c t="inlineStr" r="H488">
        <is>
          <t xml:space="preserve">&lt;none&gt;</t>
        </is>
      </c>
      <c t="inlineStr" r="I488">
        <is>
          <t xml:space="preserve">&lt;none&gt;</t>
        </is>
      </c>
      <c t="inlineStr" r="L488">
        <is>
          <t xml:space="preserve">-----</t>
        </is>
      </c>
    </row>
    <row r="489">
      <c t="str" r="A489" s="4">
        <f>HYPERLINK("https://linkbusiness.com/businesses-for-sale/LA3074/Civil-Engineering-Consulting-Firm%2c-Inland-Empire","LA3074")</f>
      </c>
      <c t="inlineStr" r="B489">
        <is>
          <t xml:space="preserve">Civil Engineering Consulting Firm, Inland Empire</t>
        </is>
      </c>
      <c r="C489" s="63">
        <v>6300000</v>
      </c>
      <c r="D489" s="63">
        <v>317394000</v>
      </c>
      <c t="inlineStr" r="E489">
        <is>
          <t xml:space="preserve">Riverside County</t>
        </is>
      </c>
      <c r="F489" s="65">
        <v>0</v>
      </c>
      <c r="G489" s="65">
        <v>0</v>
      </c>
      <c t="inlineStr" r="H489">
        <is>
          <t xml:space="preserve">&lt;none&gt;</t>
        </is>
      </c>
      <c t="inlineStr" r="I489">
        <is>
          <t xml:space="preserve">&lt;none&gt;</t>
        </is>
      </c>
      <c t="inlineStr" r="L489">
        <is>
          <t xml:space="preserve">-----</t>
        </is>
      </c>
    </row>
    <row r="490">
      <c t="str" r="A490" s="4">
        <f>HYPERLINK("https://linkbusiness.com/businesses-for-sale/LA3086/Flower-Bouquet-Supplier-to-over-300-Super-Markets","LA3086")</f>
      </c>
      <c t="inlineStr" r="B490">
        <is>
          <t xml:space="preserve">Flower Bouquet Supplier to over 300 Super Markets</t>
        </is>
      </c>
      <c r="C490" s="63">
        <v>1695000</v>
      </c>
      <c r="D490" s="63">
        <v>85394100</v>
      </c>
      <c t="inlineStr" r="E490">
        <is>
          <t xml:space="preserve">-----</t>
        </is>
      </c>
      <c r="F490" s="65">
        <v>0</v>
      </c>
      <c r="G490" s="65">
        <v>0</v>
      </c>
      <c t="inlineStr" r="H490">
        <is>
          <t xml:space="preserve">Retail Trade</t>
        </is>
      </c>
      <c t="inlineStr" r="I490">
        <is>
          <t xml:space="preserve">&lt;none&gt;</t>
        </is>
      </c>
      <c t="inlineStr" r="L490">
        <is>
          <t xml:space="preserve">-----</t>
        </is>
      </c>
    </row>
    <row r="491">
      <c t="str" r="A491" s="4">
        <f>HYPERLINK("https://linkbusiness.com/businesses-for-sale/LA3128/Divorce-Mediation-and-Family-Law-Practice","LA3128")</f>
      </c>
      <c t="inlineStr" r="B491">
        <is>
          <t xml:space="preserve">Divorce Mediation and Family Law Practice</t>
        </is>
      </c>
      <c r="C491" s="63">
        <v>200000</v>
      </c>
      <c r="D491" s="63">
        <v>10076000</v>
      </c>
      <c t="inlineStr" r="E491">
        <is>
          <t xml:space="preserve">-----</t>
        </is>
      </c>
      <c r="F491" s="65">
        <v>0</v>
      </c>
      <c r="G491" s="65">
        <v>0</v>
      </c>
      <c t="inlineStr" r="H491">
        <is>
          <t xml:space="preserve">&lt;none&gt;</t>
        </is>
      </c>
      <c t="inlineStr" r="I491">
        <is>
          <t xml:space="preserve">&lt;none&gt;</t>
        </is>
      </c>
      <c t="inlineStr" r="L491">
        <is>
          <t xml:space="preserve">-----</t>
        </is>
      </c>
    </row>
    <row r="492">
      <c t="str" r="A492" s="4">
        <f>HYPERLINK("https://linkbusiness.com/businesses-for-sale/LA3164/Women%27s-Fitness-CURVES","LA3164")</f>
      </c>
      <c t="inlineStr" r="B492">
        <is>
          <t xml:space="preserve">Women's Fitness CURVES</t>
        </is>
      </c>
      <c r="C492" s="63">
        <v>30000</v>
      </c>
      <c r="D492" s="63">
        <v>1511400</v>
      </c>
      <c t="inlineStr" r="E492">
        <is>
          <t xml:space="preserve">Southern California</t>
        </is>
      </c>
      <c r="F492" s="65">
        <v>0</v>
      </c>
      <c r="G492" s="65">
        <v>0</v>
      </c>
      <c t="inlineStr" r="H492">
        <is>
          <t xml:space="preserve">Franchises</t>
        </is>
      </c>
      <c t="inlineStr" r="I492">
        <is>
          <t xml:space="preserve">&lt;none&gt;</t>
        </is>
      </c>
      <c t="inlineStr" r="L492">
        <is>
          <t xml:space="preserve">-----</t>
        </is>
      </c>
    </row>
    <row r="493">
      <c t="str" r="A493" s="4">
        <f>HYPERLINK("https://linkbusiness.com/businesses-for-sale/LA3176/Established%2c-Profitable%2c-and-Respected-Millwork-Co","LA3176")</f>
      </c>
      <c t="inlineStr" r="B493">
        <is>
          <t xml:space="preserve">Established, Profitable, and Respected Millwork Co</t>
        </is>
      </c>
      <c r="C493" s="63">
        <v>750000</v>
      </c>
      <c r="D493" s="63">
        <v>37785000</v>
      </c>
      <c t="inlineStr" r="E493">
        <is>
          <t xml:space="preserve">Southern California</t>
        </is>
      </c>
      <c r="F493" s="65">
        <v>0</v>
      </c>
      <c r="G493" s="65">
        <v>0</v>
      </c>
      <c t="inlineStr" r="H493">
        <is>
          <t xml:space="preserve">Manufacturing</t>
        </is>
      </c>
      <c t="inlineStr" r="I493">
        <is>
          <t xml:space="preserve">&lt;none&gt;</t>
        </is>
      </c>
      <c t="inlineStr" r="L493">
        <is>
          <t xml:space="preserve">-----</t>
        </is>
      </c>
    </row>
    <row r="494">
      <c t="str" r="A494" s="4">
        <f>HYPERLINK("https://linkbusiness.com/businesses-for-sale/LA3193/Commercial-Tree-and-Landscape-Business","LA3193")</f>
      </c>
      <c t="inlineStr" r="B494">
        <is>
          <t xml:space="preserve">Commercial Tree and Landscape Business</t>
        </is>
      </c>
      <c r="C494" s="63">
        <v>350000</v>
      </c>
      <c r="D494" s="63">
        <v>17633000</v>
      </c>
      <c t="inlineStr" r="E494">
        <is>
          <t xml:space="preserve">Southern California</t>
        </is>
      </c>
      <c r="F494" s="65">
        <v>0</v>
      </c>
      <c r="G494" s="65">
        <v>0</v>
      </c>
      <c t="inlineStr" r="H494">
        <is>
          <t xml:space="preserve">&lt;none&gt;</t>
        </is>
      </c>
      <c t="inlineStr" r="I494">
        <is>
          <t xml:space="preserve">&lt;none&gt;</t>
        </is>
      </c>
      <c t="inlineStr" r="L494">
        <is>
          <t xml:space="preserve">-----</t>
        </is>
      </c>
    </row>
    <row r="495">
      <c t="str" r="A495" s="4">
        <f>HYPERLINK("https://linkbusiness.com/businesses-for-sale/LA3210/High-volume-Veterinary-Hospital","LA3210")</f>
      </c>
      <c t="inlineStr" r="B495">
        <is>
          <t xml:space="preserve">High volume Veterinary Hospital</t>
        </is>
      </c>
      <c r="C495" s="63">
        <v>850000</v>
      </c>
      <c r="D495" s="63">
        <v>42823000</v>
      </c>
      <c t="inlineStr" r="E495">
        <is>
          <t xml:space="preserve">Southern California</t>
        </is>
      </c>
      <c r="F495" s="65">
        <v>0</v>
      </c>
      <c r="G495" s="65">
        <v>0</v>
      </c>
      <c t="inlineStr" r="H495">
        <is>
          <t xml:space="preserve">&lt;none&gt;</t>
        </is>
      </c>
      <c t="inlineStr" r="I495">
        <is>
          <t xml:space="preserve">&lt;none&gt;</t>
        </is>
      </c>
      <c t="inlineStr" r="L495">
        <is>
          <t xml:space="preserve">-----</t>
        </is>
      </c>
    </row>
    <row r="496">
      <c t="str" r="A496" s="4">
        <f>HYPERLINK("https://linkbusiness.com/businesses-for-sale/LA3252/xx","LA3252")</f>
      </c>
      <c t="inlineStr" r="B496">
        <is>
          <t xml:space="preserve">xx</t>
        </is>
      </c>
      <c r="C496" s="63">
        <v>250000</v>
      </c>
      <c r="D496" s="63">
        <v>12595000</v>
      </c>
      <c t="inlineStr" r="E496">
        <is>
          <t xml:space="preserve">San Diego County</t>
        </is>
      </c>
      <c r="F496" s="65">
        <v>0</v>
      </c>
      <c r="G496" s="65">
        <v>0</v>
      </c>
      <c t="inlineStr" r="H496">
        <is>
          <t xml:space="preserve">Educational Services</t>
        </is>
      </c>
      <c t="inlineStr" r="I496">
        <is>
          <t xml:space="preserve">&lt;none&gt;</t>
        </is>
      </c>
      <c t="inlineStr" r="L496">
        <is>
          <t xml:space="preserve">-----</t>
        </is>
      </c>
    </row>
    <row r="497">
      <c t="str" r="A497" s="4">
        <f>HYPERLINK("https://linkbusiness.com/businesses-for-sale/LA3279/Fishing-Paradise-for-sale-in-Eastern-Sierras","LA3279")</f>
      </c>
      <c t="inlineStr" r="B497">
        <is>
          <t xml:space="preserve">Fishing Paradise for sale in Eastern Sierras</t>
        </is>
      </c>
      <c r="C497" s="63">
        <v>985000</v>
      </c>
      <c r="D497" s="63">
        <v>49624300</v>
      </c>
      <c t="inlineStr" r="E497">
        <is>
          <t xml:space="preserve">Northern California</t>
        </is>
      </c>
      <c r="F497" s="65">
        <v>0</v>
      </c>
      <c r="G497" s="65">
        <v>0</v>
      </c>
      <c t="inlineStr" r="H497">
        <is>
          <t xml:space="preserve">Restaurant</t>
        </is>
      </c>
      <c t="inlineStr" r="I497">
        <is>
          <t xml:space="preserve">Accommodation</t>
        </is>
      </c>
      <c t="inlineStr" r="L497">
        <is>
          <t xml:space="preserve">-----</t>
        </is>
      </c>
    </row>
    <row r="498">
      <c t="str" r="A498" s="4">
        <f>HYPERLINK("https://linkbusiness.com/businesses-for-sale/LA3292/Sushi-Restaurant-and-Tapas-Bar","LA3292")</f>
      </c>
      <c t="inlineStr" r="B498">
        <is>
          <t xml:space="preserve">Sushi Restaurant and Tapas Bar</t>
        </is>
      </c>
      <c r="C498" s="63">
        <v>199000</v>
      </c>
      <c r="D498" s="63">
        <v>10025620</v>
      </c>
      <c t="inlineStr" r="E498">
        <is>
          <t xml:space="preserve">-----</t>
        </is>
      </c>
      <c r="F498" s="65">
        <v>0</v>
      </c>
      <c r="G498" s="65">
        <v>0</v>
      </c>
      <c t="inlineStr" r="H498">
        <is>
          <t xml:space="preserve">Restaurant</t>
        </is>
      </c>
      <c t="inlineStr" r="I498">
        <is>
          <t xml:space="preserve">&lt;none&gt;</t>
        </is>
      </c>
      <c t="inlineStr" r="L498">
        <is>
          <t xml:space="preserve">-----</t>
        </is>
      </c>
    </row>
    <row r="499">
      <c t="str" r="A499" s="4">
        <f>HYPERLINK("https://linkbusiness.com/businesses-for-sale/LA3296/Absentee-Run-Veterinary-Clinic-and-Pet-Store","LA3296")</f>
      </c>
      <c t="inlineStr" r="B499">
        <is>
          <t xml:space="preserve">Absentee Run Veterinary Clinic and Pet Store</t>
        </is>
      </c>
      <c r="C499" s="63">
        <v>150000</v>
      </c>
      <c r="D499" s="63">
        <v>7557000</v>
      </c>
      <c t="inlineStr" r="E499">
        <is>
          <t xml:space="preserve">Orange County</t>
        </is>
      </c>
      <c r="F499" s="65">
        <v>0</v>
      </c>
      <c r="G499" s="65">
        <v>0</v>
      </c>
      <c t="inlineStr" r="H499">
        <is>
          <t xml:space="preserve">&lt;none&gt;</t>
        </is>
      </c>
      <c t="inlineStr" r="I499">
        <is>
          <t xml:space="preserve">&lt;none&gt;</t>
        </is>
      </c>
      <c t="inlineStr" r="L499">
        <is>
          <t xml:space="preserve">-----</t>
        </is>
      </c>
    </row>
    <row r="500">
      <c t="str" r="A500" s="4">
        <f>HYPERLINK("https://linkbusiness.com/businesses-for-sale/LA3326/Franchised-full-service-yogurt-shop-in-Long-Beach","LA3326")</f>
      </c>
      <c t="inlineStr" r="B500">
        <is>
          <t xml:space="preserve">Franchised full service yogurt shop in Long Beach</t>
        </is>
      </c>
      <c r="C500" s="63">
        <v>105000</v>
      </c>
      <c r="D500" s="63">
        <v>5289900</v>
      </c>
      <c t="inlineStr" r="E500">
        <is>
          <t xml:space="preserve">Southern California</t>
        </is>
      </c>
      <c r="F500" s="65">
        <v>0</v>
      </c>
      <c r="G500" s="65">
        <v>0</v>
      </c>
      <c t="inlineStr" r="H500">
        <is>
          <t xml:space="preserve">Restaurant</t>
        </is>
      </c>
      <c t="inlineStr" r="I500">
        <is>
          <t xml:space="preserve">Food Services and Drinking Places</t>
        </is>
      </c>
      <c t="inlineStr" r="L500">
        <is>
          <t xml:space="preserve">-----</t>
        </is>
      </c>
    </row>
    <row r="501">
      <c t="str" r="A501" s="4">
        <f>HYPERLINK("https://linkbusiness.com/businesses-for-sale/LA3331/Est-Mexican-Restaurant-in-Spanish-Neighborhood","LA3331")</f>
      </c>
      <c t="inlineStr" r="B501">
        <is>
          <t xml:space="preserve">Est. Mexican Restaurant in Spanish Neighborhood</t>
        </is>
      </c>
      <c r="C501" s="63">
        <v>95000</v>
      </c>
      <c r="D501" s="63">
        <v>4786100</v>
      </c>
      <c t="inlineStr" r="E501">
        <is>
          <t xml:space="preserve">-----</t>
        </is>
      </c>
      <c r="F501" s="65">
        <v>0</v>
      </c>
      <c r="G501" s="65">
        <v>0</v>
      </c>
      <c t="inlineStr" r="H501">
        <is>
          <t xml:space="preserve">Restaurant</t>
        </is>
      </c>
      <c t="inlineStr" r="I501">
        <is>
          <t xml:space="preserve">&lt;none&gt;</t>
        </is>
      </c>
      <c t="inlineStr" r="L501">
        <is>
          <t xml:space="preserve">-----</t>
        </is>
      </c>
    </row>
    <row r="502">
      <c t="str" r="A502" s="4">
        <f>HYPERLINK("https://linkbusiness.com/businesses-for-sale/LA3340/Unique-Fast%252fCasual-Food-Concept-Available","LA3340")</f>
      </c>
      <c t="inlineStr" r="B502">
        <is>
          <t xml:space="preserve">Unique Fast/Casual Food Concept Available</t>
        </is>
      </c>
      <c r="C502" s="63">
        <v>450000</v>
      </c>
      <c r="D502" s="63">
        <v>22671000</v>
      </c>
      <c t="inlineStr" r="E502">
        <is>
          <t xml:space="preserve">Orange County</t>
        </is>
      </c>
      <c r="F502" s="65">
        <v>0</v>
      </c>
      <c r="G502" s="65">
        <v>0</v>
      </c>
      <c t="inlineStr" r="H502">
        <is>
          <t xml:space="preserve">Restaurant</t>
        </is>
      </c>
      <c t="inlineStr" r="I502">
        <is>
          <t xml:space="preserve">Food Services and Drinking Places</t>
        </is>
      </c>
      <c t="inlineStr" r="L502">
        <is>
          <t xml:space="preserve">-----</t>
        </is>
      </c>
    </row>
    <row r="503">
      <c t="str" r="A503" s="4">
        <f>HYPERLINK("https://linkbusiness.com/businesses-for-sale/LA3344/M-F-Sandwich-Shop-in-Orange-County%2c-CA","LA3344")</f>
      </c>
      <c t="inlineStr" r="B503">
        <is>
          <t xml:space="preserve">M-F Sandwich Shop in Orange County, CA</t>
        </is>
      </c>
      <c r="C503" s="63">
        <v>55000</v>
      </c>
      <c r="D503" s="63">
        <v>2770900</v>
      </c>
      <c t="inlineStr" r="E503">
        <is>
          <t xml:space="preserve">Orange County</t>
        </is>
      </c>
      <c r="F503" s="65">
        <v>0</v>
      </c>
      <c r="G503" s="65">
        <v>0</v>
      </c>
      <c t="inlineStr" r="H503">
        <is>
          <t xml:space="preserve">Restaurant</t>
        </is>
      </c>
      <c t="inlineStr" r="I503">
        <is>
          <t xml:space="preserve">Food Services and Drinking Places</t>
        </is>
      </c>
      <c t="inlineStr" r="L503">
        <is>
          <t xml:space="preserve">-----</t>
        </is>
      </c>
    </row>
    <row r="504">
      <c t="str" r="A504" s="4">
        <f>HYPERLINK("https://linkbusiness.com/businesses-for-sale/LA3345/Chinese-Fast-Food%252fLouisana-Chicken","LA3345")</f>
      </c>
      <c t="inlineStr" r="B504">
        <is>
          <t xml:space="preserve">Chinese Fast Food/Louisana Chicken</t>
        </is>
      </c>
      <c r="C504" s="63">
        <v>95000</v>
      </c>
      <c r="D504" s="63">
        <v>4786100</v>
      </c>
      <c t="inlineStr" r="E504">
        <is>
          <t xml:space="preserve">Southern California</t>
        </is>
      </c>
      <c r="F504" s="65">
        <v>0</v>
      </c>
      <c r="G504" s="65">
        <v>0</v>
      </c>
      <c t="inlineStr" r="H504">
        <is>
          <t xml:space="preserve">Restaurant</t>
        </is>
      </c>
      <c t="inlineStr" r="I504">
        <is>
          <t xml:space="preserve">Food Services and Drinking Places</t>
        </is>
      </c>
      <c t="inlineStr" r="L504">
        <is>
          <t xml:space="preserve">-----</t>
        </is>
      </c>
    </row>
    <row r="505">
      <c t="str" r="A505" s="4">
        <f>HYPERLINK("https://linkbusiness.com/businesses-for-sale/LA3349/Viable-Niche-Market-Online-Printing-Biz","LA3349")</f>
      </c>
      <c t="inlineStr" r="B505">
        <is>
          <t xml:space="preserve">Viable Niche Market Online Printing Biz</t>
        </is>
      </c>
      <c r="C505" s="63">
        <v>160000</v>
      </c>
      <c r="D505" s="63">
        <v>8060800</v>
      </c>
      <c t="inlineStr" r="E505">
        <is>
          <t xml:space="preserve">Orange County</t>
        </is>
      </c>
      <c r="F505" s="65">
        <v>0</v>
      </c>
      <c r="G505" s="65">
        <v>0</v>
      </c>
      <c t="inlineStr" r="H505">
        <is>
          <t xml:space="preserve">&lt;none&gt;</t>
        </is>
      </c>
      <c t="inlineStr" r="I505">
        <is>
          <t xml:space="preserve">&lt;none&gt;</t>
        </is>
      </c>
      <c t="inlineStr" r="L505">
        <is>
          <t xml:space="preserve">-----</t>
        </is>
      </c>
    </row>
    <row r="506">
      <c t="str" r="A506" s="4">
        <f>HYPERLINK("https://linkbusiness.com/businesses-for-sale/LA3370/LIQUOR-STORE-Priced-for-a-Quick-Sale!","LA3370")</f>
      </c>
      <c t="inlineStr" r="B506">
        <is>
          <t xml:space="preserve">LIQUOR STORE-Priced for a Quick Sale!</t>
        </is>
      </c>
      <c r="C506" s="63">
        <v>125000</v>
      </c>
      <c r="D506" s="63">
        <v>6297500</v>
      </c>
      <c t="inlineStr" r="E506">
        <is>
          <t xml:space="preserve">Southern California</t>
        </is>
      </c>
      <c r="F506" s="65">
        <v>0</v>
      </c>
      <c r="G506" s="65">
        <v>0</v>
      </c>
      <c t="inlineStr" r="H506">
        <is>
          <t xml:space="preserve">Retail Trade</t>
        </is>
      </c>
      <c t="inlineStr" r="I506">
        <is>
          <t xml:space="preserve">Food and Beverage Stores</t>
        </is>
      </c>
      <c t="inlineStr" r="L506">
        <is>
          <t xml:space="preserve">-----</t>
        </is>
      </c>
    </row>
    <row r="507">
      <c t="str" r="A507" s="4">
        <f>HYPERLINK("https://linkbusiness.com/businesses-for-sale/LA3383/Profitable-Cafe-in-Hi-Rise-Building","LA3383")</f>
      </c>
      <c t="inlineStr" r="B507">
        <is>
          <t xml:space="preserve">Profitable Cafe in Hi-Rise Building</t>
        </is>
      </c>
      <c r="C507" s="63">
        <v>95000</v>
      </c>
      <c r="D507" s="63">
        <v>4786100</v>
      </c>
      <c t="inlineStr" r="E507">
        <is>
          <t xml:space="preserve">Southern California</t>
        </is>
      </c>
      <c r="F507" s="65">
        <v>0</v>
      </c>
      <c r="G507" s="65">
        <v>0</v>
      </c>
      <c t="inlineStr" r="H507">
        <is>
          <t xml:space="preserve">Restaurant</t>
        </is>
      </c>
      <c t="inlineStr" r="I507">
        <is>
          <t xml:space="preserve">Food Services and Drinking Places</t>
        </is>
      </c>
      <c t="inlineStr" r="L507">
        <is>
          <t xml:space="preserve">-----</t>
        </is>
      </c>
    </row>
    <row r="508">
      <c t="str" r="A508" s="4">
        <f>HYPERLINK("https://linkbusiness.com/businesses-for-sale/LA3387/Well-Established-Sewing-Contractor","LA3387")</f>
      </c>
      <c t="inlineStr" r="B508">
        <is>
          <t xml:space="preserve">Well Established Sewing Contractor</t>
        </is>
      </c>
      <c r="C508" s="63">
        <v>70000</v>
      </c>
      <c r="D508" s="63">
        <v>3526600</v>
      </c>
      <c t="inlineStr" r="E508">
        <is>
          <t xml:space="preserve">Southern California</t>
        </is>
      </c>
      <c r="F508" s="65">
        <v>0</v>
      </c>
      <c r="G508" s="65">
        <v>0</v>
      </c>
      <c t="inlineStr" r="H508">
        <is>
          <t xml:space="preserve">&lt;none&gt;</t>
        </is>
      </c>
      <c t="inlineStr" r="I508">
        <is>
          <t xml:space="preserve">&lt;none&gt;</t>
        </is>
      </c>
      <c t="inlineStr" r="L508">
        <is>
          <t xml:space="preserve">-----</t>
        </is>
      </c>
    </row>
    <row r="509">
      <c t="str" r="A509" s="4">
        <f>HYPERLINK("https://linkbusiness.com/businesses-for-sale/LA3392/MUST-SEE-Beautiful-Chinese-Restaurant","LA3392")</f>
      </c>
      <c t="inlineStr" r="B509">
        <is>
          <t xml:space="preserve">MUST SEE Beautiful Chinese Restaurant</t>
        </is>
      </c>
      <c r="C509" s="63">
        <v>90000</v>
      </c>
      <c r="D509" s="63">
        <v>4534200</v>
      </c>
      <c t="inlineStr" r="E509">
        <is>
          <t xml:space="preserve">Southern California</t>
        </is>
      </c>
      <c r="F509" s="65">
        <v>0</v>
      </c>
      <c r="G509" s="65">
        <v>0</v>
      </c>
      <c t="inlineStr" r="H509">
        <is>
          <t xml:space="preserve">Restaurant</t>
        </is>
      </c>
      <c t="inlineStr" r="I509">
        <is>
          <t xml:space="preserve">Food Services and Drinking Places</t>
        </is>
      </c>
      <c t="inlineStr" r="L509">
        <is>
          <t xml:space="preserve">-----</t>
        </is>
      </c>
    </row>
    <row r="510">
      <c t="str" r="A510" s="4">
        <f>HYPERLINK("https://linkbusiness.com/businesses-for-sale/LA3396/ESTABLISHED-BEER-AND-WINE-BAR","LA3396")</f>
      </c>
      <c t="inlineStr" r="B510">
        <is>
          <t xml:space="preserve">ESTABLISHED BEER AND WINE BAR</t>
        </is>
      </c>
      <c r="C510" s="63">
        <v>199000</v>
      </c>
      <c r="D510" s="63">
        <v>10025620</v>
      </c>
      <c t="inlineStr" r="E510">
        <is>
          <t xml:space="preserve">Southern California</t>
        </is>
      </c>
      <c r="F510" s="65">
        <v>0</v>
      </c>
      <c r="G510" s="65">
        <v>0</v>
      </c>
      <c t="inlineStr" r="H510">
        <is>
          <t xml:space="preserve">Restaurant</t>
        </is>
      </c>
      <c t="inlineStr" r="I510">
        <is>
          <t xml:space="preserve">Food Services and Drinking Places</t>
        </is>
      </c>
      <c t="inlineStr" r="L510">
        <is>
          <t xml:space="preserve">-----</t>
        </is>
      </c>
    </row>
    <row r="511">
      <c t="str" r="A511" s="4">
        <f>HYPERLINK("https://linkbusiness.com/businesses-for-sale/LA3404CD/Ex-Starbucks-Coffee-House","LA3404CD")</f>
      </c>
      <c t="inlineStr" r="B511">
        <is>
          <t xml:space="preserve">Ex Starbucks Coffee House</t>
        </is>
      </c>
      <c r="C511" s="63">
        <v>105000</v>
      </c>
      <c r="D511" s="63">
        <v>5289900</v>
      </c>
      <c t="inlineStr" r="E511">
        <is>
          <t xml:space="preserve">Orange County</t>
        </is>
      </c>
      <c r="F511" s="65">
        <v>0</v>
      </c>
      <c r="G511" s="65">
        <v>0</v>
      </c>
      <c t="inlineStr" r="H511">
        <is>
          <t xml:space="preserve">Restaurant</t>
        </is>
      </c>
      <c t="inlineStr" r="I511">
        <is>
          <t xml:space="preserve">Food Services and Drinking Places</t>
        </is>
      </c>
      <c t="inlineStr" r="L511">
        <is>
          <t xml:space="preserve">-----</t>
        </is>
      </c>
    </row>
    <row r="512">
      <c t="str" r="A512" s="4">
        <f>HYPERLINK("https://linkbusiness.com/businesses-for-sale/LA3410/Franchise-Cookie-%26-Frozen-Yogurt-Retail-Business","LA3410")</f>
      </c>
      <c t="inlineStr" r="B512">
        <is>
          <t xml:space="preserve">Franchise Cookie &amp; Frozen Yogurt Retail Business</t>
        </is>
      </c>
      <c r="C512" s="63">
        <v>80000</v>
      </c>
      <c r="D512" s="63">
        <v>4030400</v>
      </c>
      <c t="inlineStr" r="E512">
        <is>
          <t xml:space="preserve">Southern California</t>
        </is>
      </c>
      <c r="F512" s="65">
        <v>0</v>
      </c>
      <c r="G512" s="65">
        <v>0</v>
      </c>
      <c t="inlineStr" r="H512">
        <is>
          <t xml:space="preserve">Franchises</t>
        </is>
      </c>
      <c t="inlineStr" r="I512">
        <is>
          <t xml:space="preserve">&lt;none&gt;</t>
        </is>
      </c>
      <c t="inlineStr" r="L512">
        <is>
          <t xml:space="preserve">-----</t>
        </is>
      </c>
    </row>
    <row r="513">
      <c t="str" r="A513" s="4">
        <f>HYPERLINK("https://linkbusiness.com/businesses-for-sale/LA3414/Very-Profitable-Pilates-Studio-with-Best-Location","LA3414")</f>
      </c>
      <c t="inlineStr" r="B513">
        <is>
          <t xml:space="preserve">Very Profitable Pilates Studio with Best Location</t>
        </is>
      </c>
      <c r="C513" s="63">
        <v>250000</v>
      </c>
      <c r="D513" s="63">
        <v>12595000</v>
      </c>
      <c t="inlineStr" r="E513">
        <is>
          <t xml:space="preserve">Southern California</t>
        </is>
      </c>
      <c r="F513" s="65">
        <v>0</v>
      </c>
      <c r="G513" s="65">
        <v>0</v>
      </c>
      <c t="inlineStr" r="H513">
        <is>
          <t xml:space="preserve">Arts, Entertainment &amp; Recreation</t>
        </is>
      </c>
      <c t="inlineStr" r="I513">
        <is>
          <t xml:space="preserve">&lt;none&gt;</t>
        </is>
      </c>
      <c t="inlineStr" r="L513">
        <is>
          <t xml:space="preserve">-----</t>
        </is>
      </c>
    </row>
    <row r="514">
      <c t="str" r="A514" s="4">
        <f>HYPERLINK("https://linkbusiness.com/businesses-for-sale/LA3417/Free-Standing-Mexican-Restaurant","LA3417")</f>
      </c>
      <c t="inlineStr" r="B514">
        <is>
          <t xml:space="preserve">Free Standing Mexican Restaurant</t>
        </is>
      </c>
      <c r="C514" s="63">
        <v>95000</v>
      </c>
      <c r="D514" s="63">
        <v>4786100</v>
      </c>
      <c t="inlineStr" r="E514">
        <is>
          <t xml:space="preserve">Southern California</t>
        </is>
      </c>
      <c r="F514" s="65">
        <v>0</v>
      </c>
      <c r="G514" s="65">
        <v>0</v>
      </c>
      <c t="inlineStr" r="H514">
        <is>
          <t xml:space="preserve">Restaurant</t>
        </is>
      </c>
      <c t="inlineStr" r="I514">
        <is>
          <t xml:space="preserve">Food Services and Drinking Places</t>
        </is>
      </c>
      <c t="inlineStr" r="L514">
        <is>
          <t xml:space="preserve">-----</t>
        </is>
      </c>
    </row>
    <row r="515">
      <c t="str" r="A515" s="4">
        <f>HYPERLINK("https://linkbusiness.com/businesses-for-sale/LA3419/Easy-to-run-franchise-operation","LA3419")</f>
      </c>
      <c t="inlineStr" r="B515">
        <is>
          <t xml:space="preserve">Easy-to-run franchise operation</t>
        </is>
      </c>
      <c r="C515" s="63">
        <v>229305</v>
      </c>
      <c r="D515" s="63">
        <v>11552385</v>
      </c>
      <c t="inlineStr" r="E515">
        <is>
          <t xml:space="preserve">Southern California</t>
        </is>
      </c>
      <c r="F515" s="65">
        <v>0</v>
      </c>
      <c r="G515" s="65">
        <v>0</v>
      </c>
      <c t="inlineStr" r="H515">
        <is>
          <t xml:space="preserve">Restaurant</t>
        </is>
      </c>
      <c t="inlineStr" r="I515">
        <is>
          <t xml:space="preserve">Food Services and Drinking Places</t>
        </is>
      </c>
      <c t="inlineStr" r="L515">
        <is>
          <t xml:space="preserve">-----</t>
        </is>
      </c>
    </row>
    <row r="516">
      <c t="str" r="A516" s="4">
        <f>HYPERLINK("https://linkbusiness.com/businesses-for-sale/LA3420/Integrative-Medical-Practice","LA3420")</f>
      </c>
      <c t="inlineStr" r="B516">
        <is>
          <t xml:space="preserve">Integrative Medical Practice</t>
        </is>
      </c>
      <c r="C516" s="63">
        <v>120000</v>
      </c>
      <c r="D516" s="63">
        <v>6045600</v>
      </c>
      <c t="inlineStr" r="E516">
        <is>
          <t xml:space="preserve">Southern California</t>
        </is>
      </c>
      <c r="F516" s="65">
        <v>0</v>
      </c>
      <c r="G516" s="65">
        <v>0</v>
      </c>
      <c t="inlineStr" r="H516">
        <is>
          <t xml:space="preserve">Health Care &amp; Social Assistance</t>
        </is>
      </c>
      <c t="inlineStr" r="I516">
        <is>
          <t xml:space="preserve">&lt;none&gt;</t>
        </is>
      </c>
      <c t="inlineStr" r="L516">
        <is>
          <t xml:space="preserve">-----</t>
        </is>
      </c>
    </row>
    <row r="517">
      <c t="str" r="A517" s="4">
        <f>HYPERLINK("https://linkbusiness.com/businesses-for-sale/LA3421/High-volume-yogurt-shop-in-South-Orange-County","LA3421")</f>
      </c>
      <c t="inlineStr" r="B517">
        <is>
          <t xml:space="preserve">High volume yogurt shop in South Orange County</t>
        </is>
      </c>
      <c r="C517" s="63">
        <v>110000</v>
      </c>
      <c r="D517" s="63">
        <v>5541800</v>
      </c>
      <c t="inlineStr" r="E517">
        <is>
          <t xml:space="preserve">Southern California</t>
        </is>
      </c>
      <c r="F517" s="65">
        <v>0</v>
      </c>
      <c r="G517" s="65">
        <v>0</v>
      </c>
      <c t="inlineStr" r="H517">
        <is>
          <t xml:space="preserve">Restaurant</t>
        </is>
      </c>
      <c t="inlineStr" r="I517">
        <is>
          <t xml:space="preserve">Food Services and Drinking Places</t>
        </is>
      </c>
      <c t="inlineStr" r="L517">
        <is>
          <t xml:space="preserve">-----</t>
        </is>
      </c>
    </row>
    <row r="518">
      <c t="str" r="A518" s="4">
        <f>HYPERLINK("https://linkbusiness.com/businesses-for-sale/LA3422/Franchised-yogurt-shop-in-South-Orange-County","LA3422")</f>
      </c>
      <c t="inlineStr" r="B518">
        <is>
          <t xml:space="preserve">Franchised yogurt shop in South Orange County</t>
        </is>
      </c>
      <c r="C518" s="63">
        <v>60000</v>
      </c>
      <c r="D518" s="63">
        <v>3022800</v>
      </c>
      <c t="inlineStr" r="E518">
        <is>
          <t xml:space="preserve">Southern California</t>
        </is>
      </c>
      <c r="F518" s="65">
        <v>0</v>
      </c>
      <c r="G518" s="65">
        <v>0</v>
      </c>
      <c t="inlineStr" r="H518">
        <is>
          <t xml:space="preserve">Food Services and Drinking Places</t>
        </is>
      </c>
      <c t="inlineStr" r="I518">
        <is>
          <t xml:space="preserve">&lt;none&gt;</t>
        </is>
      </c>
      <c t="inlineStr" r="L518">
        <is>
          <t xml:space="preserve">-----</t>
        </is>
      </c>
    </row>
    <row r="519">
      <c t="str" r="A519" s="4">
        <f>HYPERLINK("https://linkbusiness.com/businesses-for-sale/LA3429/Appointment-Book-Printer-and-Distributor-in-OC","LA3429")</f>
      </c>
      <c t="inlineStr" r="B519">
        <is>
          <t xml:space="preserve">Appointment Book Printer and Distributor in O.C.</t>
        </is>
      </c>
      <c r="C519" s="63">
        <v>120000</v>
      </c>
      <c r="D519" s="63">
        <v>6045600</v>
      </c>
      <c t="inlineStr" r="E519">
        <is>
          <t xml:space="preserve">Southern California</t>
        </is>
      </c>
      <c r="F519" s="65">
        <v>0</v>
      </c>
      <c r="G519" s="65">
        <v>0</v>
      </c>
      <c t="inlineStr" r="H519">
        <is>
          <t xml:space="preserve">Manufacturing</t>
        </is>
      </c>
      <c t="inlineStr" r="I519">
        <is>
          <t xml:space="preserve">Printing and Related Support Activities</t>
        </is>
      </c>
      <c t="inlineStr" r="L519">
        <is>
          <t xml:space="preserve">-----</t>
        </is>
      </c>
    </row>
    <row r="520">
      <c t="str" r="A520" s="4">
        <f>HYPERLINK("https://linkbusiness.com/businesses-for-sale/LA3431/Easy-to-run%2c-Lucrative%2c-Franchise-Operation!","LA3431")</f>
      </c>
      <c t="inlineStr" r="B520">
        <is>
          <t xml:space="preserve">Easy-to-run, Lucrative, Franchise Operation!</t>
        </is>
      </c>
      <c r="C520" s="63">
        <v>81370</v>
      </c>
      <c r="D520" s="63">
        <v>4099420</v>
      </c>
      <c t="inlineStr" r="E520">
        <is>
          <t xml:space="preserve">Southern California</t>
        </is>
      </c>
      <c r="F520" s="65">
        <v>0</v>
      </c>
      <c r="G520" s="65">
        <v>0</v>
      </c>
      <c t="inlineStr" r="H520">
        <is>
          <t xml:space="preserve">Franchises</t>
        </is>
      </c>
      <c t="inlineStr" r="I520">
        <is>
          <t xml:space="preserve">&lt;none&gt;</t>
        </is>
      </c>
      <c t="inlineStr" r="L520">
        <is>
          <t xml:space="preserve">-----</t>
        </is>
      </c>
    </row>
    <row r="521">
      <c t="str" r="A521" s="4">
        <f>HYPERLINK("https://linkbusiness.com/businesses-for-sale/LA3432/Cookie-Franchise-for-Sale!","LA3432")</f>
      </c>
      <c t="inlineStr" r="B521">
        <is>
          <t xml:space="preserve">Cookie Franchise for Sale!</t>
        </is>
      </c>
      <c r="C521" s="63">
        <v>77000</v>
      </c>
      <c r="D521" s="63">
        <v>3879260</v>
      </c>
      <c t="inlineStr" r="E521">
        <is>
          <t xml:space="preserve">-----</t>
        </is>
      </c>
      <c r="F521" s="65">
        <v>0</v>
      </c>
      <c r="G521" s="65">
        <v>0</v>
      </c>
      <c t="inlineStr" r="H521">
        <is>
          <t xml:space="preserve">Food Services and Drinking Places</t>
        </is>
      </c>
      <c t="inlineStr" r="I521">
        <is>
          <t xml:space="preserve">&lt;none&gt;</t>
        </is>
      </c>
      <c t="inlineStr" r="L521">
        <is>
          <t xml:space="preserve">-----</t>
        </is>
      </c>
    </row>
    <row r="522">
      <c t="str" r="A522" s="4">
        <f>HYPERLINK("https://linkbusiness.com/businesses-for-sale/LA3434/Potential%2c-Teriyaki-Shop","LA3434")</f>
      </c>
      <c t="inlineStr" r="B522">
        <is>
          <t xml:space="preserve">Potential, Teriyaki Shop</t>
        </is>
      </c>
      <c r="C522" s="63">
        <v>185000</v>
      </c>
      <c r="D522" s="63">
        <v>9320300</v>
      </c>
      <c t="inlineStr" r="E522">
        <is>
          <t xml:space="preserve">Southern California</t>
        </is>
      </c>
      <c r="F522" s="65">
        <v>0</v>
      </c>
      <c r="G522" s="65">
        <v>0</v>
      </c>
      <c t="inlineStr" r="H522">
        <is>
          <t xml:space="preserve">Restaurant</t>
        </is>
      </c>
      <c t="inlineStr" r="I522">
        <is>
          <t xml:space="preserve">Food Services and Drinking Places</t>
        </is>
      </c>
      <c t="inlineStr" r="L522">
        <is>
          <t xml:space="preserve">-----</t>
        </is>
      </c>
    </row>
    <row r="523">
      <c t="str" r="A523" s="4">
        <f>HYPERLINK("https://linkbusiness.com/businesses-for-sale/LA3445/Franchised-Full-Service-Yogurt-Shop","LA3445")</f>
      </c>
      <c t="inlineStr" r="B523">
        <is>
          <t xml:space="preserve">Franchised Full Service Yogurt Shop</t>
        </is>
      </c>
      <c r="C523" s="63">
        <v>120000</v>
      </c>
      <c r="D523" s="63">
        <v>6045600</v>
      </c>
      <c t="inlineStr" r="E523">
        <is>
          <t xml:space="preserve">Orange County</t>
        </is>
      </c>
      <c r="F523" s="65">
        <v>0</v>
      </c>
      <c r="G523" s="65">
        <v>0</v>
      </c>
      <c t="inlineStr" r="H523">
        <is>
          <t xml:space="preserve">Food Services and Drinking Places</t>
        </is>
      </c>
      <c t="inlineStr" r="I523">
        <is>
          <t xml:space="preserve">&lt;none&gt;</t>
        </is>
      </c>
      <c t="inlineStr" r="L523">
        <is>
          <t xml:space="preserve">-----</t>
        </is>
      </c>
    </row>
    <row r="524">
      <c t="str" r="A524" s="4">
        <f>HYPERLINK("https://linkbusiness.com/businesses-for-sale/LA3456/Very-well-run-mini-charter-bus-company","LA3456")</f>
      </c>
      <c t="inlineStr" r="B524">
        <is>
          <t xml:space="preserve">Very well run mini charter bus company</t>
        </is>
      </c>
      <c r="C524" s="63">
        <v>1200000</v>
      </c>
      <c r="D524" s="63">
        <v>60456000</v>
      </c>
      <c t="inlineStr" r="E524">
        <is>
          <t xml:space="preserve">-----</t>
        </is>
      </c>
      <c r="F524" s="65">
        <v>0</v>
      </c>
      <c r="G524" s="65">
        <v>0</v>
      </c>
      <c t="inlineStr" r="H524">
        <is>
          <t xml:space="preserve">Other Services (except public administration)</t>
        </is>
      </c>
      <c t="inlineStr" r="I524">
        <is>
          <t xml:space="preserve">&lt;none&gt;</t>
        </is>
      </c>
      <c t="inlineStr" r="L524">
        <is>
          <t xml:space="preserve">-----</t>
        </is>
      </c>
    </row>
    <row r="525">
      <c t="str" r="A525" s="4">
        <f>HYPERLINK("https://linkbusiness.com/businesses-for-sale/LA3458/Cookie-Franchise-for-Sale-in-Orange-County-Area","LA3458")</f>
      </c>
      <c t="inlineStr" r="B525">
        <is>
          <t xml:space="preserve">Cookie Franchise for Sale in Orange County Area</t>
        </is>
      </c>
      <c r="C525" s="63">
        <v>25000</v>
      </c>
      <c r="D525" s="63">
        <v>1259500</v>
      </c>
      <c t="inlineStr" r="E525">
        <is>
          <t xml:space="preserve">Southern California</t>
        </is>
      </c>
      <c r="F525" s="65">
        <v>0</v>
      </c>
      <c r="G525" s="65">
        <v>0</v>
      </c>
      <c t="inlineStr" r="H525">
        <is>
          <t xml:space="preserve">Restaurant</t>
        </is>
      </c>
      <c t="inlineStr" r="I525">
        <is>
          <t xml:space="preserve">Food Services and Drinking Places</t>
        </is>
      </c>
      <c t="inlineStr" r="L525">
        <is>
          <t xml:space="preserve">-----</t>
        </is>
      </c>
    </row>
    <row r="526">
      <c t="str" r="A526" s="4">
        <f>HYPERLINK("https://linkbusiness.com/businesses-for-sale/LA3460/Well-Established-Deli%252fBakery-in-SFV","LA3460")</f>
      </c>
      <c t="inlineStr" r="B526">
        <is>
          <t xml:space="preserve">Well Established Deli/Bakery in SFV</t>
        </is>
      </c>
      <c r="C526" s="63">
        <v>37000</v>
      </c>
      <c r="D526" s="63">
        <v>1864060</v>
      </c>
      <c t="inlineStr" r="E526">
        <is>
          <t xml:space="preserve">Southern California</t>
        </is>
      </c>
      <c r="F526" s="65">
        <v>0</v>
      </c>
      <c r="G526" s="65">
        <v>0</v>
      </c>
      <c t="inlineStr" r="H526">
        <is>
          <t xml:space="preserve">Retail Trade</t>
        </is>
      </c>
      <c t="inlineStr" r="I526">
        <is>
          <t xml:space="preserve">Food and Beverage Stores</t>
        </is>
      </c>
      <c t="inlineStr" r="L526">
        <is>
          <t xml:space="preserve">-----</t>
        </is>
      </c>
    </row>
    <row r="527">
      <c t="str" r="A527" s="4">
        <f>HYPERLINK("https://linkbusiness.com/businesses-for-sale/LA3462/Metal-Fabricator-%252f-Heavy-Duty-Construction-Vehicle","LA3462")</f>
      </c>
      <c t="inlineStr" r="B527">
        <is>
          <t xml:space="preserve">Metal Fabricator / Heavy Duty Construction Vehicle</t>
        </is>
      </c>
      <c r="C527" s="63">
        <v>1200000</v>
      </c>
      <c r="D527" s="63">
        <v>60456000</v>
      </c>
      <c t="inlineStr" r="E527">
        <is>
          <t xml:space="preserve">Other States</t>
        </is>
      </c>
      <c r="F527" s="65">
        <v>0</v>
      </c>
      <c r="G527" s="65">
        <v>0</v>
      </c>
      <c t="inlineStr" r="H527">
        <is>
          <t xml:space="preserve">Manufacturing</t>
        </is>
      </c>
      <c t="inlineStr" r="I527">
        <is>
          <t xml:space="preserve">Primary Metal Manufacturing</t>
        </is>
      </c>
      <c t="inlineStr" r="L527">
        <is>
          <t xml:space="preserve">-----</t>
        </is>
      </c>
    </row>
    <row r="528">
      <c t="str" r="A528" s="4">
        <f>HYPERLINK("https://linkbusiness.com/businesses-for-sale/LA3485/Very-Profitable-Italian-%252f-Pizza-Restaurant","LA3485")</f>
      </c>
      <c t="inlineStr" r="B528">
        <is>
          <t xml:space="preserve">Very Profitable Italian / Pizza Restaurant</t>
        </is>
      </c>
      <c r="C528" s="63">
        <v>200000</v>
      </c>
      <c r="D528" s="63">
        <v>10076000</v>
      </c>
      <c t="inlineStr" r="E528">
        <is>
          <t xml:space="preserve">-----</t>
        </is>
      </c>
      <c r="F528" s="65">
        <v>0</v>
      </c>
      <c r="G528" s="65">
        <v>0</v>
      </c>
      <c t="inlineStr" r="H528">
        <is>
          <t xml:space="preserve">Restaurant</t>
        </is>
      </c>
      <c t="inlineStr" r="I528">
        <is>
          <t xml:space="preserve">&lt;none&gt;</t>
        </is>
      </c>
      <c t="inlineStr" r="L528">
        <is>
          <t xml:space="preserve">-----</t>
        </is>
      </c>
    </row>
    <row r="529">
      <c t="str" r="A529" s="4">
        <f>HYPERLINK("https://linkbusiness.com/businesses-for-sale/LA3487/Franchised-Yogurt-Shop-in-beautiful-S-Orange-Co","LA3487")</f>
      </c>
      <c t="inlineStr" r="B529">
        <is>
          <t xml:space="preserve">Franchised Yogurt Shop in beautiful S. Orange Co.</t>
        </is>
      </c>
      <c r="C529" s="63">
        <v>82000</v>
      </c>
      <c r="D529" s="63">
        <v>4131160</v>
      </c>
      <c t="inlineStr" r="E529">
        <is>
          <t xml:space="preserve">Orange County</t>
        </is>
      </c>
      <c r="F529" s="65">
        <v>0</v>
      </c>
      <c r="G529" s="65">
        <v>0</v>
      </c>
      <c t="inlineStr" r="H529">
        <is>
          <t xml:space="preserve">Food Services and Drinking Places</t>
        </is>
      </c>
      <c t="inlineStr" r="I529">
        <is>
          <t xml:space="preserve">&lt;none&gt;</t>
        </is>
      </c>
      <c t="inlineStr" r="L529">
        <is>
          <t xml:space="preserve">-----</t>
        </is>
      </c>
    </row>
    <row r="530">
      <c t="str" r="A530" s="4">
        <f>HYPERLINK("https://linkbusiness.com/businesses-for-sale/LA3489/Ready-to-grow-manufacturing-business","LA3489")</f>
      </c>
      <c t="inlineStr" r="B530">
        <is>
          <t xml:space="preserve">Ready to grow manufacturing business</t>
        </is>
      </c>
      <c r="C530" s="63">
        <v>525000</v>
      </c>
      <c r="D530" s="63">
        <v>26449500</v>
      </c>
      <c t="inlineStr" r="E530">
        <is>
          <t xml:space="preserve">-----</t>
        </is>
      </c>
      <c r="F530" s="65">
        <v>0</v>
      </c>
      <c r="G530" s="65">
        <v>0</v>
      </c>
      <c t="inlineStr" r="H530">
        <is>
          <t xml:space="preserve">Manufacturing</t>
        </is>
      </c>
      <c t="inlineStr" r="I530">
        <is>
          <t xml:space="preserve">&lt;none&gt;</t>
        </is>
      </c>
      <c t="inlineStr" r="L530">
        <is>
          <t xml:space="preserve">-----</t>
        </is>
      </c>
    </row>
    <row r="531">
      <c t="str" r="A531" s="4">
        <f>HYPERLINK("https://linkbusiness.com/businesses-for-sale/LA3494/Busy-and-Popular-Cafe-Restaurant","LA3494")</f>
      </c>
      <c t="inlineStr" r="B531">
        <is>
          <t xml:space="preserve">Busy and Popular Cafe Restaurant</t>
        </is>
      </c>
      <c r="C531" s="63">
        <v>295000</v>
      </c>
      <c r="D531" s="63">
        <v>14862100</v>
      </c>
      <c t="inlineStr" r="E531">
        <is>
          <t xml:space="preserve">-----</t>
        </is>
      </c>
      <c r="F531" s="65">
        <v>0</v>
      </c>
      <c r="G531" s="65">
        <v>0</v>
      </c>
      <c t="inlineStr" r="H531">
        <is>
          <t xml:space="preserve">Food Services and Drinking Places</t>
        </is>
      </c>
      <c t="inlineStr" r="I531">
        <is>
          <t xml:space="preserve">&lt;none&gt;</t>
        </is>
      </c>
      <c t="inlineStr" r="L531">
        <is>
          <t xml:space="preserve">-----</t>
        </is>
      </c>
    </row>
    <row r="532">
      <c t="str" r="A532" s="4">
        <f>HYPERLINK("https://linkbusiness.com/businesses-for-sale/LA3506/Premier-Auto-Repair-Shop-in-South-Bay","LA3506")</f>
      </c>
      <c t="inlineStr" r="B532">
        <is>
          <t xml:space="preserve">Premier Auto Repair Shop in South Bay.</t>
        </is>
      </c>
      <c r="C532" s="63">
        <v>475000</v>
      </c>
      <c r="D532" s="63">
        <v>23930500</v>
      </c>
      <c t="inlineStr" r="E532">
        <is>
          <t xml:space="preserve">-----</t>
        </is>
      </c>
      <c r="F532" s="65">
        <v>0</v>
      </c>
      <c r="G532" s="65">
        <v>0</v>
      </c>
      <c t="inlineStr" r="H532">
        <is>
          <t xml:space="preserve">Motor Vehicle and Parts Dealers</t>
        </is>
      </c>
      <c t="inlineStr" r="I532">
        <is>
          <t xml:space="preserve">&lt;none&gt;</t>
        </is>
      </c>
      <c t="inlineStr" r="L532">
        <is>
          <t xml:space="preserve">-----</t>
        </is>
      </c>
    </row>
    <row r="533">
      <c t="str" r="A533" s="4">
        <f>HYPERLINK("https://linkbusiness.com/businesses-for-sale/LA3519/Chinese-Fast-Food-Restaurant-for-Sale","LA3519")</f>
      </c>
      <c t="inlineStr" r="B533">
        <is>
          <t xml:space="preserve">Chinese Fast Food Restaurant for Sale</t>
        </is>
      </c>
      <c r="C533" s="63">
        <v>45000</v>
      </c>
      <c r="D533" s="63">
        <v>2267100</v>
      </c>
      <c t="inlineStr" r="E533">
        <is>
          <t xml:space="preserve">Orange County</t>
        </is>
      </c>
      <c r="F533" s="65">
        <v>0</v>
      </c>
      <c r="G533" s="65">
        <v>0</v>
      </c>
      <c t="inlineStr" r="H533">
        <is>
          <t xml:space="preserve">&lt;none&gt;</t>
        </is>
      </c>
      <c t="inlineStr" r="I533">
        <is>
          <t xml:space="preserve">&lt;none&gt;</t>
        </is>
      </c>
      <c t="inlineStr" r="L533">
        <is>
          <t xml:space="preserve">-----</t>
        </is>
      </c>
    </row>
    <row r="534">
      <c t="str" r="A534" s="4">
        <f>HYPERLINK("https://linkbusiness.com/businesses-for-sale/LA3524/5-Days-Cafe-in-High-Rise-Office-in-Orange-County!","LA3524")</f>
      </c>
      <c t="inlineStr" r="B534">
        <is>
          <t xml:space="preserve">5 Days Cafe in High Rise Office in Orange County!</t>
        </is>
      </c>
      <c r="C534" s="63">
        <v>560000</v>
      </c>
      <c r="D534" s="63">
        <v>28212800</v>
      </c>
      <c t="inlineStr" r="E534">
        <is>
          <t xml:space="preserve">Orange County</t>
        </is>
      </c>
      <c r="F534" s="65">
        <v>0</v>
      </c>
      <c r="G534" s="65">
        <v>0</v>
      </c>
      <c t="inlineStr" r="H534">
        <is>
          <t xml:space="preserve">Food Services and Drinking Places</t>
        </is>
      </c>
      <c t="inlineStr" r="I534">
        <is>
          <t xml:space="preserve">&lt;none&gt;</t>
        </is>
      </c>
      <c t="inlineStr" r="L534">
        <is>
          <t xml:space="preserve">-----</t>
        </is>
      </c>
    </row>
    <row r="535">
      <c t="str" r="A535" s="4">
        <f>HYPERLINK("https://linkbusiness.com/businesses-for-sale/LA3526/Profitable-Recycling-Business-in-the-OC","LA3526")</f>
      </c>
      <c t="inlineStr" r="B535">
        <is>
          <t xml:space="preserve">Profitable Recycling Business in the O.C</t>
        </is>
      </c>
      <c r="C535" s="63">
        <v>865000</v>
      </c>
      <c r="D535" s="63">
        <v>43578700</v>
      </c>
      <c t="inlineStr" r="E535">
        <is>
          <t xml:space="preserve">Orange County</t>
        </is>
      </c>
      <c r="F535" s="65">
        <v>0</v>
      </c>
      <c r="G535" s="65">
        <v>0</v>
      </c>
      <c t="inlineStr" r="H535">
        <is>
          <t xml:space="preserve">&lt;none&gt;</t>
        </is>
      </c>
      <c t="inlineStr" r="I535">
        <is>
          <t xml:space="preserve">&lt;none&gt;</t>
        </is>
      </c>
      <c t="inlineStr" r="L535">
        <is>
          <t xml:space="preserve">-----</t>
        </is>
      </c>
    </row>
    <row r="536">
      <c t="str" r="A536" s="4">
        <f>HYPERLINK("https://linkbusiness.com/businesses-for-sale/LA3533A/Japanese-Restaurant-with-Great-Location!","LA3533A")</f>
      </c>
      <c t="inlineStr" r="B536">
        <is>
          <t xml:space="preserve">Japanese Restaurant with Great Location!</t>
        </is>
      </c>
      <c r="C536" s="63">
        <v>50000</v>
      </c>
      <c r="D536" s="63">
        <v>2519000</v>
      </c>
      <c t="inlineStr" r="E536">
        <is>
          <t xml:space="preserve">-----</t>
        </is>
      </c>
      <c r="F536" s="65">
        <v>0</v>
      </c>
      <c r="G536" s="65">
        <v>0</v>
      </c>
      <c t="inlineStr" r="H536">
        <is>
          <t xml:space="preserve">Food Services and Drinking Places</t>
        </is>
      </c>
      <c t="inlineStr" r="I536">
        <is>
          <t xml:space="preserve">&lt;none&gt;</t>
        </is>
      </c>
      <c t="inlineStr" r="L536">
        <is>
          <t xml:space="preserve">-----</t>
        </is>
      </c>
    </row>
    <row r="537">
      <c t="str" r="A537" s="4">
        <f>HYPERLINK("https://linkbusiness.com/businesses-for-sale/LA3533B/Japanese-Restaurant-in-Orange-County-for-Sale","LA3533B")</f>
      </c>
      <c t="inlineStr" r="B537">
        <is>
          <t xml:space="preserve">Japanese Restaurant in Orange County for Sale</t>
        </is>
      </c>
      <c r="C537" s="63">
        <v>195000</v>
      </c>
      <c r="D537" s="63">
        <v>9824100</v>
      </c>
      <c t="inlineStr" r="E537">
        <is>
          <t xml:space="preserve">Orange County</t>
        </is>
      </c>
      <c r="F537" s="65">
        <v>0</v>
      </c>
      <c r="G537" s="65">
        <v>0</v>
      </c>
      <c t="inlineStr" r="H537">
        <is>
          <t xml:space="preserve">Food Services and Drinking Places</t>
        </is>
      </c>
      <c t="inlineStr" r="I537">
        <is>
          <t xml:space="preserve">&lt;none&gt;</t>
        </is>
      </c>
      <c t="inlineStr" r="L537">
        <is>
          <t xml:space="preserve">-----</t>
        </is>
      </c>
    </row>
    <row r="538">
      <c t="str" r="A538" s="4">
        <f>HYPERLINK("https://linkbusiness.com/businesses-for-sale/LA3538/Staffing%252fConsulting-Firm","LA3538")</f>
      </c>
      <c t="inlineStr" r="B538">
        <is>
          <t xml:space="preserve">Staffing/Consulting Firm</t>
        </is>
      </c>
      <c r="C538" s="63">
        <v>825000</v>
      </c>
      <c r="D538" s="63">
        <v>41563500</v>
      </c>
      <c t="inlineStr" r="E538">
        <is>
          <t xml:space="preserve">San Diego County</t>
        </is>
      </c>
      <c r="F538" s="65">
        <v>0</v>
      </c>
      <c r="G538" s="65">
        <v>0</v>
      </c>
      <c t="inlineStr" r="H538">
        <is>
          <t xml:space="preserve">&lt;none&gt;</t>
        </is>
      </c>
      <c t="inlineStr" r="I538">
        <is>
          <t xml:space="preserve">&lt;none&gt;</t>
        </is>
      </c>
      <c t="inlineStr" r="L538">
        <is>
          <t xml:space="preserve">-----</t>
        </is>
      </c>
    </row>
    <row r="539">
      <c t="str" r="A539" s="4">
        <f>HYPERLINK("https://linkbusiness.com/businesses-for-sale/LA3553/Maintenance-Services-for-Apartments","LA3553")</f>
      </c>
      <c t="inlineStr" r="B539">
        <is>
          <t xml:space="preserve">Maintenance Services for Apartments</t>
        </is>
      </c>
      <c r="C539" s="63">
        <v>200000</v>
      </c>
      <c r="D539" s="63">
        <v>10076000</v>
      </c>
      <c t="inlineStr" r="E539">
        <is>
          <t xml:space="preserve">-----</t>
        </is>
      </c>
      <c r="F539" s="65">
        <v>0</v>
      </c>
      <c r="G539" s="65">
        <v>0</v>
      </c>
      <c t="inlineStr" r="H539">
        <is>
          <t xml:space="preserve">Other Services (except public administration)</t>
        </is>
      </c>
      <c t="inlineStr" r="I539">
        <is>
          <t xml:space="preserve">&lt;none&gt;</t>
        </is>
      </c>
      <c t="inlineStr" r="L539">
        <is>
          <t xml:space="preserve">-----</t>
        </is>
      </c>
    </row>
    <row r="540">
      <c t="str" r="A540" s="4">
        <f>HYPERLINK("https://linkbusiness.com/businesses-for-sale/LA3560/Chiness-Fast-Food-in-Busy-Shopping-Center","LA3560")</f>
      </c>
      <c t="inlineStr" r="B540">
        <is>
          <t xml:space="preserve">Chiness Fast Food in Busy Shopping Center</t>
        </is>
      </c>
      <c r="C540" s="63">
        <v>125000</v>
      </c>
      <c r="D540" s="63">
        <v>6297500</v>
      </c>
      <c t="inlineStr" r="E540">
        <is>
          <t xml:space="preserve">Riverside County</t>
        </is>
      </c>
      <c r="F540" s="65">
        <v>0</v>
      </c>
      <c r="G540" s="65">
        <v>0</v>
      </c>
      <c t="inlineStr" r="H540">
        <is>
          <t xml:space="preserve">Food Services and Drinking Places</t>
        </is>
      </c>
      <c t="inlineStr" r="I540">
        <is>
          <t xml:space="preserve">&lt;none&gt;</t>
        </is>
      </c>
      <c t="inlineStr" r="L540">
        <is>
          <t xml:space="preserve">-----</t>
        </is>
      </c>
    </row>
    <row r="541">
      <c t="str" r="A541" s="4">
        <f>HYPERLINK("https://linkbusiness.com/businesses-for-sale/LA3563/xx","LA3563")</f>
      </c>
      <c t="inlineStr" r="B541">
        <is>
          <t xml:space="preserve">xx</t>
        </is>
      </c>
      <c r="C541" s="63">
        <v>70000</v>
      </c>
      <c r="D541" s="63">
        <v>3526600</v>
      </c>
      <c t="inlineStr" r="E541">
        <is>
          <t xml:space="preserve">Southern California</t>
        </is>
      </c>
      <c r="F541" s="65">
        <v>0</v>
      </c>
      <c r="G541" s="65">
        <v>0</v>
      </c>
      <c t="inlineStr" r="H541">
        <is>
          <t xml:space="preserve">Other Services (except public administration)</t>
        </is>
      </c>
      <c t="inlineStr" r="I541">
        <is>
          <t xml:space="preserve">Drycleaning and Laundry Services</t>
        </is>
      </c>
      <c t="inlineStr" r="L541">
        <is>
          <t xml:space="preserve">-----</t>
        </is>
      </c>
    </row>
    <row r="542">
      <c t="str" r="A542" s="4">
        <f>HYPERLINK("https://linkbusiness.com/businesses-for-sale/LA3565/Franchise-Bakery-for-Sale-in-Beautiful-San-Diego!","LA3565")</f>
      </c>
      <c t="inlineStr" r="B542">
        <is>
          <t xml:space="preserve">Franchise Bakery for Sale in Beautiful San Diego!</t>
        </is>
      </c>
      <c r="C542" s="63">
        <v>179000</v>
      </c>
      <c r="D542" s="63">
        <v>9018020</v>
      </c>
      <c t="inlineStr" r="E542">
        <is>
          <t xml:space="preserve">San Diego County</t>
        </is>
      </c>
      <c r="F542" s="65">
        <v>0</v>
      </c>
      <c r="G542" s="65">
        <v>0</v>
      </c>
      <c t="inlineStr" r="H542">
        <is>
          <t xml:space="preserve">Food Services and Drinking Places</t>
        </is>
      </c>
      <c t="inlineStr" r="I542">
        <is>
          <t xml:space="preserve">&lt;none&gt;</t>
        </is>
      </c>
      <c t="inlineStr" r="L542">
        <is>
          <t xml:space="preserve">-----</t>
        </is>
      </c>
    </row>
    <row r="543">
      <c t="str" r="A543" s="4">
        <f>HYPERLINK("https://linkbusiness.com/businesses-for-sale/LA3581/Greek-Cafe-for-Sale-in-Orange-County!","LA3581")</f>
      </c>
      <c t="inlineStr" r="B543">
        <is>
          <t xml:space="preserve">Greek Cafe for Sale in Orange County!</t>
        </is>
      </c>
      <c r="C543" s="63">
        <v>290000</v>
      </c>
      <c r="D543" s="63">
        <v>14610200</v>
      </c>
      <c t="inlineStr" r="E543">
        <is>
          <t xml:space="preserve">Orange County</t>
        </is>
      </c>
      <c r="F543" s="65">
        <v>0</v>
      </c>
      <c r="G543" s="65">
        <v>0</v>
      </c>
      <c t="inlineStr" r="H543">
        <is>
          <t xml:space="preserve">Food Services and Drinking Places</t>
        </is>
      </c>
      <c t="inlineStr" r="I543">
        <is>
          <t xml:space="preserve">&lt;none&gt;</t>
        </is>
      </c>
      <c t="inlineStr" r="L543">
        <is>
          <t xml:space="preserve">-----</t>
        </is>
      </c>
    </row>
    <row r="544">
      <c t="str" r="A544" s="4">
        <f>HYPERLINK("https://linkbusiness.com/businesses-for-sale/LA3583/Cleaning-Service-in-Orange-County-for-Sale!","LA3583")</f>
      </c>
      <c t="inlineStr" r="B544">
        <is>
          <t xml:space="preserve">Cleaning Service in Orange County for Sale!</t>
        </is>
      </c>
      <c r="C544" s="63">
        <v>80000</v>
      </c>
      <c r="D544" s="63">
        <v>4030400</v>
      </c>
      <c t="inlineStr" r="E544">
        <is>
          <t xml:space="preserve">Orange County</t>
        </is>
      </c>
      <c r="F544" s="65">
        <v>0</v>
      </c>
      <c r="G544" s="65">
        <v>0</v>
      </c>
      <c t="inlineStr" r="H544">
        <is>
          <t xml:space="preserve">Other Services (except public administration)</t>
        </is>
      </c>
      <c t="inlineStr" r="I544">
        <is>
          <t xml:space="preserve">Personal Care Services</t>
        </is>
      </c>
      <c t="inlineStr" r="L544">
        <is>
          <t xml:space="preserve">-----</t>
        </is>
      </c>
    </row>
    <row r="545">
      <c t="str" r="A545" s="4">
        <f>HYPERLINK("https://linkbusiness.com/businesses-for-sale/LA3588/Air-%26-Water-Vending-Route-with-Long-Term-Contract","LA3588")</f>
      </c>
      <c t="inlineStr" r="B545">
        <is>
          <t xml:space="preserve">Air &amp; Water Vending Route with Long Term Contract</t>
        </is>
      </c>
      <c r="C545" s="63">
        <v>330000</v>
      </c>
      <c r="D545" s="63">
        <v>16625400</v>
      </c>
      <c t="inlineStr" r="E545">
        <is>
          <t xml:space="preserve">-----</t>
        </is>
      </c>
      <c r="F545" s="65">
        <v>0</v>
      </c>
      <c r="G545" s="65">
        <v>0</v>
      </c>
      <c t="inlineStr" r="H545">
        <is>
          <t xml:space="preserve">Retail Trade</t>
        </is>
      </c>
      <c t="inlineStr" r="I545">
        <is>
          <t xml:space="preserve">&lt;none&gt;</t>
        </is>
      </c>
      <c t="inlineStr" r="L545">
        <is>
          <t xml:space="preserve">-----</t>
        </is>
      </c>
    </row>
    <row r="546">
      <c t="str" r="A546" s="4">
        <f>HYPERLINK("https://linkbusiness.com/businesses-for-sale/LA3589/Two-Franchise-Frozen-Yogurt-Shops-in-Orange-County","LA3589")</f>
      </c>
      <c t="inlineStr" r="B546">
        <is>
          <t xml:space="preserve">Two Franchise Frozen Yogurt Shops in Orange County</t>
        </is>
      </c>
      <c r="C546" s="63">
        <v>104000</v>
      </c>
      <c r="D546" s="63">
        <v>5239520</v>
      </c>
      <c t="inlineStr" r="E546">
        <is>
          <t xml:space="preserve">Orange County</t>
        </is>
      </c>
      <c r="F546" s="65">
        <v>0</v>
      </c>
      <c r="G546" s="65">
        <v>0</v>
      </c>
      <c t="inlineStr" r="H546">
        <is>
          <t xml:space="preserve">Food Services and Drinking Places</t>
        </is>
      </c>
      <c t="inlineStr" r="I546">
        <is>
          <t xml:space="preserve">&lt;none&gt;</t>
        </is>
      </c>
      <c t="inlineStr" r="L546">
        <is>
          <t xml:space="preserve">-----</t>
        </is>
      </c>
    </row>
    <row r="547">
      <c t="str" r="A547" s="4">
        <f>HYPERLINK("https://linkbusiness.com/businesses-for-sale/LA3594/Tour-Bus-Service%2c-Employee-Run%2c-Well-Established","LA3594")</f>
      </c>
      <c t="inlineStr" r="B547">
        <is>
          <t xml:space="preserve">Tour Bus Service, Employee Run, Well Established</t>
        </is>
      </c>
      <c r="C547" s="63">
        <v>222000</v>
      </c>
      <c r="D547" s="63">
        <v>11184360</v>
      </c>
      <c t="inlineStr" r="E547">
        <is>
          <t xml:space="preserve">Southern California</t>
        </is>
      </c>
      <c r="F547" s="65">
        <v>0</v>
      </c>
      <c r="G547" s="65">
        <v>0</v>
      </c>
      <c t="inlineStr" r="H547">
        <is>
          <t xml:space="preserve">Arts, Entertainment &amp; Recreation</t>
        </is>
      </c>
      <c t="inlineStr" r="I547">
        <is>
          <t xml:space="preserve">Amusement, Gambling, and Recreation Industries</t>
        </is>
      </c>
      <c t="inlineStr" r="L547">
        <is>
          <t xml:space="preserve">-----</t>
        </is>
      </c>
    </row>
    <row r="548">
      <c t="str" r="A548" s="4">
        <f>HYPERLINK("https://linkbusiness.com/businesses-for-sale/LA3601/Asian-%26-Japanese-Fast-Food-Restaurant-for-Sale!","LA3601")</f>
      </c>
      <c t="inlineStr" r="B548">
        <is>
          <t xml:space="preserve">Asian &amp; Japanese Fast Food Restaurant for Sale!</t>
        </is>
      </c>
      <c r="C548" s="63">
        <v>59000</v>
      </c>
      <c r="D548" s="63">
        <v>2972420</v>
      </c>
      <c t="inlineStr" r="E548">
        <is>
          <t xml:space="preserve">-----</t>
        </is>
      </c>
      <c r="F548" s="65">
        <v>0</v>
      </c>
      <c r="G548" s="65">
        <v>0</v>
      </c>
      <c t="inlineStr" r="H548">
        <is>
          <t xml:space="preserve">Food Services and Drinking Places</t>
        </is>
      </c>
      <c t="inlineStr" r="I548">
        <is>
          <t xml:space="preserve">&lt;none&gt;</t>
        </is>
      </c>
      <c t="inlineStr" r="L548">
        <is>
          <t xml:space="preserve">-----</t>
        </is>
      </c>
    </row>
    <row r="549">
      <c t="str" r="A549" s="4">
        <f>HYPERLINK("https://linkbusiness.com/businesses-for-sale/LA3606/Restaurant-Next-to-Major-University-Campus","LA3606")</f>
      </c>
      <c t="inlineStr" r="B549">
        <is>
          <t xml:space="preserve">Restaurant Next to Major University Campus</t>
        </is>
      </c>
      <c r="C549" s="63">
        <v>195000</v>
      </c>
      <c r="D549" s="63">
        <v>9824100</v>
      </c>
      <c t="inlineStr" r="E549">
        <is>
          <t xml:space="preserve">-----</t>
        </is>
      </c>
      <c r="F549" s="65">
        <v>0</v>
      </c>
      <c r="G549" s="65">
        <v>0</v>
      </c>
      <c t="inlineStr" r="H549">
        <is>
          <t xml:space="preserve">Food Services and Drinking Places</t>
        </is>
      </c>
      <c t="inlineStr" r="I549">
        <is>
          <t xml:space="preserve">&lt;none&gt;</t>
        </is>
      </c>
      <c t="inlineStr" r="L549">
        <is>
          <t xml:space="preserve">-----</t>
        </is>
      </c>
    </row>
    <row r="550">
      <c t="str" r="A550" s="4">
        <f>HYPERLINK("https://linkbusiness.com/businesses-for-sale/LA3620/Franchise-Education-Business---P%252fT-Ownership","LA3620")</f>
      </c>
      <c t="inlineStr" r="B550">
        <is>
          <t xml:space="preserve">Franchise Education Business - P/T Ownership</t>
        </is>
      </c>
      <c r="C550" s="63">
        <v>110000</v>
      </c>
      <c r="D550" s="63">
        <v>5541800</v>
      </c>
      <c t="inlineStr" r="E550">
        <is>
          <t xml:space="preserve">-----</t>
        </is>
      </c>
      <c r="F550" s="65">
        <v>0</v>
      </c>
      <c r="G550" s="65">
        <v>0</v>
      </c>
      <c t="inlineStr" r="H550">
        <is>
          <t xml:space="preserve">Educational Services</t>
        </is>
      </c>
      <c t="inlineStr" r="I550">
        <is>
          <t xml:space="preserve">&lt;none&gt;</t>
        </is>
      </c>
      <c t="inlineStr" r="L550">
        <is>
          <t xml:space="preserve">-----</t>
        </is>
      </c>
    </row>
    <row r="551">
      <c t="str" r="A551" s="4">
        <f>HYPERLINK("https://linkbusiness.com/businesses-for-sale/LA3621/Successful-Smog-Test-only-Employee-Run","LA3621")</f>
      </c>
      <c t="inlineStr" r="B551">
        <is>
          <t xml:space="preserve">Successful Smog Test only. Employee Run</t>
        </is>
      </c>
      <c r="C551" s="63">
        <v>600000</v>
      </c>
      <c r="D551" s="63">
        <v>30228000</v>
      </c>
      <c t="inlineStr" r="E551">
        <is>
          <t xml:space="preserve">-----</t>
        </is>
      </c>
      <c r="F551" s="65">
        <v>0</v>
      </c>
      <c r="G551" s="65">
        <v>0</v>
      </c>
      <c t="inlineStr" r="H551">
        <is>
          <t xml:space="preserve">Motor Vehicle and Parts Dealers</t>
        </is>
      </c>
      <c t="inlineStr" r="I551">
        <is>
          <t xml:space="preserve">&lt;none&gt;</t>
        </is>
      </c>
      <c t="inlineStr" r="L551">
        <is>
          <t xml:space="preserve">-----</t>
        </is>
      </c>
    </row>
    <row r="552">
      <c t="str" r="A552" s="4">
        <f>HYPERLINK("https://linkbusiness.com/businesses-for-sale/LA3624/Coin-Laundry-in-Orange-County-for-Sale!","LA3624")</f>
      </c>
      <c t="inlineStr" r="B552">
        <is>
          <t xml:space="preserve">Coin Laundry in Orange County for Sale!</t>
        </is>
      </c>
      <c r="C552" s="63">
        <v>230000</v>
      </c>
      <c r="D552" s="63">
        <v>11587400</v>
      </c>
      <c t="inlineStr" r="E552">
        <is>
          <t xml:space="preserve">Orange County</t>
        </is>
      </c>
      <c r="F552" s="65">
        <v>0</v>
      </c>
      <c r="G552" s="65">
        <v>0</v>
      </c>
      <c t="inlineStr" r="H552">
        <is>
          <t xml:space="preserve">Other Services (except public administration)</t>
        </is>
      </c>
      <c t="inlineStr" r="I552">
        <is>
          <t xml:space="preserve">Drycleaning and Laundry Services</t>
        </is>
      </c>
      <c t="inlineStr" r="L552">
        <is>
          <t xml:space="preserve">-----</t>
        </is>
      </c>
    </row>
    <row r="553">
      <c t="str" r="A553" s="4">
        <f>HYPERLINK("https://linkbusiness.com/businesses-for-sale/LA3627/Plumbing-Co-with-Major-Accounts-for-Sale!","LA3627")</f>
      </c>
      <c t="inlineStr" r="B553">
        <is>
          <t xml:space="preserve">Plumbing Co. with Major Accounts for Sale!</t>
        </is>
      </c>
      <c r="C553" s="63">
        <v>290000</v>
      </c>
      <c r="D553" s="63">
        <v>14610200</v>
      </c>
      <c t="inlineStr" r="E553">
        <is>
          <t xml:space="preserve">Orange County</t>
        </is>
      </c>
      <c r="F553" s="65">
        <v>0</v>
      </c>
      <c r="G553" s="65">
        <v>0</v>
      </c>
      <c t="inlineStr" r="H553">
        <is>
          <t xml:space="preserve">Other Services (except public administration)</t>
        </is>
      </c>
      <c t="inlineStr" r="I553">
        <is>
          <t xml:space="preserve">&lt;none&gt;</t>
        </is>
      </c>
      <c t="inlineStr" r="L553">
        <is>
          <t xml:space="preserve">-----</t>
        </is>
      </c>
    </row>
    <row r="554">
      <c t="str" r="A554" s="4">
        <f>HYPERLINK("https://linkbusiness.com/businesses-for-sale/LA3648/Sandwich-Franchise-Business-In-Los-Angeles-County","LA3648")</f>
      </c>
      <c t="inlineStr" r="B554">
        <is>
          <t xml:space="preserve">Sandwich Franchise Business In Los Angeles County</t>
        </is>
      </c>
      <c r="C554" s="63">
        <v>325000</v>
      </c>
      <c r="D554" s="63">
        <v>16373500</v>
      </c>
      <c t="inlineStr" r="E554">
        <is>
          <t xml:space="preserve">-----</t>
        </is>
      </c>
      <c r="F554" s="65">
        <v>0</v>
      </c>
      <c r="G554" s="65">
        <v>0</v>
      </c>
      <c t="inlineStr" r="H554">
        <is>
          <t xml:space="preserve">Franchises</t>
        </is>
      </c>
      <c t="inlineStr" r="I554">
        <is>
          <t xml:space="preserve">&lt;none&gt;</t>
        </is>
      </c>
      <c t="inlineStr" r="L554">
        <is>
          <t xml:space="preserve">-----</t>
        </is>
      </c>
    </row>
    <row r="555">
      <c t="str" r="A555" s="4">
        <f>HYPERLINK("https://linkbusiness.com/businesses-for-sale/LA3655/25-Year-Old-Screen-Printing-Company%252fSame-Owner","LA3655")</f>
      </c>
      <c t="inlineStr" r="B555">
        <is>
          <t xml:space="preserve">25 Year Old Screen Printing Company/Same Owner</t>
        </is>
      </c>
      <c r="C555" s="63">
        <v>195000</v>
      </c>
      <c r="D555" s="63">
        <v>9824100</v>
      </c>
      <c t="inlineStr" r="E555">
        <is>
          <t xml:space="preserve">Orange County</t>
        </is>
      </c>
      <c r="F555" s="65">
        <v>0</v>
      </c>
      <c r="G555" s="65">
        <v>0</v>
      </c>
      <c t="inlineStr" r="H555">
        <is>
          <t xml:space="preserve">Manufacturing</t>
        </is>
      </c>
      <c t="inlineStr" r="I555">
        <is>
          <t xml:space="preserve">Printing and Related Support Activities</t>
        </is>
      </c>
      <c t="inlineStr" r="L555">
        <is>
          <t xml:space="preserve">-----</t>
        </is>
      </c>
    </row>
    <row r="556">
      <c t="str" r="A556" s="4">
        <f>HYPERLINK("https://linkbusiness.com/businesses-for-sale/LA3665/Franchise-Frozen-Yogurt-Business-for-Sale-in-OC","LA3665")</f>
      </c>
      <c t="inlineStr" r="B556">
        <is>
          <t xml:space="preserve">Franchise Frozen Yogurt Business for Sale in OC</t>
        </is>
      </c>
      <c r="C556" s="63">
        <v>99000</v>
      </c>
      <c r="D556" s="63">
        <v>4987620</v>
      </c>
      <c t="inlineStr" r="E556">
        <is>
          <t xml:space="preserve">Orange County</t>
        </is>
      </c>
      <c r="F556" s="65">
        <v>0</v>
      </c>
      <c r="G556" s="65">
        <v>0</v>
      </c>
      <c t="inlineStr" r="H556">
        <is>
          <t xml:space="preserve">Franchises</t>
        </is>
      </c>
      <c t="inlineStr" r="I556">
        <is>
          <t xml:space="preserve">&lt;none&gt;</t>
        </is>
      </c>
      <c t="inlineStr" r="L556">
        <is>
          <t xml:space="preserve">-----</t>
        </is>
      </c>
    </row>
    <row r="557">
      <c t="str" r="A557" s="4">
        <f>HYPERLINK("https://linkbusiness.com/businesses-for-sale/LA3667/Brand-Name-Clothing-Manufacturer%252fWholesaler","LA3667")</f>
      </c>
      <c t="inlineStr" r="B557">
        <is>
          <t xml:space="preserve">Brand Name Clothing Manufacturer/Wholesaler</t>
        </is>
      </c>
      <c r="C557" s="63">
        <v>250000</v>
      </c>
      <c r="D557" s="63">
        <v>12595000</v>
      </c>
      <c t="inlineStr" r="E557">
        <is>
          <t xml:space="preserve">-----</t>
        </is>
      </c>
      <c r="F557" s="65">
        <v>0</v>
      </c>
      <c r="G557" s="65">
        <v>0</v>
      </c>
      <c t="inlineStr" r="H557">
        <is>
          <t xml:space="preserve">Transportation &amp; Warehousing</t>
        </is>
      </c>
      <c t="inlineStr" r="I557">
        <is>
          <t xml:space="preserve">&lt;none&gt;</t>
        </is>
      </c>
      <c t="inlineStr" r="L557">
        <is>
          <t xml:space="preserve">-----</t>
        </is>
      </c>
    </row>
    <row r="558">
      <c t="str" r="A558" s="4">
        <f>HYPERLINK("https://linkbusiness.com/businesses-for-sale/LA3674/Dry-Cleaning-Plant-in-WLA-w%252fHydro-Carbon-Machine","LA3674")</f>
      </c>
      <c t="inlineStr" r="B558">
        <is>
          <t xml:space="preserve">Dry Cleaning Plant in WLA w/Hydro Carbon Machine</t>
        </is>
      </c>
      <c r="C558" s="63">
        <v>135000</v>
      </c>
      <c r="D558" s="63">
        <v>6801300</v>
      </c>
      <c t="inlineStr" r="E558">
        <is>
          <t xml:space="preserve">-----</t>
        </is>
      </c>
      <c r="F558" s="65">
        <v>0</v>
      </c>
      <c r="G558" s="65">
        <v>0</v>
      </c>
      <c t="inlineStr" r="H558">
        <is>
          <t xml:space="preserve">Other Services (except public administration)</t>
        </is>
      </c>
      <c t="inlineStr" r="I558">
        <is>
          <t xml:space="preserve">&lt;none&gt;</t>
        </is>
      </c>
      <c t="inlineStr" r="L558">
        <is>
          <t xml:space="preserve">-----</t>
        </is>
      </c>
    </row>
    <row r="559">
      <c t="str" r="A559" s="4">
        <f>HYPERLINK("https://linkbusiness.com/businesses-for-sale/LA3680/Electronic-Manufacturing-Service-in-Orange-County","LA3680")</f>
      </c>
      <c t="inlineStr" r="B559">
        <is>
          <t xml:space="preserve">Electronic Manufacturing Service in Orange County</t>
        </is>
      </c>
      <c r="C559" s="63">
        <v>1500000</v>
      </c>
      <c r="D559" s="63">
        <v>75570000</v>
      </c>
      <c t="inlineStr" r="E559">
        <is>
          <t xml:space="preserve">Orange County</t>
        </is>
      </c>
      <c r="F559" s="65">
        <v>0</v>
      </c>
      <c r="G559" s="65">
        <v>0</v>
      </c>
      <c t="inlineStr" r="H559">
        <is>
          <t xml:space="preserve">Manufacturing</t>
        </is>
      </c>
      <c t="inlineStr" r="I559">
        <is>
          <t xml:space="preserve">Computer and Electronic Product Manufacturing</t>
        </is>
      </c>
      <c t="inlineStr" r="L559">
        <is>
          <t xml:space="preserve">-----</t>
        </is>
      </c>
    </row>
    <row r="560">
      <c t="str" r="A560" s="4">
        <f>HYPERLINK("https://linkbusiness.com/businesses-for-sale/LA3686/Employee-Run-6-Days-Cafe-in-Beverly-Hills","LA3686")</f>
      </c>
      <c t="inlineStr" r="B560">
        <is>
          <t xml:space="preserve">Employee Run 6 Days Cafe in Beverly Hills</t>
        </is>
      </c>
      <c r="C560" s="63">
        <v>450000</v>
      </c>
      <c r="D560" s="63">
        <v>22671000</v>
      </c>
      <c t="inlineStr" r="E560">
        <is>
          <t xml:space="preserve">-----</t>
        </is>
      </c>
      <c r="F560" s="65">
        <v>0</v>
      </c>
      <c r="G560" s="65">
        <v>0</v>
      </c>
      <c t="inlineStr" r="H560">
        <is>
          <t xml:space="preserve">Food Services and Drinking Places</t>
        </is>
      </c>
      <c t="inlineStr" r="I560">
        <is>
          <t xml:space="preserve">&lt;none&gt;</t>
        </is>
      </c>
      <c t="inlineStr" r="L560">
        <is>
          <t xml:space="preserve">-----</t>
        </is>
      </c>
    </row>
    <row r="561">
      <c t="str" r="A561" s="4">
        <f>HYPERLINK("https://linkbusiness.com/businesses-for-sale/LA3693/xx","LA3693")</f>
      </c>
      <c t="inlineStr" r="B561">
        <is>
          <t xml:space="preserve">xx</t>
        </is>
      </c>
      <c r="C561" s="63">
        <v>120000</v>
      </c>
      <c r="D561" s="63">
        <v>6045600</v>
      </c>
      <c t="inlineStr" r="E561">
        <is>
          <t xml:space="preserve">-----</t>
        </is>
      </c>
      <c r="F561" s="65">
        <v>0</v>
      </c>
      <c r="G561" s="65">
        <v>0</v>
      </c>
      <c t="inlineStr" r="H561">
        <is>
          <t xml:space="preserve">Restaurant</t>
        </is>
      </c>
      <c t="inlineStr" r="I561">
        <is>
          <t xml:space="preserve">&lt;none&gt;</t>
        </is>
      </c>
      <c t="inlineStr" r="L561">
        <is>
          <t xml:space="preserve">-----</t>
        </is>
      </c>
    </row>
    <row r="562">
      <c t="str" r="A562" s="4">
        <f>HYPERLINK("https://linkbusiness.com/businesses-for-sale/LA3697/Dry-Cleaning-Plant-(Wet-Cleaning)%2c-Absentee-Run","LA3697")</f>
      </c>
      <c t="inlineStr" r="B562">
        <is>
          <t xml:space="preserve">Dry Cleaning Plant (Wet Cleaning), Absentee Run.</t>
        </is>
      </c>
      <c r="C562" s="63">
        <v>80000</v>
      </c>
      <c r="D562" s="63">
        <v>4030400</v>
      </c>
      <c t="inlineStr" r="E562">
        <is>
          <t xml:space="preserve">Riverside County</t>
        </is>
      </c>
      <c r="F562" s="65">
        <v>0</v>
      </c>
      <c r="G562" s="65">
        <v>0</v>
      </c>
      <c t="inlineStr" r="H562">
        <is>
          <t xml:space="preserve">Other Services (except public administration)</t>
        </is>
      </c>
      <c t="inlineStr" r="I562">
        <is>
          <t xml:space="preserve">Drycleaning and Laundry Services</t>
        </is>
      </c>
      <c t="inlineStr" r="L562">
        <is>
          <t xml:space="preserve">-----</t>
        </is>
      </c>
    </row>
    <row r="563">
      <c t="str" r="A563" s="4">
        <f>HYPERLINK("https://linkbusiness.com/businesses-for-sale/LA3701/Animal-Hospital-with-Real-Estate-near-Ontario","LA3701")</f>
      </c>
      <c t="inlineStr" r="B563">
        <is>
          <t xml:space="preserve">Animal Hospital with Real Estate near Ontario.</t>
        </is>
      </c>
      <c r="C563" s="63">
        <v>125000</v>
      </c>
      <c r="D563" s="63">
        <v>6297500</v>
      </c>
      <c t="inlineStr" r="E563">
        <is>
          <t xml:space="preserve">-----</t>
        </is>
      </c>
      <c r="F563" s="65">
        <v>0</v>
      </c>
      <c r="G563" s="65">
        <v>0</v>
      </c>
      <c t="inlineStr" r="H563">
        <is>
          <t xml:space="preserve">Health Care &amp; Social Assistance</t>
        </is>
      </c>
      <c t="inlineStr" r="I563">
        <is>
          <t xml:space="preserve">&lt;none&gt;</t>
        </is>
      </c>
      <c t="inlineStr" r="L563">
        <is>
          <t xml:space="preserve">-----</t>
        </is>
      </c>
    </row>
    <row r="564">
      <c t="str" r="A564" s="4">
        <f>HYPERLINK("https://linkbusiness.com/businesses-for-sale/LA3702/Franchise-Large-Format-Digital-Print-Shop","LA3702")</f>
      </c>
      <c t="inlineStr" r="B564">
        <is>
          <t xml:space="preserve">Franchise Large Format Digital Print Shop</t>
        </is>
      </c>
      <c r="C564" s="63">
        <v>195000</v>
      </c>
      <c r="D564" s="63">
        <v>9824100</v>
      </c>
      <c t="inlineStr" r="E564">
        <is>
          <t xml:space="preserve">-----</t>
        </is>
      </c>
      <c r="F564" s="65">
        <v>0</v>
      </c>
      <c r="G564" s="65">
        <v>0</v>
      </c>
      <c t="inlineStr" r="H564">
        <is>
          <t xml:space="preserve">Manufacturing</t>
        </is>
      </c>
      <c t="inlineStr" r="I564">
        <is>
          <t xml:space="preserve">&lt;none&gt;</t>
        </is>
      </c>
      <c t="inlineStr" r="L564">
        <is>
          <t xml:space="preserve">-----</t>
        </is>
      </c>
    </row>
    <row r="565">
      <c t="str" r="A565" s="4">
        <f>HYPERLINK("https://linkbusiness.com/businesses-for-sale/LA3715/Profitable-Ramen-Noodle-Restaurant-in-West-LA-for","LA3715")</f>
      </c>
      <c t="inlineStr" r="B565">
        <is>
          <t xml:space="preserve">Profitable Ramen Noodle Restaurant in West LA for</t>
        </is>
      </c>
      <c r="C565" s="63">
        <v>149000</v>
      </c>
      <c r="D565" s="63">
        <v>7506620</v>
      </c>
      <c t="inlineStr" r="E565">
        <is>
          <t xml:space="preserve">-----</t>
        </is>
      </c>
      <c r="F565" s="65">
        <v>0</v>
      </c>
      <c r="G565" s="65">
        <v>0</v>
      </c>
      <c t="inlineStr" r="H565">
        <is>
          <t xml:space="preserve">Food Services and Drinking Places</t>
        </is>
      </c>
      <c t="inlineStr" r="I565">
        <is>
          <t xml:space="preserve">&lt;none&gt;</t>
        </is>
      </c>
      <c t="inlineStr" r="L565">
        <is>
          <t xml:space="preserve">-----</t>
        </is>
      </c>
    </row>
    <row r="566">
      <c t="str" r="A566" s="4">
        <f>HYPERLINK("https://linkbusiness.com/businesses-for-sale/LA3716/Well-Established-Turnkey-Hair-Salon-in-Los-Angeles","LA3716")</f>
      </c>
      <c t="inlineStr" r="B566">
        <is>
          <t xml:space="preserve">Well Established Turnkey Hair Salon in Los Angeles</t>
        </is>
      </c>
      <c r="C566" s="63">
        <v>299000</v>
      </c>
      <c r="D566" s="63">
        <v>15063620</v>
      </c>
      <c t="inlineStr" r="E566">
        <is>
          <t xml:space="preserve">-----</t>
        </is>
      </c>
      <c r="F566" s="65">
        <v>0</v>
      </c>
      <c r="G566" s="65">
        <v>0</v>
      </c>
      <c t="inlineStr" r="H566">
        <is>
          <t xml:space="preserve">Other Services (except public administration)</t>
        </is>
      </c>
      <c t="inlineStr" r="I566">
        <is>
          <t xml:space="preserve">&lt;none&gt;</t>
        </is>
      </c>
      <c t="inlineStr" r="L566">
        <is>
          <t xml:space="preserve">-----</t>
        </is>
      </c>
    </row>
    <row r="567">
      <c t="str" r="A567" s="4">
        <f>HYPERLINK("https://linkbusiness.com/businesses-for-sale/LA3717/Medical-Cosmetics-Company","LA3717")</f>
      </c>
      <c t="inlineStr" r="B567">
        <is>
          <t xml:space="preserve">Medical Cosmetics Company</t>
        </is>
      </c>
      <c r="C567" s="63">
        <v>120000</v>
      </c>
      <c r="D567" s="63">
        <v>6045600</v>
      </c>
      <c t="inlineStr" r="E567">
        <is>
          <t xml:space="preserve">-----</t>
        </is>
      </c>
      <c r="F567" s="65">
        <v>0</v>
      </c>
      <c r="G567" s="65">
        <v>0</v>
      </c>
      <c t="inlineStr" r="H567">
        <is>
          <t xml:space="preserve">Health Care &amp; Social Assistance</t>
        </is>
      </c>
      <c t="inlineStr" r="I567">
        <is>
          <t xml:space="preserve">&lt;none&gt;</t>
        </is>
      </c>
      <c t="inlineStr" r="L567">
        <is>
          <t xml:space="preserve">-----</t>
        </is>
      </c>
    </row>
    <row r="568">
      <c t="str" r="A568" s="4">
        <f>HYPERLINK("https://linkbusiness.com/businesses-for-sale/LA3721/5-Days-A-Week-Bakery-%26-Ice-Cream-Business","LA3721")</f>
      </c>
      <c t="inlineStr" r="B568">
        <is>
          <t xml:space="preserve">5 Days A Week Bakery &amp; Ice Cream Business</t>
        </is>
      </c>
      <c r="C568" s="63">
        <v>75000</v>
      </c>
      <c r="D568" s="63">
        <v>3778500</v>
      </c>
      <c t="inlineStr" r="E568">
        <is>
          <t xml:space="preserve">-----</t>
        </is>
      </c>
      <c r="F568" s="65">
        <v>0</v>
      </c>
      <c r="G568" s="65">
        <v>0</v>
      </c>
      <c t="inlineStr" r="H568">
        <is>
          <t xml:space="preserve">Food Services and Drinking Places</t>
        </is>
      </c>
      <c t="inlineStr" r="I568">
        <is>
          <t xml:space="preserve">&lt;none&gt;</t>
        </is>
      </c>
      <c t="inlineStr" r="L568">
        <is>
          <t xml:space="preserve">-----</t>
        </is>
      </c>
    </row>
    <row r="569">
      <c t="str" r="A569" s="4">
        <f>HYPERLINK("https://linkbusiness.com/businesses-for-sale/LA3723/xx","LA3723")</f>
      </c>
      <c t="inlineStr" r="B569">
        <is>
          <t xml:space="preserve">xx</t>
        </is>
      </c>
      <c r="C569" s="63">
        <v>99000</v>
      </c>
      <c r="D569" s="63">
        <v>4987620</v>
      </c>
      <c t="inlineStr" r="E569">
        <is>
          <t xml:space="preserve">Orange County</t>
        </is>
      </c>
      <c r="F569" s="65">
        <v>0</v>
      </c>
      <c r="G569" s="65">
        <v>0</v>
      </c>
      <c t="inlineStr" r="H569">
        <is>
          <t xml:space="preserve">Food Services and Drinking Places</t>
        </is>
      </c>
      <c t="inlineStr" r="I569">
        <is>
          <t xml:space="preserve">&lt;none&gt;</t>
        </is>
      </c>
      <c t="inlineStr" r="L569">
        <is>
          <t xml:space="preserve">-----</t>
        </is>
      </c>
    </row>
    <row r="570">
      <c t="str" r="A570" s="4">
        <f>HYPERLINK("https://linkbusiness.com/businesses-for-sale/LA3729/Chinese-Fast-Food-in-Santa-Ana","LA3729")</f>
      </c>
      <c t="inlineStr" r="B570">
        <is>
          <t xml:space="preserve">Chinese Fast Food in Santa Ana</t>
        </is>
      </c>
      <c r="C570" s="63">
        <v>65000</v>
      </c>
      <c r="D570" s="63">
        <v>3274700</v>
      </c>
      <c t="inlineStr" r="E570">
        <is>
          <t xml:space="preserve">Southern California</t>
        </is>
      </c>
      <c r="F570" s="65">
        <v>0</v>
      </c>
      <c r="G570" s="65">
        <v>0</v>
      </c>
      <c t="inlineStr" r="H570">
        <is>
          <t xml:space="preserve">Food Services and Drinking Places</t>
        </is>
      </c>
      <c t="inlineStr" r="I570">
        <is>
          <t xml:space="preserve">&lt;none&gt;</t>
        </is>
      </c>
      <c t="inlineStr" r="L570">
        <is>
          <t xml:space="preserve">-----</t>
        </is>
      </c>
    </row>
    <row r="571">
      <c t="str" r="A571" s="4">
        <f>HYPERLINK("https://linkbusiness.com/businesses-for-sale/LA3731/Santa-Barbara-County-Home-Health-Agency","LA3731")</f>
      </c>
      <c t="inlineStr" r="B571">
        <is>
          <t xml:space="preserve">Santa Barbara County Home Health Agency</t>
        </is>
      </c>
      <c r="C571" s="63">
        <v>395000</v>
      </c>
      <c r="D571" s="63">
        <v>19900100</v>
      </c>
      <c t="inlineStr" r="E571">
        <is>
          <t xml:space="preserve">Southern California</t>
        </is>
      </c>
      <c r="F571" s="65">
        <v>0</v>
      </c>
      <c r="G571" s="65">
        <v>0</v>
      </c>
      <c t="inlineStr" r="H571">
        <is>
          <t xml:space="preserve">Health Care &amp; Social Assistance</t>
        </is>
      </c>
      <c t="inlineStr" r="I571">
        <is>
          <t xml:space="preserve">&lt;none&gt;</t>
        </is>
      </c>
      <c t="inlineStr" r="L571">
        <is>
          <t xml:space="preserve">-----</t>
        </is>
      </c>
    </row>
    <row r="572">
      <c t="str" r="A572" s="4">
        <f>HYPERLINK("https://linkbusiness.com/businesses-for-sale/LA3745/Italian-Restaurant-in-Upscale-Beach-Area","LA3745")</f>
      </c>
      <c t="inlineStr" r="B572">
        <is>
          <t xml:space="preserve">Italian Restaurant in Upscale Beach Area</t>
        </is>
      </c>
      <c r="C572" s="63">
        <v>299000</v>
      </c>
      <c r="D572" s="63">
        <v>15063620</v>
      </c>
      <c t="inlineStr" r="E572">
        <is>
          <t xml:space="preserve">Orange County</t>
        </is>
      </c>
      <c r="F572" s="65">
        <v>0</v>
      </c>
      <c r="G572" s="65">
        <v>0</v>
      </c>
      <c t="inlineStr" r="H572">
        <is>
          <t xml:space="preserve">Food Services and Drinking Places</t>
        </is>
      </c>
      <c t="inlineStr" r="I572">
        <is>
          <t xml:space="preserve">&lt;none&gt;</t>
        </is>
      </c>
      <c t="inlineStr" r="L572">
        <is>
          <t xml:space="preserve">-----</t>
        </is>
      </c>
    </row>
    <row r="573">
      <c t="str" r="A573" s="4">
        <f>HYPERLINK("https://linkbusiness.com/businesses-for-sale/LA3748/Short-Hours-Mexican-Restaurant","LA3748")</f>
      </c>
      <c t="inlineStr" r="B573">
        <is>
          <t xml:space="preserve">Short Hours Mexican Restaurant</t>
        </is>
      </c>
      <c r="C573" s="63">
        <v>120000</v>
      </c>
      <c r="D573" s="63">
        <v>6045600</v>
      </c>
      <c t="inlineStr" r="E573">
        <is>
          <t xml:space="preserve">Orange County</t>
        </is>
      </c>
      <c r="F573" s="65">
        <v>0</v>
      </c>
      <c r="G573" s="65">
        <v>0</v>
      </c>
      <c t="inlineStr" r="H573">
        <is>
          <t xml:space="preserve">Food Services and Drinking Places</t>
        </is>
      </c>
      <c t="inlineStr" r="I573">
        <is>
          <t xml:space="preserve">&lt;none&gt;</t>
        </is>
      </c>
      <c t="inlineStr" r="L573">
        <is>
          <t xml:space="preserve">-----</t>
        </is>
      </c>
    </row>
    <row r="574">
      <c t="str" r="A574" s="4">
        <f>HYPERLINK("https://linkbusiness.com/businesses-for-sale/LA3749/Costa-Mesa-Coin-Laundry","LA3749")</f>
      </c>
      <c t="inlineStr" r="B574">
        <is>
          <t xml:space="preserve">Costa Mesa Coin Laundry</t>
        </is>
      </c>
      <c r="C574" s="63">
        <v>72000</v>
      </c>
      <c r="D574" s="63">
        <v>3627360</v>
      </c>
      <c t="inlineStr" r="E574">
        <is>
          <t xml:space="preserve">Orange County</t>
        </is>
      </c>
      <c r="F574" s="65">
        <v>0</v>
      </c>
      <c r="G574" s="65">
        <v>0</v>
      </c>
      <c t="inlineStr" r="H574">
        <is>
          <t xml:space="preserve">Other Services (except public administration)</t>
        </is>
      </c>
      <c t="inlineStr" r="I574">
        <is>
          <t xml:space="preserve">Drycleaning and Laundry Services</t>
        </is>
      </c>
      <c t="inlineStr" r="L574">
        <is>
          <t xml:space="preserve">-----</t>
        </is>
      </c>
    </row>
    <row r="575">
      <c t="str" r="A575" s="4">
        <f>HYPERLINK("https://linkbusiness.com/businesses-for-sale/LA3754/Air-Compressor-Sales-%26-Service-(SBA-Available)","LA3754")</f>
      </c>
      <c t="inlineStr" r="B575">
        <is>
          <t xml:space="preserve">Air Compressor Sales &amp; Service (SBA Available)</t>
        </is>
      </c>
      <c r="C575" s="63">
        <v>200000</v>
      </c>
      <c r="D575" s="63">
        <v>10076000</v>
      </c>
      <c t="inlineStr" r="E575">
        <is>
          <t xml:space="preserve">Orange County</t>
        </is>
      </c>
      <c r="F575" s="65">
        <v>0</v>
      </c>
      <c r="G575" s="65">
        <v>0</v>
      </c>
      <c t="inlineStr" r="H575">
        <is>
          <t xml:space="preserve">&lt;none&gt;</t>
        </is>
      </c>
      <c t="inlineStr" r="I575">
        <is>
          <t xml:space="preserve">&lt;none&gt;</t>
        </is>
      </c>
      <c t="inlineStr" r="L575">
        <is>
          <t xml:space="preserve">-----</t>
        </is>
      </c>
    </row>
    <row r="576">
      <c t="str" r="A576" s="4">
        <f>HYPERLINK("https://linkbusiness.com/businesses-for-sale/LA3757/Auto-Repair-Shop-in-Busy-Major-Street-of-San-Diego","LA3757")</f>
      </c>
      <c t="inlineStr" r="B576">
        <is>
          <t xml:space="preserve">Auto Repair Shop in Busy Major Street of San Diego</t>
        </is>
      </c>
      <c r="C576" s="63">
        <v>80000</v>
      </c>
      <c r="D576" s="63">
        <v>4030400</v>
      </c>
      <c t="inlineStr" r="E576">
        <is>
          <t xml:space="preserve">San Diego County</t>
        </is>
      </c>
      <c r="F576" s="65">
        <v>0</v>
      </c>
      <c r="G576" s="65">
        <v>0</v>
      </c>
      <c t="inlineStr" r="H576">
        <is>
          <t xml:space="preserve">Other Services (except public administration)</t>
        </is>
      </c>
      <c t="inlineStr" r="I576">
        <is>
          <t xml:space="preserve">Repair and Maintenance</t>
        </is>
      </c>
      <c t="inlineStr" r="L576">
        <is>
          <t xml:space="preserve">-----</t>
        </is>
      </c>
    </row>
    <row r="577">
      <c t="str" r="A577" s="4">
        <f>HYPERLINK("https://linkbusiness.com/businesses-for-sale/LA3763/Busy-Nail-Salon-for-sale-in-La-Mesa","LA3763")</f>
      </c>
      <c t="inlineStr" r="B577">
        <is>
          <t xml:space="preserve">Busy Nail Salon for sale in La Mesa</t>
        </is>
      </c>
      <c r="C577" s="63">
        <v>75000</v>
      </c>
      <c r="D577" s="63">
        <v>3778500</v>
      </c>
      <c t="inlineStr" r="E577">
        <is>
          <t xml:space="preserve">San Diego County</t>
        </is>
      </c>
      <c r="F577" s="65">
        <v>0</v>
      </c>
      <c r="G577" s="65">
        <v>0</v>
      </c>
      <c t="inlineStr" r="H577">
        <is>
          <t xml:space="preserve">Other Services (except public administration)</t>
        </is>
      </c>
      <c t="inlineStr" r="I577">
        <is>
          <t xml:space="preserve">Personal Care Services</t>
        </is>
      </c>
      <c t="inlineStr" r="L577">
        <is>
          <t xml:space="preserve">-----</t>
        </is>
      </c>
    </row>
    <row r="578">
      <c t="str" r="A578" s="4">
        <f>HYPERLINK("https://linkbusiness.com/businesses-for-sale/LA3772/Upscale-Medical-Spa-%2c-Owner-Carry","LA3772")</f>
      </c>
      <c t="inlineStr" r="B578">
        <is>
          <t xml:space="preserve">Upscale Medical Spa , Owner Carry</t>
        </is>
      </c>
      <c r="C578" s="63">
        <v>90000</v>
      </c>
      <c r="D578" s="63">
        <v>4534200</v>
      </c>
      <c t="inlineStr" r="E578">
        <is>
          <t xml:space="preserve">Orange County</t>
        </is>
      </c>
      <c r="F578" s="65">
        <v>0</v>
      </c>
      <c r="G578" s="65">
        <v>0</v>
      </c>
      <c t="inlineStr" r="H578">
        <is>
          <t xml:space="preserve">Other Services (except public administration)</t>
        </is>
      </c>
      <c t="inlineStr" r="I578">
        <is>
          <t xml:space="preserve">Personal Care Services</t>
        </is>
      </c>
      <c t="inlineStr" r="L578">
        <is>
          <t xml:space="preserve">-----</t>
        </is>
      </c>
    </row>
    <row r="579">
      <c t="str" r="A579" s="4">
        <f>HYPERLINK("https://linkbusiness.com/businesses-for-sale/LA3773/Full-Service-Sign-%26-Banner-Co-OC-Owner-Carry","LA3773")</f>
      </c>
      <c t="inlineStr" r="B579">
        <is>
          <t xml:space="preserve">Full Service Sign &amp; Banner Co. O.C. Owner Carry</t>
        </is>
      </c>
      <c r="C579" s="63">
        <v>200000</v>
      </c>
      <c r="D579" s="63">
        <v>10076000</v>
      </c>
      <c t="inlineStr" r="E579">
        <is>
          <t xml:space="preserve">Orange County</t>
        </is>
      </c>
      <c r="F579" s="65">
        <v>0</v>
      </c>
      <c r="G579" s="65">
        <v>0</v>
      </c>
      <c t="inlineStr" r="H579">
        <is>
          <t xml:space="preserve">Manufacturing</t>
        </is>
      </c>
      <c t="inlineStr" r="I579">
        <is>
          <t xml:space="preserve">Printing and Related Support Activities</t>
        </is>
      </c>
      <c t="inlineStr" r="L579">
        <is>
          <t xml:space="preserve">-----</t>
        </is>
      </c>
    </row>
    <row r="580">
      <c t="str" r="A580" s="4">
        <f>HYPERLINK("https://linkbusiness.com/businesses-for-sale/LA3789/Indoor-Sports-and-Cultural-Center-Solano-County","LA3789")</f>
      </c>
      <c t="inlineStr" r="B580">
        <is>
          <t xml:space="preserve">Indoor Sports and Cultural Center-Solano County</t>
        </is>
      </c>
      <c r="C580" s="63">
        <v>220000</v>
      </c>
      <c r="D580" s="63">
        <v>11083600</v>
      </c>
      <c t="inlineStr" r="E580">
        <is>
          <t xml:space="preserve">Northern California</t>
        </is>
      </c>
      <c r="F580" s="65">
        <v>0</v>
      </c>
      <c r="G580" s="65">
        <v>0</v>
      </c>
      <c t="inlineStr" r="H580">
        <is>
          <t xml:space="preserve">Educational Services</t>
        </is>
      </c>
      <c t="inlineStr" r="I580">
        <is>
          <t xml:space="preserve">&lt;none&gt;</t>
        </is>
      </c>
      <c t="inlineStr" r="L580">
        <is>
          <t xml:space="preserve">-----</t>
        </is>
      </c>
    </row>
    <row r="581">
      <c t="str" r="A581" s="4">
        <f>HYPERLINK("https://linkbusiness.com/businesses-for-sale/LA3799/Profitable-Gun-Store-in-San-Bernardino-County","LA3799")</f>
      </c>
      <c t="inlineStr" r="B581">
        <is>
          <t xml:space="preserve">Profitable Gun Store in San Bernardino County</t>
        </is>
      </c>
      <c r="C581" s="63">
        <v>280000</v>
      </c>
      <c r="D581" s="63">
        <v>14106400</v>
      </c>
      <c t="inlineStr" r="E581">
        <is>
          <t xml:space="preserve">San Bernardino County</t>
        </is>
      </c>
      <c r="F581" s="65">
        <v>0</v>
      </c>
      <c r="G581" s="65">
        <v>0</v>
      </c>
      <c t="inlineStr" r="H581">
        <is>
          <t xml:space="preserve">Retail Trade</t>
        </is>
      </c>
      <c t="inlineStr" r="I581">
        <is>
          <t xml:space="preserve">&lt;none&gt;</t>
        </is>
      </c>
      <c t="inlineStr" r="L581">
        <is>
          <t xml:space="preserve">-----</t>
        </is>
      </c>
    </row>
    <row r="582">
      <c t="str" r="A582" s="4">
        <f>HYPERLINK("https://linkbusiness.com/businesses-for-sale/LA3810/40-Years-Jewelry-Store-for-Asset-Sale","LA3810")</f>
      </c>
      <c t="inlineStr" r="B582">
        <is>
          <t xml:space="preserve">40 Years Jewelry Store for Asset Sale</t>
        </is>
      </c>
      <c r="C582" s="63">
        <v>150000</v>
      </c>
      <c r="D582" s="63">
        <v>7557000</v>
      </c>
      <c t="inlineStr" r="E582">
        <is>
          <t xml:space="preserve">-----</t>
        </is>
      </c>
      <c r="F582" s="65">
        <v>0</v>
      </c>
      <c r="G582" s="65">
        <v>0</v>
      </c>
      <c t="inlineStr" r="H582">
        <is>
          <t xml:space="preserve">Retail Trade</t>
        </is>
      </c>
      <c t="inlineStr" r="I582">
        <is>
          <t xml:space="preserve">&lt;none&gt;</t>
        </is>
      </c>
      <c t="inlineStr" r="L582">
        <is>
          <t xml:space="preserve">-----</t>
        </is>
      </c>
    </row>
    <row r="583">
      <c t="str" r="A583" s="4">
        <f>HYPERLINK("https://linkbusiness.com/businesses-for-sale/LA3811/No-1-Advertising-Services","LA3811")</f>
      </c>
      <c t="inlineStr" r="B583">
        <is>
          <t xml:space="preserve">No 1 Advertising Services</t>
        </is>
      </c>
      <c r="C583" s="63">
        <v>400000</v>
      </c>
      <c r="D583" s="63">
        <v>20152000</v>
      </c>
      <c t="inlineStr" r="E583">
        <is>
          <t xml:space="preserve">Orange County</t>
        </is>
      </c>
      <c r="F583" s="65">
        <v>0</v>
      </c>
      <c r="G583" s="65">
        <v>0</v>
      </c>
      <c t="inlineStr" r="H583">
        <is>
          <t xml:space="preserve">Franchises</t>
        </is>
      </c>
      <c t="inlineStr" r="I583">
        <is>
          <t xml:space="preserve">&lt;none&gt;</t>
        </is>
      </c>
      <c t="inlineStr" r="L583">
        <is>
          <t xml:space="preserve">-----</t>
        </is>
      </c>
    </row>
    <row r="584">
      <c t="str" r="A584" s="4">
        <f>HYPERLINK("https://linkbusiness.com/businesses-for-sale/LA3813/High-Volume-Large-Format-Print-Shop","LA3813")</f>
      </c>
      <c t="inlineStr" r="B584">
        <is>
          <t xml:space="preserve">High Volume Large Format Print Shop</t>
        </is>
      </c>
      <c r="C584" s="63">
        <v>300000</v>
      </c>
      <c r="D584" s="63">
        <v>15114000</v>
      </c>
      <c t="inlineStr" r="E584">
        <is>
          <t xml:space="preserve">-----</t>
        </is>
      </c>
      <c r="F584" s="65">
        <v>0</v>
      </c>
      <c r="G584" s="65">
        <v>0</v>
      </c>
      <c t="inlineStr" r="H584">
        <is>
          <t xml:space="preserve">Manufacturing</t>
        </is>
      </c>
      <c t="inlineStr" r="I584">
        <is>
          <t xml:space="preserve">&lt;none&gt;</t>
        </is>
      </c>
      <c t="inlineStr" r="L584">
        <is>
          <t xml:space="preserve">-----</t>
        </is>
      </c>
    </row>
    <row r="585">
      <c t="str" r="A585" s="4">
        <f>HYPERLINK("https://linkbusiness.com/businesses-for-sale/LA3817/Smog-Shop%2c-Star-Certified-Test-only-Station","LA3817")</f>
      </c>
      <c t="inlineStr" r="B585">
        <is>
          <t xml:space="preserve">Smog Shop, Star Certified Test only Station</t>
        </is>
      </c>
      <c r="C585" s="63">
        <v>60000</v>
      </c>
      <c r="D585" s="63">
        <v>3022800</v>
      </c>
      <c t="inlineStr" r="E585">
        <is>
          <t xml:space="preserve">Orange County</t>
        </is>
      </c>
      <c r="F585" s="65">
        <v>0</v>
      </c>
      <c r="G585" s="65">
        <v>0</v>
      </c>
      <c t="inlineStr" r="H585">
        <is>
          <t xml:space="preserve">Motor Vehicle and Parts Dealers</t>
        </is>
      </c>
      <c t="inlineStr" r="I585">
        <is>
          <t xml:space="preserve">&lt;none&gt;</t>
        </is>
      </c>
      <c t="inlineStr" r="L585">
        <is>
          <t xml:space="preserve">-----</t>
        </is>
      </c>
    </row>
    <row r="586">
      <c t="str" r="A586" s="4">
        <f>HYPERLINK("https://linkbusiness.com/businesses-for-sale/LA3818/Est-%26-Growing-Franchise-Massage-%26-Facial-Spa!","LA3818")</f>
      </c>
      <c t="inlineStr" r="B586">
        <is>
          <t xml:space="preserve">Est. &amp; Growing Franchise Massage &amp; Facial Spa!</t>
        </is>
      </c>
      <c r="C586" s="63">
        <v>150000</v>
      </c>
      <c r="D586" s="63">
        <v>7557000</v>
      </c>
      <c t="inlineStr" r="E586">
        <is>
          <t xml:space="preserve">Orange County</t>
        </is>
      </c>
      <c r="F586" s="65">
        <v>0</v>
      </c>
      <c r="G586" s="65">
        <v>0</v>
      </c>
      <c t="inlineStr" r="H586">
        <is>
          <t xml:space="preserve">Other Services (except public administration)</t>
        </is>
      </c>
      <c t="inlineStr" r="I586">
        <is>
          <t xml:space="preserve">Personal Care Services</t>
        </is>
      </c>
      <c t="inlineStr" r="L586">
        <is>
          <t xml:space="preserve">-----</t>
        </is>
      </c>
    </row>
    <row r="587">
      <c t="str" r="A587" s="4">
        <f>HYPERLINK("https://linkbusiness.com/businesses-for-sale/LA3822/Profitable-Indoor-Go-Kart-Raceway","LA3822")</f>
      </c>
      <c t="inlineStr" r="B587">
        <is>
          <t xml:space="preserve">Profitable Indoor Go Kart Raceway</t>
        </is>
      </c>
      <c r="C587" s="63">
        <v>2800000</v>
      </c>
      <c r="D587" s="63">
        <v>141064000</v>
      </c>
      <c t="inlineStr" r="E587">
        <is>
          <t xml:space="preserve">-----</t>
        </is>
      </c>
      <c r="F587" s="65">
        <v>0</v>
      </c>
      <c r="G587" s="65">
        <v>0</v>
      </c>
      <c t="inlineStr" r="H587">
        <is>
          <t xml:space="preserve">Arts, Entertainment &amp; Recreation</t>
        </is>
      </c>
      <c t="inlineStr" r="I587">
        <is>
          <t xml:space="preserve">&lt;none&gt;</t>
        </is>
      </c>
      <c t="inlineStr" r="L587">
        <is>
          <t xml:space="preserve">-----</t>
        </is>
      </c>
    </row>
    <row r="588">
      <c t="str" r="A588" s="4">
        <f>HYPERLINK("https://linkbusiness.com/businesses-for-sale/LA3837/Large-Format-Sign-and-Graphics-Company","LA3837")</f>
      </c>
      <c t="inlineStr" r="B588">
        <is>
          <t xml:space="preserve">Large Format Sign and Graphics Company</t>
        </is>
      </c>
      <c r="C588" s="63">
        <v>550000</v>
      </c>
      <c r="D588" s="63">
        <v>27709000</v>
      </c>
      <c t="inlineStr" r="E588">
        <is>
          <t xml:space="preserve">Orange County</t>
        </is>
      </c>
      <c r="F588" s="65">
        <v>0</v>
      </c>
      <c r="G588" s="65">
        <v>0</v>
      </c>
      <c t="inlineStr" r="H588">
        <is>
          <t xml:space="preserve">Manufacturing</t>
        </is>
      </c>
      <c t="inlineStr" r="I588">
        <is>
          <t xml:space="preserve">Printing and Related Support Activities</t>
        </is>
      </c>
      <c t="inlineStr" r="L588">
        <is>
          <t xml:space="preserve">-----</t>
        </is>
      </c>
    </row>
    <row r="589">
      <c t="str" r="A589" s="4">
        <f>HYPERLINK("https://linkbusiness.com/businesses-for-sale/LA3838/PAWN-SHOP-OWNER-RETIRING","LA3838")</f>
      </c>
      <c t="inlineStr" r="B589">
        <is>
          <t xml:space="preserve">PAWN SHOP OWNER RETIRING</t>
        </is>
      </c>
      <c r="C589" s="63">
        <v>889000</v>
      </c>
      <c r="D589" s="63">
        <v>44787820</v>
      </c>
      <c t="inlineStr" r="E589">
        <is>
          <t xml:space="preserve">San Diego County</t>
        </is>
      </c>
      <c r="F589" s="65">
        <v>0</v>
      </c>
      <c r="G589" s="65">
        <v>0</v>
      </c>
      <c t="inlineStr" r="H589">
        <is>
          <t xml:space="preserve">Other Services (except public administration)</t>
        </is>
      </c>
      <c t="inlineStr" r="I589">
        <is>
          <t xml:space="preserve">&lt;none&gt;</t>
        </is>
      </c>
      <c t="inlineStr" r="L589">
        <is>
          <t xml:space="preserve">-----</t>
        </is>
      </c>
    </row>
    <row r="590">
      <c t="str" r="A590" s="4">
        <f>HYPERLINK("https://linkbusiness.com/businesses-for-sale/LA3842/Computer-Repair-%26-Support%2c-No-Experience-Necessary","LA3842")</f>
      </c>
      <c t="inlineStr" r="B590">
        <is>
          <t xml:space="preserve">Computer Repair &amp; Support, No Experience Necessary</t>
        </is>
      </c>
      <c r="C590" s="63">
        <v>95000</v>
      </c>
      <c r="D590" s="63">
        <v>4786100</v>
      </c>
      <c t="inlineStr" r="E590">
        <is>
          <t xml:space="preserve">-----</t>
        </is>
      </c>
      <c r="F590" s="65">
        <v>0</v>
      </c>
      <c r="G590" s="65">
        <v>0</v>
      </c>
      <c t="inlineStr" r="H590">
        <is>
          <t xml:space="preserve">&lt;none&gt;</t>
        </is>
      </c>
      <c t="inlineStr" r="I590">
        <is>
          <t xml:space="preserve">&lt;none&gt;</t>
        </is>
      </c>
      <c t="inlineStr" r="L590">
        <is>
          <t xml:space="preserve">-----</t>
        </is>
      </c>
    </row>
    <row r="591">
      <c t="str" r="A591" s="4">
        <f>HYPERLINK("https://linkbusiness.com/businesses-for-sale/LA3846/High-Volume-Liquor-Store-in-Orange-County","LA3846")</f>
      </c>
      <c t="inlineStr" r="B591">
        <is>
          <t xml:space="preserve">High Volume Liquor Store in Orange County</t>
        </is>
      </c>
      <c r="C591" s="63">
        <v>569000</v>
      </c>
      <c r="D591" s="63">
        <v>28666220</v>
      </c>
      <c t="inlineStr" r="E591">
        <is>
          <t xml:space="preserve">Orange County</t>
        </is>
      </c>
      <c r="F591" s="65">
        <v>0</v>
      </c>
      <c r="G591" s="65">
        <v>0</v>
      </c>
      <c t="inlineStr" r="H591">
        <is>
          <t xml:space="preserve">Retail Trade</t>
        </is>
      </c>
      <c t="inlineStr" r="I591">
        <is>
          <t xml:space="preserve">Food and Beverage Stores</t>
        </is>
      </c>
      <c t="inlineStr" r="L591">
        <is>
          <t xml:space="preserve">-----</t>
        </is>
      </c>
    </row>
    <row r="592">
      <c t="str" r="A592" s="4">
        <f>HYPERLINK("https://linkbusiness.com/businesses-for-sale/LA3850/Product-Design-Firm-with-60-Years-of-Experience","LA3850")</f>
      </c>
      <c t="inlineStr" r="B592">
        <is>
          <t xml:space="preserve">Product Design Firm with 60 Years of Experience</t>
        </is>
      </c>
      <c r="C592" s="63">
        <v>450000</v>
      </c>
      <c r="D592" s="63">
        <v>22671000</v>
      </c>
      <c t="inlineStr" r="E592">
        <is>
          <t xml:space="preserve">Los Angeles County</t>
        </is>
      </c>
      <c r="F592" s="65">
        <v>0</v>
      </c>
      <c r="G592" s="65">
        <v>0</v>
      </c>
      <c t="inlineStr" r="H592">
        <is>
          <t xml:space="preserve">Professional, Scientific and Technical Services</t>
        </is>
      </c>
      <c t="inlineStr" r="I592">
        <is>
          <t xml:space="preserve">&lt;none&gt;</t>
        </is>
      </c>
      <c t="inlineStr" r="L592">
        <is>
          <t xml:space="preserve">-----</t>
        </is>
      </c>
    </row>
    <row r="593">
      <c t="str" r="A593" s="4">
        <f>HYPERLINK("https://linkbusiness.com/businesses-for-sale/LA3854/Bar-%26-Restaurant-Supply---Semi-Absentee","LA3854")</f>
      </c>
      <c t="inlineStr" r="B593">
        <is>
          <t xml:space="preserve">Bar &amp; Restaurant Supply - Semi Absentee</t>
        </is>
      </c>
      <c r="C593" s="63">
        <v>460000</v>
      </c>
      <c r="D593" s="63">
        <v>23174800</v>
      </c>
      <c t="inlineStr" r="E593">
        <is>
          <t xml:space="preserve">Southern California</t>
        </is>
      </c>
      <c r="F593" s="65">
        <v>0</v>
      </c>
      <c r="G593" s="65">
        <v>0</v>
      </c>
      <c t="inlineStr" r="H593">
        <is>
          <t xml:space="preserve">Transportation &amp; Warehousing</t>
        </is>
      </c>
      <c t="inlineStr" r="I593">
        <is>
          <t xml:space="preserve">&lt;none&gt;</t>
        </is>
      </c>
      <c t="inlineStr" r="L593">
        <is>
          <t xml:space="preserve">-----</t>
        </is>
      </c>
    </row>
    <row r="594">
      <c t="str" r="A594" s="4">
        <f>HYPERLINK("https://linkbusiness.com/businesses-for-sale/LA3858/Bakery-and-Catering-Opportunity","LA3858")</f>
      </c>
      <c t="inlineStr" r="B594">
        <is>
          <t xml:space="preserve">Bakery and Catering Opportunity</t>
        </is>
      </c>
      <c r="C594" s="63">
        <v>90000</v>
      </c>
      <c r="D594" s="63">
        <v>4534200</v>
      </c>
      <c t="inlineStr" r="E594">
        <is>
          <t xml:space="preserve">Orange County</t>
        </is>
      </c>
      <c r="F594" s="65">
        <v>0</v>
      </c>
      <c r="G594" s="65">
        <v>0</v>
      </c>
      <c t="inlineStr" r="H594">
        <is>
          <t xml:space="preserve">Restaurant</t>
        </is>
      </c>
      <c t="inlineStr" r="I594">
        <is>
          <t xml:space="preserve">Food Services and Drinking Places</t>
        </is>
      </c>
      <c t="inlineStr" r="L594">
        <is>
          <t xml:space="preserve">-----</t>
        </is>
      </c>
    </row>
    <row r="595">
      <c t="str" r="A595" s="4">
        <f>HYPERLINK("https://linkbusiness.com/businesses-for-sale/LA3860/Moving-and-retiring-Must-see-Best-In-Class-Spanish-Kitchen","LA3860")</f>
      </c>
      <c t="inlineStr" r="B595">
        <is>
          <t xml:space="preserve">Moving and retiring Must see Best In Class Spanish Kitchen</t>
        </is>
      </c>
      <c r="C595" s="63">
        <v>239000</v>
      </c>
      <c r="D595" s="63">
        <v>12040820</v>
      </c>
      <c t="inlineStr" r="E595">
        <is>
          <t xml:space="preserve">Southern California</t>
        </is>
      </c>
      <c r="F595" s="65">
        <v>0</v>
      </c>
      <c r="G595" s="65">
        <v>0</v>
      </c>
      <c t="inlineStr" r="H595">
        <is>
          <t xml:space="preserve">Restaurant</t>
        </is>
      </c>
      <c t="inlineStr" r="I595">
        <is>
          <t xml:space="preserve">Food Services and Drinking Places</t>
        </is>
      </c>
      <c t="inlineStr" r="L595">
        <is>
          <t xml:space="preserve">-----</t>
        </is>
      </c>
    </row>
    <row r="596">
      <c t="str" r="A596" s="4">
        <f>HYPERLINK("https://linkbusiness.com/businesses-for-sale/LA3864/Well-Known-Franchise-Yogurt-Business-For-Sale","LA3864")</f>
      </c>
      <c t="inlineStr" r="B596">
        <is>
          <t xml:space="preserve">Well-Known Franchise Yogurt Business For Sale</t>
        </is>
      </c>
      <c r="C596" s="63">
        <v>62500</v>
      </c>
      <c r="D596" s="63">
        <v>3148750</v>
      </c>
      <c t="inlineStr" r="E596">
        <is>
          <t xml:space="preserve">Southern California</t>
        </is>
      </c>
      <c r="F596" s="65">
        <v>0</v>
      </c>
      <c r="G596" s="65">
        <v>0</v>
      </c>
      <c t="inlineStr" r="H596">
        <is>
          <t xml:space="preserve">Food Services and Drinking Places</t>
        </is>
      </c>
      <c t="inlineStr" r="I596">
        <is>
          <t xml:space="preserve">&lt;none&gt;</t>
        </is>
      </c>
      <c t="inlineStr" r="L596">
        <is>
          <t xml:space="preserve">-----</t>
        </is>
      </c>
    </row>
    <row r="597">
      <c t="str" r="A597" s="4">
        <f>HYPERLINK("https://linkbusiness.com/businesses-for-sale/LA3865/Two-Franchise-Yogurt-Shops-in-Orange-County","LA3865")</f>
      </c>
      <c t="inlineStr" r="B597">
        <is>
          <t xml:space="preserve">Two Franchise Yogurt Shops in Orange County</t>
        </is>
      </c>
      <c r="C597" s="63">
        <v>125000</v>
      </c>
      <c r="D597" s="63">
        <v>6297500</v>
      </c>
      <c t="inlineStr" r="E597">
        <is>
          <t xml:space="preserve">Orange County</t>
        </is>
      </c>
      <c r="F597" s="65">
        <v>0</v>
      </c>
      <c r="G597" s="65">
        <v>0</v>
      </c>
      <c t="inlineStr" r="H597">
        <is>
          <t xml:space="preserve">Food Services and Drinking Places</t>
        </is>
      </c>
      <c t="inlineStr" r="I597">
        <is>
          <t xml:space="preserve">&lt;none&gt;</t>
        </is>
      </c>
      <c t="inlineStr" r="L597">
        <is>
          <t xml:space="preserve">-----</t>
        </is>
      </c>
    </row>
    <row r="598">
      <c t="str" r="A598" s="4">
        <f>HYPERLINK("https://linkbusiness.com/businesses-for-sale/LA3866/Well-Known-Franchise-Yogurt-Business-for-Sale","LA3866")</f>
      </c>
      <c t="inlineStr" r="B598">
        <is>
          <t xml:space="preserve">Well-Known Franchise Yogurt Business for Sale</t>
        </is>
      </c>
      <c r="C598" s="63">
        <v>62500</v>
      </c>
      <c r="D598" s="63">
        <v>3148750</v>
      </c>
      <c t="inlineStr" r="E598">
        <is>
          <t xml:space="preserve">Orange County</t>
        </is>
      </c>
      <c r="F598" s="65">
        <v>0</v>
      </c>
      <c r="G598" s="65">
        <v>0</v>
      </c>
      <c t="inlineStr" r="H598">
        <is>
          <t xml:space="preserve">Food Services and Drinking Places</t>
        </is>
      </c>
      <c t="inlineStr" r="I598">
        <is>
          <t xml:space="preserve">&lt;none&gt;</t>
        </is>
      </c>
      <c t="inlineStr" r="L598">
        <is>
          <t xml:space="preserve">-----</t>
        </is>
      </c>
    </row>
    <row r="599">
      <c t="str" r="A599" s="4">
        <f>HYPERLINK("https://linkbusiness.com/businesses-for-sale/LA3869/Profitable-Computer-Services-Company-With-Great-Up","LA3869")</f>
      </c>
      <c t="inlineStr" r="B599">
        <is>
          <t xml:space="preserve">Profitable Computer Services Company With Great Up</t>
        </is>
      </c>
      <c r="C599" s="63">
        <v>80000</v>
      </c>
      <c r="D599" s="63">
        <v>4030400</v>
      </c>
      <c t="inlineStr" r="E599">
        <is>
          <t xml:space="preserve">Southern California</t>
        </is>
      </c>
      <c r="F599" s="65">
        <v>0</v>
      </c>
      <c r="G599" s="65">
        <v>0</v>
      </c>
      <c t="inlineStr" r="H599">
        <is>
          <t xml:space="preserve">Information</t>
        </is>
      </c>
      <c t="inlineStr" r="I599">
        <is>
          <t xml:space="preserve">Internet</t>
        </is>
      </c>
      <c t="inlineStr" r="L599">
        <is>
          <t xml:space="preserve">-----</t>
        </is>
      </c>
    </row>
    <row r="600">
      <c t="str" r="A600" s="4">
        <f>HYPERLINK("https://linkbusiness.com/businesses-for-sale/LA3879/Profitable-Lunch-and-breakfast-cafe","LA3879")</f>
      </c>
      <c t="inlineStr" r="B600">
        <is>
          <t xml:space="preserve">Profitable Lunch and breakfast cafe</t>
        </is>
      </c>
      <c r="C600" s="63">
        <v>349000</v>
      </c>
      <c r="D600" s="63">
        <v>17582620</v>
      </c>
      <c t="inlineStr" r="E600">
        <is>
          <t xml:space="preserve">Orange County</t>
        </is>
      </c>
      <c r="F600" s="65">
        <v>0</v>
      </c>
      <c r="G600" s="65">
        <v>0</v>
      </c>
      <c t="inlineStr" r="H600">
        <is>
          <t xml:space="preserve">Restaurant</t>
        </is>
      </c>
      <c t="inlineStr" r="I600">
        <is>
          <t xml:space="preserve">Food Services and Drinking Places</t>
        </is>
      </c>
      <c t="inlineStr" r="L600">
        <is>
          <t xml:space="preserve">-----</t>
        </is>
      </c>
    </row>
    <row r="601">
      <c t="str" r="A601" s="4">
        <f>HYPERLINK("https://linkbusiness.com/businesses-for-sale/LA3889/6-Days-Cafe-For-Sale-In-Desirable-LA-Location!","LA3889")</f>
      </c>
      <c t="inlineStr" r="B601">
        <is>
          <t xml:space="preserve">6 Days Cafe For Sale In Desirable LA Location!</t>
        </is>
      </c>
      <c r="C601" s="63">
        <v>220000</v>
      </c>
      <c r="D601" s="63">
        <v>11083600</v>
      </c>
      <c t="inlineStr" r="E601">
        <is>
          <t xml:space="preserve">Los Angeles County</t>
        </is>
      </c>
      <c r="F601" s="65">
        <v>0</v>
      </c>
      <c r="G601" s="65">
        <v>0</v>
      </c>
      <c t="inlineStr" r="H601">
        <is>
          <t xml:space="preserve">Food Services and Drinking Places</t>
        </is>
      </c>
      <c t="inlineStr" r="I601">
        <is>
          <t xml:space="preserve">&lt;none&gt;</t>
        </is>
      </c>
      <c t="inlineStr" r="L601">
        <is>
          <t xml:space="preserve">-----</t>
        </is>
      </c>
    </row>
    <row r="602">
      <c t="str" r="A602" s="4">
        <f>HYPERLINK("https://linkbusiness.com/businesses-for-sale/LA3891/Healthy-Fast-Food-Franchise-Cafe-For-Sale!","LA3891")</f>
      </c>
      <c t="inlineStr" r="B602">
        <is>
          <t xml:space="preserve">Healthy Fast Food Franchise Cafe For Sale!</t>
        </is>
      </c>
      <c r="C602" s="63">
        <v>150000</v>
      </c>
      <c r="D602" s="63">
        <v>7557000</v>
      </c>
      <c t="inlineStr" r="E602">
        <is>
          <t xml:space="preserve">-----</t>
        </is>
      </c>
      <c r="F602" s="65">
        <v>0</v>
      </c>
      <c r="G602" s="65">
        <v>0</v>
      </c>
      <c t="inlineStr" r="H602">
        <is>
          <t xml:space="preserve">Restaurant</t>
        </is>
      </c>
      <c t="inlineStr" r="I602">
        <is>
          <t xml:space="preserve">&lt;none&gt;</t>
        </is>
      </c>
      <c t="inlineStr" r="L602">
        <is>
          <t xml:space="preserve">-----</t>
        </is>
      </c>
    </row>
    <row r="603">
      <c t="str" r="A603" s="4">
        <f>HYPERLINK("https://linkbusiness.com/businesses-for-sale/LA3896/Short-Hours-Upscale-Cafe","LA3896")</f>
      </c>
      <c t="inlineStr" r="B603">
        <is>
          <t xml:space="preserve">Short Hours Upscale Cafe</t>
        </is>
      </c>
      <c r="C603" s="63">
        <v>245000</v>
      </c>
      <c r="D603" s="63">
        <v>12343100</v>
      </c>
      <c t="inlineStr" r="E603">
        <is>
          <t xml:space="preserve">Orange County</t>
        </is>
      </c>
      <c r="F603" s="65">
        <v>0</v>
      </c>
      <c r="G603" s="65">
        <v>0</v>
      </c>
      <c t="inlineStr" r="H603">
        <is>
          <t xml:space="preserve">Restaurant</t>
        </is>
      </c>
      <c t="inlineStr" r="I603">
        <is>
          <t xml:space="preserve">Food Services and Drinking Places</t>
        </is>
      </c>
      <c t="inlineStr" r="L603">
        <is>
          <t xml:space="preserve">-----</t>
        </is>
      </c>
    </row>
    <row r="604">
      <c t="str" r="A604" s="4">
        <f>HYPERLINK("https://linkbusiness.com/businesses-for-sale/LA3907/Top-Franchise-Sandwich-Business-For-Sale!","LA3907")</f>
      </c>
      <c t="inlineStr" r="B604">
        <is>
          <t xml:space="preserve">Top Franchise Sandwich Business For Sale!</t>
        </is>
      </c>
      <c r="C604" s="63">
        <v>249000</v>
      </c>
      <c r="D604" s="63">
        <v>12544620</v>
      </c>
      <c t="inlineStr" r="E604">
        <is>
          <t xml:space="preserve">San Diego County</t>
        </is>
      </c>
      <c r="F604" s="65">
        <v>0</v>
      </c>
      <c r="G604" s="65">
        <v>0</v>
      </c>
      <c t="inlineStr" r="H604">
        <is>
          <t xml:space="preserve">Restaurant</t>
        </is>
      </c>
      <c t="inlineStr" r="I604">
        <is>
          <t xml:space="preserve">Food Services and Drinking Places</t>
        </is>
      </c>
      <c t="inlineStr" r="L604">
        <is>
          <t xml:space="preserve">-----</t>
        </is>
      </c>
    </row>
    <row r="605">
      <c t="str" r="A605" s="4">
        <f>HYPERLINK("https://linkbusiness.com/businesses-for-sale/LA3910/Regional-Car-Rental-Company-With-6-Locations","LA3910")</f>
      </c>
      <c t="inlineStr" r="B605">
        <is>
          <t xml:space="preserve">Regional Car Rental Company With 6 Locations</t>
        </is>
      </c>
      <c r="C605" s="63">
        <v>2300000</v>
      </c>
      <c r="D605" s="63">
        <v>115874000</v>
      </c>
      <c t="inlineStr" r="E605">
        <is>
          <t xml:space="preserve">Orange County</t>
        </is>
      </c>
      <c r="F605" s="65">
        <v>0</v>
      </c>
      <c r="G605" s="65">
        <v>0</v>
      </c>
      <c t="inlineStr" r="H605">
        <is>
          <t xml:space="preserve">Motor Vehicle and Parts Dealers</t>
        </is>
      </c>
      <c t="inlineStr" r="I605">
        <is>
          <t xml:space="preserve">&lt;none&gt;</t>
        </is>
      </c>
      <c t="inlineStr" r="L605">
        <is>
          <t xml:space="preserve">-----</t>
        </is>
      </c>
    </row>
    <row r="606">
      <c t="str" r="A606" s="4">
        <f>HYPERLINK("https://linkbusiness.com/businesses-for-sale/LA3915/Profitable-Car-Wash-at-Great-Location","LA3915")</f>
      </c>
      <c t="inlineStr" r="B606">
        <is>
          <t xml:space="preserve">Profitable Car Wash at Great Location</t>
        </is>
      </c>
      <c r="C606" s="63">
        <v>650000</v>
      </c>
      <c r="D606" s="63">
        <v>32747000</v>
      </c>
      <c t="inlineStr" r="E606">
        <is>
          <t xml:space="preserve">Southern California</t>
        </is>
      </c>
      <c r="F606" s="65">
        <v>0</v>
      </c>
      <c r="G606" s="65">
        <v>0</v>
      </c>
      <c t="inlineStr" r="H606">
        <is>
          <t xml:space="preserve">Motor Vehicle and Parts Dealers</t>
        </is>
      </c>
      <c t="inlineStr" r="I606">
        <is>
          <t xml:space="preserve">&lt;none&gt;</t>
        </is>
      </c>
      <c t="inlineStr" r="J606">
        <is>
          <t xml:space="preserve">Wen Chen Karkhanis</t>
        </is>
      </c>
      <c t="inlineStr" r="L606">
        <is>
          <t xml:space="preserve">-----</t>
        </is>
      </c>
    </row>
    <row r="607">
      <c t="str" r="A607" s="4">
        <f>HYPERLINK("https://linkbusiness.com/businesses-for-sale/LA3918/Renowned-35-Yr-Old-Performing-Arts-Studio-For-Sale","LA3918")</f>
      </c>
      <c t="inlineStr" r="B607">
        <is>
          <t xml:space="preserve">Renowned 35 Yr Old Performing Arts Studio For Sale</t>
        </is>
      </c>
      <c r="C607" s="63">
        <v>130000</v>
      </c>
      <c r="D607" s="63">
        <v>6549400</v>
      </c>
      <c t="inlineStr" r="E607">
        <is>
          <t xml:space="preserve">Los Angeles County</t>
        </is>
      </c>
      <c r="F607" s="65">
        <v>0</v>
      </c>
      <c r="G607" s="65">
        <v>0</v>
      </c>
      <c t="inlineStr" r="H607">
        <is>
          <t xml:space="preserve">Arts, Entertainment &amp; Recreation</t>
        </is>
      </c>
      <c t="inlineStr" r="I607">
        <is>
          <t xml:space="preserve">Performing Arts, Spectator Sports, and Related Industries</t>
        </is>
      </c>
      <c t="inlineStr" r="L607">
        <is>
          <t xml:space="preserve">-----</t>
        </is>
      </c>
    </row>
    <row r="608">
      <c t="str" r="A608" s="4">
        <f>HYPERLINK("https://linkbusiness.com/businesses-for-sale/LA3926/Franchised-frozen-yogurt-shop","LA3926")</f>
      </c>
      <c t="inlineStr" r="B608">
        <is>
          <t xml:space="preserve">Franchised frozen yogurt shop</t>
        </is>
      </c>
      <c r="C608" s="63">
        <v>60000</v>
      </c>
      <c r="D608" s="63">
        <v>3022800</v>
      </c>
      <c t="inlineStr" r="E608">
        <is>
          <t xml:space="preserve">Southern California</t>
        </is>
      </c>
      <c r="F608" s="65">
        <v>0</v>
      </c>
      <c r="G608" s="65">
        <v>0</v>
      </c>
      <c t="inlineStr" r="H608">
        <is>
          <t xml:space="preserve">Restaurant</t>
        </is>
      </c>
      <c t="inlineStr" r="I608">
        <is>
          <t xml:space="preserve">Food Services and Drinking Places</t>
        </is>
      </c>
      <c t="inlineStr" r="L608">
        <is>
          <t xml:space="preserve">-----</t>
        </is>
      </c>
    </row>
    <row r="609">
      <c t="str" r="A609" s="4">
        <f>HYPERLINK("https://linkbusiness.com/businesses-for-sale/LA3931/Famous-Franchise-Yogurt-shop","LA3931")</f>
      </c>
      <c t="inlineStr" r="B609">
        <is>
          <t xml:space="preserve">Famous Franchise Yogurt shop</t>
        </is>
      </c>
      <c r="C609" s="63">
        <v>98000</v>
      </c>
      <c r="D609" s="63">
        <v>4937240</v>
      </c>
      <c t="inlineStr" r="E609">
        <is>
          <t xml:space="preserve">San Bernardino County</t>
        </is>
      </c>
      <c r="F609" s="65">
        <v>0</v>
      </c>
      <c r="G609" s="65">
        <v>0</v>
      </c>
      <c t="inlineStr" r="H609">
        <is>
          <t xml:space="preserve">Retail Trade</t>
        </is>
      </c>
      <c t="inlineStr" r="I609">
        <is>
          <t xml:space="preserve">Food and Beverage Stores</t>
        </is>
      </c>
      <c t="inlineStr" r="L609">
        <is>
          <t xml:space="preserve">-----</t>
        </is>
      </c>
    </row>
    <row r="610">
      <c t="str" r="A610" s="4">
        <f>HYPERLINK("https://linkbusiness.com/businesses-for-sale/LA3941/Franchise-Frozen-Yogurt-Business-For-Sale!","LA3941")</f>
      </c>
      <c t="inlineStr" r="B610">
        <is>
          <t xml:space="preserve">Franchise Frozen Yogurt Business For Sale!</t>
        </is>
      </c>
      <c r="C610" s="63">
        <v>90000</v>
      </c>
      <c r="D610" s="63">
        <v>4534200</v>
      </c>
      <c t="inlineStr" r="E610">
        <is>
          <t xml:space="preserve">Southern California</t>
        </is>
      </c>
      <c r="F610" s="65">
        <v>0</v>
      </c>
      <c r="G610" s="65">
        <v>0</v>
      </c>
      <c t="inlineStr" r="H610">
        <is>
          <t xml:space="preserve">Restaurant</t>
        </is>
      </c>
      <c t="inlineStr" r="I610">
        <is>
          <t xml:space="preserve">Food Services and Drinking Places</t>
        </is>
      </c>
      <c t="inlineStr" r="L610">
        <is>
          <t xml:space="preserve">-----</t>
        </is>
      </c>
    </row>
    <row r="611">
      <c t="str" r="A611" s="4">
        <f>HYPERLINK("https://linkbusiness.com/businesses-for-sale/LA3942/Franchise-Frozen-Yogurt-Business-For-Sale!","LA3942")</f>
      </c>
      <c t="inlineStr" r="B611">
        <is>
          <t xml:space="preserve">Franchise Frozen Yogurt Business For Sale!</t>
        </is>
      </c>
      <c r="C611" s="63">
        <v>140000</v>
      </c>
      <c r="D611" s="63">
        <v>7053200</v>
      </c>
      <c t="inlineStr" r="E611">
        <is>
          <t xml:space="preserve">Southern California</t>
        </is>
      </c>
      <c r="F611" s="65">
        <v>0</v>
      </c>
      <c r="G611" s="65">
        <v>0</v>
      </c>
      <c t="inlineStr" r="H611">
        <is>
          <t xml:space="preserve">Restaurant</t>
        </is>
      </c>
      <c t="inlineStr" r="I611">
        <is>
          <t xml:space="preserve">Food Services and Drinking Places</t>
        </is>
      </c>
      <c t="inlineStr" r="L611">
        <is>
          <t xml:space="preserve">-----</t>
        </is>
      </c>
    </row>
    <row r="612">
      <c t="str" r="A612" s="4">
        <f>HYPERLINK("https://linkbusiness.com/businesses-for-sale/LA3943/Franchise-Frozen-Yogurt-Business-For-Sale!","LA3943")</f>
      </c>
      <c t="inlineStr" r="B612">
        <is>
          <t xml:space="preserve">Franchise Frozen Yogurt Business For Sale!</t>
        </is>
      </c>
      <c r="C612" s="63">
        <v>60000</v>
      </c>
      <c r="D612" s="63">
        <v>3022800</v>
      </c>
      <c t="inlineStr" r="E612">
        <is>
          <t xml:space="preserve">Orange County</t>
        </is>
      </c>
      <c r="F612" s="65">
        <v>0</v>
      </c>
      <c r="G612" s="65">
        <v>0</v>
      </c>
      <c t="inlineStr" r="H612">
        <is>
          <t xml:space="preserve">Restaurant</t>
        </is>
      </c>
      <c t="inlineStr" r="I612">
        <is>
          <t xml:space="preserve">Food Services and Drinking Places</t>
        </is>
      </c>
      <c t="inlineStr" r="L612">
        <is>
          <t xml:space="preserve">-----</t>
        </is>
      </c>
    </row>
    <row r="613">
      <c t="str" r="A613" s="4">
        <f>HYPERLINK("https://linkbusiness.com/businesses-for-sale/LA3946/Franchise-Frozen-Yogurt-Business-For-Sale!","LA3946")</f>
      </c>
      <c t="inlineStr" r="B613">
        <is>
          <t xml:space="preserve">Franchise Frozen Yogurt Business For Sale!</t>
        </is>
      </c>
      <c r="C613" s="63">
        <v>35000</v>
      </c>
      <c r="D613" s="63">
        <v>1763300</v>
      </c>
      <c t="inlineStr" r="E613">
        <is>
          <t xml:space="preserve">San Diego County</t>
        </is>
      </c>
      <c r="F613" s="65">
        <v>0</v>
      </c>
      <c r="G613" s="65">
        <v>0</v>
      </c>
      <c t="inlineStr" r="H613">
        <is>
          <t xml:space="preserve">Franchises</t>
        </is>
      </c>
      <c t="inlineStr" r="I613">
        <is>
          <t xml:space="preserve">&lt;none&gt;</t>
        </is>
      </c>
      <c t="inlineStr" r="L613">
        <is>
          <t xml:space="preserve">-----</t>
        </is>
      </c>
    </row>
    <row r="614">
      <c t="str" r="A614" s="4">
        <f>HYPERLINK("https://linkbusiness.com/businesses-for-sale/LA3950/Asset-Sale%2c-Popular-Franchise-Sandwich-Business-For-Sale-in-San-Diego-Metropolitan-Area!","LA3950")</f>
      </c>
      <c t="inlineStr" r="B614">
        <is>
          <t xml:space="preserve">Asset Sale, Popular Franchise Sandwich Business For Sale in San Diego Metropolitan Area!</t>
        </is>
      </c>
      <c r="C614" s="63">
        <v>40000</v>
      </c>
      <c r="D614" s="63">
        <v>2015200</v>
      </c>
      <c t="inlineStr" r="E614">
        <is>
          <t xml:space="preserve">San Diego County</t>
        </is>
      </c>
      <c r="F614" s="65">
        <v>0</v>
      </c>
      <c r="G614" s="65">
        <v>0</v>
      </c>
      <c t="inlineStr" r="H614">
        <is>
          <t xml:space="preserve">Restaurant</t>
        </is>
      </c>
      <c t="inlineStr" r="I614">
        <is>
          <t xml:space="preserve">&lt;none&gt;</t>
        </is>
      </c>
      <c t="inlineStr" r="L614">
        <is>
          <t xml:space="preserve">-----</t>
        </is>
      </c>
    </row>
    <row r="615">
      <c t="str" r="A615" s="4">
        <f>HYPERLINK("https://linkbusiness.com/businesses-for-sale/NYC00004/PROFITABLE-DRY-CLEANER-in-Brooklyn-NY","NYC00004")</f>
      </c>
      <c t="inlineStr" r="B615">
        <is>
          <t xml:space="preserve">PROFITABLE DRY CLEANER in Brooklyn NY</t>
        </is>
      </c>
      <c r="C615" s="63">
        <v>90000</v>
      </c>
      <c r="D615" s="63">
        <v>4534200</v>
      </c>
      <c t="inlineStr" r="E615">
        <is>
          <t xml:space="preserve">Brooklyn</t>
        </is>
      </c>
      <c r="F615" s="65">
        <v>0</v>
      </c>
      <c r="G615" s="63">
        <v>92652</v>
      </c>
      <c t="inlineStr" r="H615">
        <is>
          <t xml:space="preserve">Other Services (except public administration)</t>
        </is>
      </c>
      <c t="inlineStr" r="I615">
        <is>
          <t xml:space="preserve">Drycleaning and Laundry Services</t>
        </is>
      </c>
      <c t="inlineStr" r="J615">
        <is>
          <t xml:space="preserve">Kingsley Allison</t>
        </is>
      </c>
      <c t="inlineStr" r="L615">
        <is>
          <t xml:space="preserve">-----</t>
        </is>
      </c>
    </row>
    <row r="616">
      <c t="str" r="A616" s="4">
        <f>HYPERLINK("https://linkbusiness.com/businesses-for-sale/NYC00006/Highly-successful-Pizza-with-high-growth-potential","NYC00006")</f>
      </c>
      <c t="inlineStr" r="B616">
        <is>
          <t xml:space="preserve">Highly successful Pizza with high growth potential</t>
        </is>
      </c>
      <c r="C616" s="63">
        <v>130000</v>
      </c>
      <c r="D616" s="63">
        <v>6549400</v>
      </c>
      <c t="inlineStr" r="E616">
        <is>
          <t xml:space="preserve">Westchester County</t>
        </is>
      </c>
      <c r="F616" s="65">
        <v>0</v>
      </c>
      <c r="G616" s="63">
        <v>100000</v>
      </c>
      <c t="inlineStr" r="H616">
        <is>
          <t xml:space="preserve">Restaurant</t>
        </is>
      </c>
      <c t="inlineStr" r="I616">
        <is>
          <t xml:space="preserve">Food Services and Drinking Places</t>
        </is>
      </c>
      <c t="inlineStr" r="J616">
        <is>
          <t xml:space="preserve">Kingsley Allison</t>
        </is>
      </c>
      <c t="inlineStr" r="L616">
        <is>
          <t xml:space="preserve">-----</t>
        </is>
      </c>
    </row>
    <row r="617">
      <c t="str" r="A617" s="4">
        <f>HYPERLINK("https://linkbusiness.com/businesses-for-sale/NYC00007/Profitable-Salon%2c-Beauty-Supply%2c-Hair%2c-%26-Much-More","NYC00007")</f>
      </c>
      <c t="inlineStr" r="B617">
        <is>
          <t xml:space="preserve">Profitable Salon, Beauty Supply, Hair, &amp; Much More.</t>
        </is>
      </c>
      <c r="C617" s="63">
        <v>200000</v>
      </c>
      <c r="D617" s="63">
        <v>10076000</v>
      </c>
      <c t="inlineStr" r="E617">
        <is>
          <t xml:space="preserve">Brooklyn</t>
        </is>
      </c>
      <c r="F617" s="65">
        <v>0</v>
      </c>
      <c r="G617" s="63">
        <v>64896</v>
      </c>
      <c t="inlineStr" r="H617">
        <is>
          <t xml:space="preserve">Retail Trade</t>
        </is>
      </c>
      <c t="inlineStr" r="I617">
        <is>
          <t xml:space="preserve">Health and Personal Care Stores</t>
        </is>
      </c>
      <c t="inlineStr" r="J617">
        <is>
          <t xml:space="preserve">Kingsley Allison</t>
        </is>
      </c>
      <c t="inlineStr" r="L617">
        <is>
          <t xml:space="preserve">-----</t>
        </is>
      </c>
    </row>
    <row r="618">
      <c t="str" r="A618" s="4">
        <f>HYPERLINK("https://linkbusiness.com/businesses-for-sale/NYC00009/Est-growing-%26-profitable-Restaurant-equipment-Restoration-and-sale-business","NYC00009")</f>
      </c>
      <c t="inlineStr" r="B618">
        <is>
          <t xml:space="preserve">Est. growing &amp; profitable Restaurant equipment Restoration and sale business</t>
        </is>
      </c>
      <c r="C618" s="63">
        <v>10000000</v>
      </c>
      <c r="D618" s="63">
        <v>503800000</v>
      </c>
      <c t="inlineStr" r="E618">
        <is>
          <t xml:space="preserve">Bergen</t>
        </is>
      </c>
      <c r="F618" s="65">
        <v>0</v>
      </c>
      <c r="G618" s="63">
        <v>500000</v>
      </c>
      <c t="inlineStr" r="H618">
        <is>
          <t xml:space="preserve">Wholesale Trade</t>
        </is>
      </c>
      <c t="inlineStr" r="I618">
        <is>
          <t xml:space="preserve">Merchant Wholesalers, Nondurable Goods</t>
        </is>
      </c>
      <c t="inlineStr" r="J618">
        <is>
          <t xml:space="preserve">Kingsley Allison</t>
        </is>
      </c>
      <c t="inlineStr" r="L618">
        <is>
          <t xml:space="preserve">Inventory $1,000,000</t>
        </is>
      </c>
    </row>
    <row r="619">
      <c t="str" r="A619" s="4">
        <f>HYPERLINK("https://linkbusiness.com/businesses-for-sale/NYC00010/Home-based-specialty-food-Distributor","NYC00010")</f>
      </c>
      <c t="inlineStr" r="B619">
        <is>
          <t xml:space="preserve">Home based specialty food Distributor</t>
        </is>
      </c>
      <c r="C619" s="65">
        <v>0</v>
      </c>
      <c r="D619" s="65">
        <v>0</v>
      </c>
      <c t="inlineStr" r="E619">
        <is>
          <t xml:space="preserve">Putnam County</t>
        </is>
      </c>
      <c r="F619" s="65">
        <v>0</v>
      </c>
      <c r="G619" s="65">
        <v>0</v>
      </c>
      <c t="inlineStr" r="H619">
        <is>
          <t xml:space="preserve">Wholesale Trade</t>
        </is>
      </c>
      <c t="inlineStr" r="I619">
        <is>
          <t xml:space="preserve">Merchant Wholesalers, Durable Goods</t>
        </is>
      </c>
      <c t="inlineStr" r="J619">
        <is>
          <t xml:space="preserve">Kingsley Allison</t>
        </is>
      </c>
      <c t="inlineStr" r="L619">
        <is>
          <t xml:space="preserve">Refer to Broker</t>
        </is>
      </c>
    </row>
    <row r="620">
      <c t="str" r="A620" s="4">
        <f>HYPERLINK("https://linkbusiness.com/businesses-for-sale/NYC00016/Highly-successful-%26-growing-Landscaping-and-Maintenance-business","NYC00016")</f>
      </c>
      <c t="inlineStr" r="B620">
        <is>
          <t xml:space="preserve">Highly successful &amp; growing Landscaping and Maintenance business</t>
        </is>
      </c>
      <c r="C620" s="65">
        <v>0</v>
      </c>
      <c r="D620" s="65">
        <v>0</v>
      </c>
      <c t="inlineStr" r="E620">
        <is>
          <t xml:space="preserve">Westchester County</t>
        </is>
      </c>
      <c r="F620" s="65">
        <v>0</v>
      </c>
      <c r="G620" s="65">
        <v>0</v>
      </c>
      <c t="inlineStr" r="H620">
        <is>
          <t xml:space="preserve">Other Services (except public administration)</t>
        </is>
      </c>
      <c t="inlineStr" r="I620">
        <is>
          <t xml:space="preserve">Repair and Maintenance</t>
        </is>
      </c>
      <c t="inlineStr" r="J620">
        <is>
          <t xml:space="preserve">Kingsley Allison</t>
        </is>
      </c>
      <c t="inlineStr" r="L620">
        <is>
          <t xml:space="preserve">Refer to Broker</t>
        </is>
      </c>
    </row>
    <row r="621">
      <c t="str" r="A621" s="4">
        <f>HYPERLINK("https://linkbusiness.com/businesses-for-sale/NYC00018/Highly-successful-Laundromat-in--Yonkers","NYC00018")</f>
      </c>
      <c t="inlineStr" r="B621">
        <is>
          <t xml:space="preserve">Highly successful Laundromat in  Yonkers</t>
        </is>
      </c>
      <c r="C621" s="63">
        <v>399000</v>
      </c>
      <c r="D621" s="63">
        <v>20101620</v>
      </c>
      <c t="inlineStr" r="E621">
        <is>
          <t xml:space="preserve">Westchester County</t>
        </is>
      </c>
      <c r="F621" s="65">
        <v>0</v>
      </c>
      <c r="G621" s="63">
        <v>100000</v>
      </c>
      <c t="inlineStr" r="H621">
        <is>
          <t xml:space="preserve">Other Services (except public administration)</t>
        </is>
      </c>
      <c t="inlineStr" r="I621">
        <is>
          <t xml:space="preserve">Drycleaning and Laundry Services</t>
        </is>
      </c>
      <c t="inlineStr" r="J621">
        <is>
          <t xml:space="preserve">Kingsley Allison</t>
        </is>
      </c>
      <c t="inlineStr" r="L621">
        <is>
          <t xml:space="preserve">-----</t>
        </is>
      </c>
    </row>
    <row r="622">
      <c t="str" r="A622" s="4">
        <f>HYPERLINK("https://linkbusiness.com/businesses-for-sale/NYC00020/Profitable-Laundromat-Business-In-Bronx-For-Sale","NYC00020")</f>
      </c>
      <c t="inlineStr" r="B622">
        <is>
          <t xml:space="preserve">Profitable Laundromat Business In Bronx For Sale</t>
        </is>
      </c>
      <c r="C622" s="63">
        <v>100000</v>
      </c>
      <c r="D622" s="63">
        <v>5038000</v>
      </c>
      <c t="inlineStr" r="E622">
        <is>
          <t xml:space="preserve">New York</t>
        </is>
      </c>
      <c r="F622" s="65">
        <v>0</v>
      </c>
      <c r="G622" s="65">
        <v>0</v>
      </c>
      <c t="inlineStr" r="H622">
        <is>
          <t xml:space="preserve">Other Services (except public administration)</t>
        </is>
      </c>
      <c t="inlineStr" r="I622">
        <is>
          <t xml:space="preserve">Drycleaning and Laundry Services</t>
        </is>
      </c>
      <c t="inlineStr" r="J622">
        <is>
          <t xml:space="preserve">Kingsley Allison</t>
        </is>
      </c>
      <c t="inlineStr" r="L622">
        <is>
          <t xml:space="preserve">-----</t>
        </is>
      </c>
    </row>
    <row r="623">
      <c t="str" r="A623" s="4">
        <f>HYPERLINK("https://linkbusiness.com/businesses-for-sale/NYC00022/No-Franchise-Fee-Independent-mail-and-shipping-store-In-Orange-County-For-Sale","NYC00022")</f>
      </c>
      <c t="inlineStr" r="B623">
        <is>
          <t xml:space="preserve">No Franchise Fee. Independent mail and shipping store In Orange County For Sale</t>
        </is>
      </c>
      <c r="C623" s="63">
        <v>55000</v>
      </c>
      <c r="D623" s="63">
        <v>2770900</v>
      </c>
      <c t="inlineStr" r="E623">
        <is>
          <t xml:space="preserve">Orange County</t>
        </is>
      </c>
      <c r="F623" s="65">
        <v>0</v>
      </c>
      <c r="G623" s="65">
        <v>0</v>
      </c>
      <c t="inlineStr" r="H623">
        <is>
          <t xml:space="preserve">Retail Trade</t>
        </is>
      </c>
      <c t="inlineStr" r="I623">
        <is>
          <t xml:space="preserve">Miscellaneous Store Retailers</t>
        </is>
      </c>
      <c t="inlineStr" r="J623">
        <is>
          <t xml:space="preserve">Kingsley Allison</t>
        </is>
      </c>
      <c t="inlineStr" r="L623">
        <is>
          <t xml:space="preserve">-----</t>
        </is>
      </c>
    </row>
    <row r="624">
      <c t="str" r="A624" s="4">
        <f>HYPERLINK("https://linkbusiness.com/businesses-for-sale/NYC00024/Completely-Updated-Motel-in-Orange-county%2c-NY-for-sale-including-property","NYC00024")</f>
      </c>
      <c t="inlineStr" r="B624">
        <is>
          <t xml:space="preserve">Completely Updated Motel in Orange county, NY for sale including property</t>
        </is>
      </c>
      <c r="C624" s="63">
        <v>2000000</v>
      </c>
      <c r="D624" s="63">
        <v>100760000</v>
      </c>
      <c t="inlineStr" r="E624">
        <is>
          <t xml:space="preserve">Orange County</t>
        </is>
      </c>
      <c r="F624" s="65">
        <v>0</v>
      </c>
      <c r="G624" s="65">
        <v>0</v>
      </c>
      <c t="inlineStr" r="H624">
        <is>
          <t xml:space="preserve">Real Estate and Rental &amp; Leasing</t>
        </is>
      </c>
      <c t="inlineStr" r="I624">
        <is>
          <t xml:space="preserve">Real Estate</t>
        </is>
      </c>
      <c t="inlineStr" r="J624">
        <is>
          <t xml:space="preserve">Kingsley Allison</t>
        </is>
      </c>
      <c t="inlineStr" r="L624">
        <is>
          <t xml:space="preserve">Real estate included</t>
        </is>
      </c>
    </row>
    <row r="625">
      <c t="str" r="A625" s="4">
        <f>HYPERLINK("https://linkbusiness.com/businesses-for-sale/NYC00026/Highly-successful-Limousine-business","NYC00026")</f>
      </c>
      <c t="inlineStr" r="B625">
        <is>
          <t xml:space="preserve">Highly successful Limousine business</t>
        </is>
      </c>
      <c r="C625" s="63">
        <v>150000</v>
      </c>
      <c r="D625" s="63">
        <v>7557000</v>
      </c>
      <c t="inlineStr" r="E625">
        <is>
          <t xml:space="preserve">Brooklyn</t>
        </is>
      </c>
      <c r="F625" s="65">
        <v>0</v>
      </c>
      <c r="G625" s="63">
        <v>90000</v>
      </c>
      <c t="inlineStr" r="H625">
        <is>
          <t xml:space="preserve">Transportation &amp; Warehousing</t>
        </is>
      </c>
      <c t="inlineStr" r="I625">
        <is>
          <t xml:space="preserve">&lt;none&gt;</t>
        </is>
      </c>
      <c t="inlineStr" r="J625">
        <is>
          <t xml:space="preserve">Kingsley Allison</t>
        </is>
      </c>
      <c t="inlineStr" r="L625">
        <is>
          <t xml:space="preserve">-----</t>
        </is>
      </c>
    </row>
    <row r="626">
      <c t="str" r="A626" s="4">
        <f>HYPERLINK("https://linkbusiness.com/businesses-for-sale/NYC00027/Managed-IT-Voice-Over-IP-Phone-(VoIP)-Off-Site-Backup-and-Remote-Access","NYC00027")</f>
      </c>
      <c t="inlineStr" r="B626">
        <is>
          <t xml:space="preserve">Managed IT Voice Over IP Phone (VoIP) Off Site Backup and Remote Access</t>
        </is>
      </c>
      <c r="C626" s="65">
        <v>0</v>
      </c>
      <c r="D626" s="65">
        <v>0</v>
      </c>
      <c t="inlineStr" r="E626">
        <is>
          <t xml:space="preserve">Westchester County</t>
        </is>
      </c>
      <c r="F626" s="65">
        <v>0</v>
      </c>
      <c r="G626" s="63">
        <v>125000</v>
      </c>
      <c t="inlineStr" r="H626">
        <is>
          <t xml:space="preserve">Information</t>
        </is>
      </c>
      <c t="inlineStr" r="I626">
        <is>
          <t xml:space="preserve">Data Processing, Hosting, and Related Services</t>
        </is>
      </c>
      <c t="inlineStr" r="J626">
        <is>
          <t xml:space="preserve">Kingsley Allison</t>
        </is>
      </c>
      <c t="inlineStr" r="L626">
        <is>
          <t xml:space="preserve">Refer to Broker</t>
        </is>
      </c>
    </row>
    <row r="627">
      <c t="str" r="A627" s="4">
        <f>HYPERLINK("https://linkbusiness.com/businesses-for-sale/NYC00028/Five-Star-Beautiful-And-Well-Equipped-Laundromat-For-Sale","NYC00028")</f>
      </c>
      <c t="inlineStr" r="B627">
        <is>
          <t xml:space="preserve">Five Star Beautiful And Well Equipped Laundromat For Sale</t>
        </is>
      </c>
      <c r="C627" s="63">
        <v>1810000</v>
      </c>
      <c r="D627" s="63">
        <v>91187800</v>
      </c>
      <c t="inlineStr" r="E627">
        <is>
          <t xml:space="preserve">Brooklyn</t>
        </is>
      </c>
      <c r="F627" s="65">
        <v>0</v>
      </c>
      <c r="G627" s="63">
        <v>361094</v>
      </c>
      <c t="inlineStr" r="H627">
        <is>
          <t xml:space="preserve">Other Services (except public administration)</t>
        </is>
      </c>
      <c t="inlineStr" r="I627">
        <is>
          <t xml:space="preserve">Drycleaning and Laundry Services</t>
        </is>
      </c>
      <c t="inlineStr" r="J627">
        <is>
          <t xml:space="preserve">Kingsley Allison</t>
        </is>
      </c>
      <c t="inlineStr" r="L627">
        <is>
          <t xml:space="preserve">-----</t>
        </is>
      </c>
    </row>
    <row r="628">
      <c t="str" r="A628" s="4">
        <f>HYPERLINK("https://linkbusiness.com/businesses-for-sale/NYC00029/Ice-Cream-%26-Frozen-Yogurt%2c-Creperies-and-more","NYC00029")</f>
      </c>
      <c t="inlineStr" r="B628">
        <is>
          <t xml:space="preserve">Ice Cream &amp; Frozen Yogurt, Creperies and more</t>
        </is>
      </c>
      <c r="C628" s="63">
        <v>119999</v>
      </c>
      <c r="D628" s="63">
        <v>6045549</v>
      </c>
      <c t="inlineStr" r="E628">
        <is>
          <t xml:space="preserve">Westchester County</t>
        </is>
      </c>
      <c r="F628" s="65">
        <v>0</v>
      </c>
      <c r="G628" s="63">
        <v>75000</v>
      </c>
      <c t="inlineStr" r="H628">
        <is>
          <t xml:space="preserve">Retail Trade</t>
        </is>
      </c>
      <c t="inlineStr" r="I628">
        <is>
          <t xml:space="preserve">Food and Beverage Stores</t>
        </is>
      </c>
      <c t="inlineStr" r="L628">
        <is>
          <t xml:space="preserve">-----</t>
        </is>
      </c>
    </row>
    <row r="629">
      <c t="str" r="A629" s="4">
        <f>HYPERLINK("https://linkbusiness.com/businesses-for-sale/NYC00033/Established-and-Profitable-wine-and-liquor-store","NYC00033")</f>
      </c>
      <c t="inlineStr" r="B629">
        <is>
          <t xml:space="preserve">Established and Profitable wine and liquor store</t>
        </is>
      </c>
      <c r="C629" s="63">
        <v>550000</v>
      </c>
      <c r="D629" s="63">
        <v>27709000</v>
      </c>
      <c t="inlineStr" r="E629">
        <is>
          <t xml:space="preserve">Westchester County</t>
        </is>
      </c>
      <c r="F629" s="65">
        <v>0</v>
      </c>
      <c r="G629" s="63">
        <v>170000</v>
      </c>
      <c t="inlineStr" r="H629">
        <is>
          <t xml:space="preserve">Retail Trade</t>
        </is>
      </c>
      <c t="inlineStr" r="I629">
        <is>
          <t xml:space="preserve">&lt;none&gt;</t>
        </is>
      </c>
      <c t="inlineStr" r="J629">
        <is>
          <t xml:space="preserve">Kingsley Allison</t>
        </is>
      </c>
      <c t="inlineStr" r="L629">
        <is>
          <t xml:space="preserve">Sales price $550,000 Inventory  $100,000</t>
        </is>
      </c>
    </row>
    <row r="630">
      <c t="str" r="A630" s="4">
        <f>HYPERLINK("https://linkbusiness.com/businesses-for-sale/NYC00037/Gas-station%252fConvenience-Store-Brunswick%2c-NY","NYC00037")</f>
      </c>
      <c t="inlineStr" r="B630">
        <is>
          <t xml:space="preserve">Gas station/Convenience Store Brunswick, NY</t>
        </is>
      </c>
      <c r="C630" s="63">
        <v>159000</v>
      </c>
      <c r="D630" s="63">
        <v>8010420</v>
      </c>
      <c t="inlineStr" r="E630">
        <is>
          <t xml:space="preserve">Albany</t>
        </is>
      </c>
      <c r="F630" s="65">
        <v>0</v>
      </c>
      <c r="G630" s="63">
        <v>85000</v>
      </c>
      <c t="inlineStr" r="H630">
        <is>
          <t xml:space="preserve">Retail Trade</t>
        </is>
      </c>
      <c t="inlineStr" r="I630">
        <is>
          <t xml:space="preserve">Gasoline Stations</t>
        </is>
      </c>
      <c t="inlineStr" r="J630">
        <is>
          <t xml:space="preserve">Kingsley Allison</t>
        </is>
      </c>
      <c t="inlineStr" r="L630">
        <is>
          <t xml:space="preserve">-----</t>
        </is>
      </c>
    </row>
    <row r="631">
      <c t="str" r="A631" s="4">
        <f>HYPERLINK("https://linkbusiness.com/businesses-for-sale/NYC00038/Need-to-sell-immediate-Highly-successful-Pizza-franchise","NYC00038")</f>
      </c>
      <c t="inlineStr" r="B631">
        <is>
          <t xml:space="preserve">Need to sell immediate Highly successful Pizza franchise</t>
        </is>
      </c>
      <c r="C631" s="63">
        <v>249000</v>
      </c>
      <c r="D631" s="63">
        <v>12544620</v>
      </c>
      <c t="inlineStr" r="E631">
        <is>
          <t xml:space="preserve">Long Island</t>
        </is>
      </c>
      <c r="F631" s="65">
        <v>0</v>
      </c>
      <c r="G631" s="63">
        <v>75000</v>
      </c>
      <c t="inlineStr" r="H631">
        <is>
          <t xml:space="preserve">Restaurant</t>
        </is>
      </c>
      <c t="inlineStr" r="I631">
        <is>
          <t xml:space="preserve">Food Services and Drinking Places</t>
        </is>
      </c>
      <c t="inlineStr" r="J631">
        <is>
          <t xml:space="preserve">Kingsley Allison</t>
        </is>
      </c>
      <c t="inlineStr" r="L631">
        <is>
          <t xml:space="preserve">-----</t>
        </is>
      </c>
    </row>
    <row r="632">
      <c t="str" r="A632" s="4">
        <f>HYPERLINK("https://linkbusiness.com/businesses-for-sale/NYC00039/Custom-Umbrella-Manufacturing","NYC00039")</f>
      </c>
      <c t="inlineStr" r="B632">
        <is>
          <t xml:space="preserve">Custom Umbrella Manufacturing</t>
        </is>
      </c>
      <c r="C632" s="63">
        <v>240000</v>
      </c>
      <c r="D632" s="63">
        <v>12091200</v>
      </c>
      <c t="inlineStr" r="E632">
        <is>
          <t xml:space="preserve">Westchester County</t>
        </is>
      </c>
      <c r="F632" s="65">
        <v>0</v>
      </c>
      <c r="G632" s="65">
        <v>0</v>
      </c>
      <c t="inlineStr" r="H632">
        <is>
          <t xml:space="preserve">Manufacturing</t>
        </is>
      </c>
      <c t="inlineStr" r="I632">
        <is>
          <t xml:space="preserve">Furniture and Related Product Manufacturing</t>
        </is>
      </c>
      <c t="inlineStr" r="L632">
        <is>
          <t xml:space="preserve">-----</t>
        </is>
      </c>
    </row>
    <row r="633">
      <c t="str" r="A633" s="4">
        <f>HYPERLINK("https://linkbusiness.com/businesses-for-sale/NYC00040/Profitable-and-successful-seafood-restaurant-in-Brooklyn%2c-NY","NYC00040")</f>
      </c>
      <c t="inlineStr" r="B633">
        <is>
          <t xml:space="preserve">Profitable and successful seafood restaurant in Brooklyn, NY</t>
        </is>
      </c>
      <c r="C633" s="63">
        <v>600000</v>
      </c>
      <c r="D633" s="63">
        <v>30228000</v>
      </c>
      <c t="inlineStr" r="E633">
        <is>
          <t xml:space="preserve">Brooklyn</t>
        </is>
      </c>
      <c r="F633" s="65">
        <v>0</v>
      </c>
      <c r="G633" s="63">
        <v>150000</v>
      </c>
      <c t="inlineStr" r="H633">
        <is>
          <t xml:space="preserve">Restaurant</t>
        </is>
      </c>
      <c t="inlineStr" r="I633">
        <is>
          <t xml:space="preserve">Food Services and Drinking Places</t>
        </is>
      </c>
      <c t="inlineStr" r="L633">
        <is>
          <t xml:space="preserve">-----</t>
        </is>
      </c>
    </row>
    <row r="634">
      <c t="str" r="A634" s="4">
        <f>HYPERLINK("https://linkbusiness.com/businesses-for-sale/NYC00042/mosquito%2c-Flee-%26-tick-control-Business-for-sale-in-Nassau%2c-County","NYC00042")</f>
      </c>
      <c t="inlineStr" r="B634">
        <is>
          <t xml:space="preserve">mosquito, Flee &amp; tick control Business for sale in Nassau, County</t>
        </is>
      </c>
      <c r="C634" s="63">
        <v>60000</v>
      </c>
      <c r="D634" s="63">
        <v>3022800</v>
      </c>
      <c t="inlineStr" r="E634">
        <is>
          <t xml:space="preserve">Long Island</t>
        </is>
      </c>
      <c r="F634" s="65">
        <v>0</v>
      </c>
      <c r="G634" s="63">
        <v>60000</v>
      </c>
      <c t="inlineStr" r="H634">
        <is>
          <t xml:space="preserve">Professional, Scientific and Technical Services</t>
        </is>
      </c>
      <c t="inlineStr" r="I634">
        <is>
          <t xml:space="preserve">&lt;none&gt;</t>
        </is>
      </c>
      <c t="inlineStr" r="J634">
        <is>
          <t xml:space="preserve">Kingsley Allison</t>
        </is>
      </c>
      <c t="inlineStr" r="L634">
        <is>
          <t xml:space="preserve">-----</t>
        </is>
      </c>
    </row>
    <row r="635">
      <c t="str" r="A635" s="4">
        <f>HYPERLINK("https://linkbusiness.com/businesses-for-sale/NYC00043/Gas-Station-Excellent-Highly-Visible-Location-on-Busy-Main-Road","NYC00043")</f>
      </c>
      <c t="inlineStr" r="B635">
        <is>
          <t xml:space="preserve">Gas Station Excellent Highly Visible Location on Busy Main Road</t>
        </is>
      </c>
      <c r="C635" s="63">
        <v>390000</v>
      </c>
      <c r="D635" s="63">
        <v>19648200</v>
      </c>
      <c t="inlineStr" r="E635">
        <is>
          <t xml:space="preserve">Westchester County</t>
        </is>
      </c>
      <c r="F635" s="65">
        <v>0</v>
      </c>
      <c r="G635" s="63">
        <v>100000</v>
      </c>
      <c t="inlineStr" r="H635">
        <is>
          <t xml:space="preserve">Retail Trade</t>
        </is>
      </c>
      <c t="inlineStr" r="I635">
        <is>
          <t xml:space="preserve">Gasoline Stations</t>
        </is>
      </c>
      <c t="inlineStr" r="J635">
        <is>
          <t xml:space="preserve">Kingsley Allison</t>
        </is>
      </c>
      <c t="inlineStr" r="L635">
        <is>
          <t xml:space="preserve">-----</t>
        </is>
      </c>
    </row>
    <row r="636">
      <c t="str" r="A636" s="4">
        <f>HYPERLINK("https://linkbusiness.com/businesses-for-sale/NYC00046/28-year-old-New-York-City-Custom-Signs-manufacturer","NYC00046")</f>
      </c>
      <c t="inlineStr" r="B636">
        <is>
          <t xml:space="preserve">28 year old New York City Custom Signs manufacturer</t>
        </is>
      </c>
      <c r="C636" s="63">
        <v>400000</v>
      </c>
      <c r="D636" s="63">
        <v>20152000</v>
      </c>
      <c t="inlineStr" r="E636">
        <is>
          <t xml:space="preserve">New York</t>
        </is>
      </c>
      <c r="F636" s="65">
        <v>0</v>
      </c>
      <c r="G636" s="63">
        <v>100000</v>
      </c>
      <c t="inlineStr" r="H636">
        <is>
          <t xml:space="preserve">Manufacturing</t>
        </is>
      </c>
      <c t="inlineStr" r="I636">
        <is>
          <t xml:space="preserve">Printing and Related Support Activities</t>
        </is>
      </c>
      <c t="inlineStr" r="J636">
        <is>
          <t xml:space="preserve">Kingsley Allison</t>
        </is>
      </c>
      <c t="inlineStr" r="L636">
        <is>
          <t xml:space="preserve">-----</t>
        </is>
      </c>
    </row>
    <row r="637">
      <c t="str" r="A637" s="4">
        <f>HYPERLINK("https://linkbusiness.com/businesses-for-sale/NYC00048/PURCHASE-THIS-BAKERY-FOR-ONLY-%2455%2c000-Has-Great-Reputation","NYC00048")</f>
      </c>
      <c t="inlineStr" r="B637">
        <is>
          <t xml:space="preserve">PURCHASE THIS BAKERY FOR ONLY $55,000. Has Great Reputation</t>
        </is>
      </c>
      <c r="C637" s="63">
        <v>55000</v>
      </c>
      <c r="D637" s="63">
        <v>2770900</v>
      </c>
      <c t="inlineStr" r="E637">
        <is>
          <t xml:space="preserve">Rockland County</t>
        </is>
      </c>
      <c r="F637" s="65">
        <v>0</v>
      </c>
      <c r="G637" s="65">
        <v>0</v>
      </c>
      <c t="inlineStr" r="H637">
        <is>
          <t xml:space="preserve">Retail Trade</t>
        </is>
      </c>
      <c t="inlineStr" r="I637">
        <is>
          <t xml:space="preserve">Food and Beverage Stores</t>
        </is>
      </c>
      <c t="inlineStr" r="L637">
        <is>
          <t xml:space="preserve">-----</t>
        </is>
      </c>
    </row>
    <row r="638">
      <c t="str" r="A638" s="4">
        <f>HYPERLINK("https://linkbusiness.com/businesses-for-sale/NYC00049/Established-25-yrs-old-Residential-Cleaning-Service","NYC00049")</f>
      </c>
      <c t="inlineStr" r="B638">
        <is>
          <t xml:space="preserve">Established 25 yrs old Residential Cleaning Service</t>
        </is>
      </c>
      <c r="C638" s="63">
        <v>850000</v>
      </c>
      <c r="D638" s="63">
        <v>42823000</v>
      </c>
      <c t="inlineStr" r="E638">
        <is>
          <t xml:space="preserve">Fairfield</t>
        </is>
      </c>
      <c r="F638" s="65">
        <v>0</v>
      </c>
      <c r="G638" s="63">
        <v>175000</v>
      </c>
      <c t="inlineStr" r="H638">
        <is>
          <t xml:space="preserve">Professional, Scientific and Technical Services</t>
        </is>
      </c>
      <c t="inlineStr" r="I638">
        <is>
          <t xml:space="preserve">&lt;none&gt;</t>
        </is>
      </c>
      <c t="inlineStr" r="J638">
        <is>
          <t xml:space="preserve">Kingsley Allison</t>
        </is>
      </c>
      <c t="inlineStr" r="L638">
        <is>
          <t xml:space="preserve">-----</t>
        </is>
      </c>
    </row>
    <row r="639">
      <c t="str" r="A639" s="4">
        <f>HYPERLINK("https://linkbusiness.com/businesses-for-sale/NYC00050/Franchise-resale-The-Best-Gourmet-Italian-Ices-%26-Ice-Cream","NYC00050")</f>
      </c>
      <c t="inlineStr" r="B639">
        <is>
          <t xml:space="preserve">Franchise resale. The Best Gourmet Italian Ices &amp; Ice Cream</t>
        </is>
      </c>
      <c r="C639" s="63">
        <v>60000</v>
      </c>
      <c r="D639" s="63">
        <v>3022800</v>
      </c>
      <c t="inlineStr" r="E639">
        <is>
          <t xml:space="preserve">New York</t>
        </is>
      </c>
      <c r="F639" s="65">
        <v>0</v>
      </c>
      <c r="G639" s="65">
        <v>0</v>
      </c>
      <c t="inlineStr" r="H639">
        <is>
          <t xml:space="preserve">Franchises</t>
        </is>
      </c>
      <c t="inlineStr" r="I639">
        <is>
          <t xml:space="preserve">&lt;none&gt;</t>
        </is>
      </c>
      <c t="inlineStr" r="L639">
        <is>
          <t xml:space="preserve">-----</t>
        </is>
      </c>
    </row>
    <row r="640">
      <c t="str" r="A640" s="4">
        <f>HYPERLINK("https://linkbusiness.com/businesses-for-sale/NYC00051/Profitable-Growing-laundromat-with-60W%252f60-D-in-Busy-Main-St","NYC00051")</f>
      </c>
      <c t="inlineStr" r="B640">
        <is>
          <t xml:space="preserve">Profitable Growing laundromat with 60W/60 D in Busy Main St</t>
        </is>
      </c>
      <c r="C640" s="63">
        <v>895000</v>
      </c>
      <c r="D640" s="63">
        <v>45090100</v>
      </c>
      <c t="inlineStr" r="E640">
        <is>
          <t xml:space="preserve">New York</t>
        </is>
      </c>
      <c r="F640" s="65">
        <v>0</v>
      </c>
      <c r="G640" s="65">
        <v>0</v>
      </c>
      <c t="inlineStr" r="H640">
        <is>
          <t xml:space="preserve">Professional, Scientific and Technical Services</t>
        </is>
      </c>
      <c t="inlineStr" r="I640">
        <is>
          <t xml:space="preserve">&lt;none&gt;</t>
        </is>
      </c>
      <c t="inlineStr" r="J640">
        <is>
          <t xml:space="preserve">Kingsley Allison</t>
        </is>
      </c>
      <c t="inlineStr" r="L640">
        <is>
          <t xml:space="preserve">-----</t>
        </is>
      </c>
    </row>
    <row r="641">
      <c t="str" r="A641" s="4">
        <f>HYPERLINK("https://linkbusiness.com/businesses-for-sale/NYC00053/Full-service-Hand-car-wash","NYC00053")</f>
      </c>
      <c t="inlineStr" r="B641">
        <is>
          <t xml:space="preserve">Full service Hand car wash</t>
        </is>
      </c>
      <c r="C641" s="63">
        <v>175000</v>
      </c>
      <c r="D641" s="63">
        <v>8816500</v>
      </c>
      <c t="inlineStr" r="E641">
        <is>
          <t xml:space="preserve">New York</t>
        </is>
      </c>
      <c r="F641" s="65">
        <v>0</v>
      </c>
      <c r="G641" s="63">
        <v>175000</v>
      </c>
      <c t="inlineStr" r="H641">
        <is>
          <t xml:space="preserve">Management of Companies &amp; Enterprises</t>
        </is>
      </c>
      <c t="inlineStr" r="I641">
        <is>
          <t xml:space="preserve">&lt;none&gt;</t>
        </is>
      </c>
      <c t="inlineStr" r="J641">
        <is>
          <t xml:space="preserve">Kingsley Allison</t>
        </is>
      </c>
      <c t="inlineStr" r="L641">
        <is>
          <t xml:space="preserve">-----</t>
        </is>
      </c>
    </row>
    <row r="642">
      <c t="str" r="A642" s="4">
        <f>HYPERLINK("https://linkbusiness.com/businesses-for-sale/NYC00054/Great-Value-for-the-money-Convenience-Store-%26-Deli-off-the-highway","NYC00054")</f>
      </c>
      <c t="inlineStr" r="B642">
        <is>
          <t xml:space="preserve">Great Value for the money Convenience Store &amp; Deli off the highway</t>
        </is>
      </c>
      <c r="C642" s="63">
        <v>95000</v>
      </c>
      <c r="D642" s="63">
        <v>4786100</v>
      </c>
      <c t="inlineStr" r="E642">
        <is>
          <t xml:space="preserve">New York</t>
        </is>
      </c>
      <c r="F642" s="65">
        <v>0</v>
      </c>
      <c r="G642" s="65">
        <v>0</v>
      </c>
      <c t="inlineStr" r="H642">
        <is>
          <t xml:space="preserve">Retail Trade</t>
        </is>
      </c>
      <c t="inlineStr" r="I642">
        <is>
          <t xml:space="preserve">Food and Beverage Stores</t>
        </is>
      </c>
      <c t="inlineStr" r="J642">
        <is>
          <t xml:space="preserve">Kingsley Allison</t>
        </is>
      </c>
      <c t="inlineStr" r="L642">
        <is>
          <t xml:space="preserve">-----</t>
        </is>
      </c>
    </row>
    <row r="643">
      <c t="str" r="A643" s="4">
        <f>HYPERLINK("https://linkbusiness.com/businesses-for-sale/NYC00061/Established-Latino-restaurant--Excellent-location","NYC00061")</f>
      </c>
      <c t="inlineStr" r="B643">
        <is>
          <t xml:space="preserve">Established Latino restaurant  Excellent location</t>
        </is>
      </c>
      <c r="C643" s="63">
        <v>100000</v>
      </c>
      <c r="D643" s="63">
        <v>5038000</v>
      </c>
      <c t="inlineStr" r="E643">
        <is>
          <t xml:space="preserve">New York</t>
        </is>
      </c>
      <c r="F643" s="65">
        <v>0</v>
      </c>
      <c r="G643" s="63">
        <v>50000</v>
      </c>
      <c t="inlineStr" r="H643">
        <is>
          <t xml:space="preserve">Restaurant</t>
        </is>
      </c>
      <c t="inlineStr" r="I643">
        <is>
          <t xml:space="preserve">&lt;none&gt;</t>
        </is>
      </c>
      <c t="inlineStr" r="J643">
        <is>
          <t xml:space="preserve">Kingsley Allison</t>
        </is>
      </c>
      <c t="inlineStr" r="L643">
        <is>
          <t xml:space="preserve">-----</t>
        </is>
      </c>
    </row>
    <row r="644">
      <c t="str" r="A644" s="4">
        <f>HYPERLINK("https://linkbusiness.com/businesses-for-sale/NYC00062/Brooklyn-Laundromat-Stable-business-with-great-profit","NYC00062")</f>
      </c>
      <c t="inlineStr" r="B644">
        <is>
          <t xml:space="preserve">Brooklyn Laundromat Stable business with great profit</t>
        </is>
      </c>
      <c r="C644" s="63">
        <v>105000</v>
      </c>
      <c r="D644" s="63">
        <v>5289900</v>
      </c>
      <c t="inlineStr" r="E644">
        <is>
          <t xml:space="preserve">Brooklyn</t>
        </is>
      </c>
      <c r="F644" s="65">
        <v>0</v>
      </c>
      <c r="G644" s="63">
        <v>50000</v>
      </c>
      <c t="inlineStr" r="H644">
        <is>
          <t xml:space="preserve">Administrative &amp; Support &amp; Waste Management &amp; Remediation Services</t>
        </is>
      </c>
      <c t="inlineStr" r="I644">
        <is>
          <t xml:space="preserve">Administrative and Support Services</t>
        </is>
      </c>
      <c t="inlineStr" r="J644">
        <is>
          <t xml:space="preserve">Kingsley Allison</t>
        </is>
      </c>
      <c t="inlineStr" r="L644">
        <is>
          <t xml:space="preserve">-----</t>
        </is>
      </c>
    </row>
    <row r="645">
      <c t="str" r="A645" s="4">
        <f>HYPERLINK("https://linkbusiness.com/businesses-for-sale/NYC00063/Premier-contractor-for-asphalt-sealcoating-%26-repair-services","NYC00063")</f>
      </c>
      <c t="inlineStr" r="B645">
        <is>
          <t xml:space="preserve">Premier contractor for asphalt sealcoating &amp; repair services</t>
        </is>
      </c>
      <c r="C645" s="63">
        <v>230000</v>
      </c>
      <c r="D645" s="63">
        <v>11587400</v>
      </c>
      <c t="inlineStr" r="E645">
        <is>
          <t xml:space="preserve">Connecticut</t>
        </is>
      </c>
      <c r="F645" s="65">
        <v>0</v>
      </c>
      <c r="G645" s="63">
        <v>50000</v>
      </c>
      <c t="inlineStr" r="H645">
        <is>
          <t xml:space="preserve">Administrative &amp; Support &amp; Waste Management &amp; Remediation Services</t>
        </is>
      </c>
      <c t="inlineStr" r="I645">
        <is>
          <t xml:space="preserve">Waste Management and Remediation Services</t>
        </is>
      </c>
      <c t="inlineStr" r="J645">
        <is>
          <t xml:space="preserve">Kingsley Allison</t>
        </is>
      </c>
      <c t="inlineStr" r="L645">
        <is>
          <t xml:space="preserve">-----</t>
        </is>
      </c>
    </row>
    <row r="646">
      <c t="str" r="A646" s="4">
        <f>HYPERLINK("https://linkbusiness.com/businesses-for-sale/NYC00064/Busy-Traffic-Profitable-simple-to-operate-Pizza-franchise-in-Queens-NY","NYC00064")</f>
      </c>
      <c t="inlineStr" r="B646">
        <is>
          <t xml:space="preserve">Busy Traffic Profitable simple to operate Pizza franchise in Queens NY</t>
        </is>
      </c>
      <c r="C646" s="63">
        <v>250000</v>
      </c>
      <c r="D646" s="63">
        <v>12595000</v>
      </c>
      <c t="inlineStr" r="E646">
        <is>
          <t xml:space="preserve">New York</t>
        </is>
      </c>
      <c r="F646" s="65">
        <v>0</v>
      </c>
      <c r="G646" s="63">
        <v>150000</v>
      </c>
      <c t="inlineStr" r="H646">
        <is>
          <t xml:space="preserve">Franchises</t>
        </is>
      </c>
      <c t="inlineStr" r="I646">
        <is>
          <t xml:space="preserve">&lt;none&gt;</t>
        </is>
      </c>
      <c t="inlineStr" r="J646">
        <is>
          <t xml:space="preserve">Kingsley Allison</t>
        </is>
      </c>
      <c t="inlineStr" r="L646">
        <is>
          <t xml:space="preserve">-----</t>
        </is>
      </c>
    </row>
    <row r="647">
      <c t="str" r="A647" s="4">
        <f>HYPERLINK("https://linkbusiness.com/businesses-for-sale/NYC00065/Stella-Doro%252f-hostess--Cookie-route","NYC00065")</f>
      </c>
      <c t="inlineStr" r="B647">
        <is>
          <t xml:space="preserve">Stella Doro/ hostess  Cookie route</t>
        </is>
      </c>
      <c r="C647" s="63">
        <v>125000</v>
      </c>
      <c r="D647" s="63">
        <v>6297500</v>
      </c>
      <c t="inlineStr" r="E647">
        <is>
          <t xml:space="preserve">New York</t>
        </is>
      </c>
      <c r="F647" s="65">
        <v>0</v>
      </c>
      <c r="G647" s="63">
        <v>80000</v>
      </c>
      <c t="inlineStr" r="H647">
        <is>
          <t xml:space="preserve">Franchises</t>
        </is>
      </c>
      <c t="inlineStr" r="I647">
        <is>
          <t xml:space="preserve">&lt;none&gt;</t>
        </is>
      </c>
      <c t="inlineStr" r="J647">
        <is>
          <t xml:space="preserve">Kingsley Allison</t>
        </is>
      </c>
      <c t="inlineStr" r="L647">
        <is>
          <t xml:space="preserve">-----</t>
        </is>
      </c>
    </row>
    <row r="648">
      <c t="str" r="A648" s="4">
        <f>HYPERLINK("https://linkbusiness.com/businesses-for-sale/NYC00066/ballroom%2c-Latin-%26-salsa-to-kids-%26-adults","NYC00066")</f>
      </c>
      <c t="inlineStr" r="B648">
        <is>
          <t xml:space="preserve">ballroom, Latin &amp; salsa to kids &amp; adults</t>
        </is>
      </c>
      <c r="C648" s="63">
        <v>75000</v>
      </c>
      <c r="D648" s="63">
        <v>3778500</v>
      </c>
      <c t="inlineStr" r="E648">
        <is>
          <t xml:space="preserve">New York</t>
        </is>
      </c>
      <c r="F648" s="65">
        <v>0</v>
      </c>
      <c r="G648" s="63">
        <v>50000</v>
      </c>
      <c t="inlineStr" r="H648">
        <is>
          <t xml:space="preserve">Educational Services</t>
        </is>
      </c>
      <c t="inlineStr" r="I648">
        <is>
          <t xml:space="preserve">Educational Services (Level 3)</t>
        </is>
      </c>
      <c t="inlineStr" r="J648">
        <is>
          <t xml:space="preserve">Kingsley Allison</t>
        </is>
      </c>
      <c t="inlineStr" r="L648">
        <is>
          <t xml:space="preserve">-----</t>
        </is>
      </c>
    </row>
    <row r="649">
      <c t="str" r="A649" s="4">
        <f>HYPERLINK("https://linkbusiness.com/businesses-for-sale/NYC00067/Established-Profitable-Limo-Company-for-Sale-in-New-York-City","NYC00067")</f>
      </c>
      <c t="inlineStr" r="B649">
        <is>
          <t xml:space="preserve">Established Profitable Limo Company for Sale in New York City</t>
        </is>
      </c>
      <c r="C649" s="63">
        <v>225000</v>
      </c>
      <c r="D649" s="63">
        <v>11335500</v>
      </c>
      <c t="inlineStr" r="E649">
        <is>
          <t xml:space="preserve">New York</t>
        </is>
      </c>
      <c r="F649" s="65">
        <v>0</v>
      </c>
      <c r="G649" s="63">
        <v>216000</v>
      </c>
      <c t="inlineStr" r="H649">
        <is>
          <t xml:space="preserve">Transportation &amp; Warehousing</t>
        </is>
      </c>
      <c t="inlineStr" r="I649">
        <is>
          <t xml:space="preserve">&lt;none&gt;</t>
        </is>
      </c>
      <c t="inlineStr" r="J649">
        <is>
          <t xml:space="preserve">Kingsley Allison</t>
        </is>
      </c>
      <c t="inlineStr" r="L649">
        <is>
          <t xml:space="preserve">-----</t>
        </is>
      </c>
    </row>
    <row r="650">
      <c t="str" r="A650" s="4">
        <f>HYPERLINK("https://linkbusiness.com/businesses-for-sale/NYC00068/Established-Commercial-cleaning-Businessfor-sale--great-for-expansion","NYC00068")</f>
      </c>
      <c t="inlineStr" r="B650">
        <is>
          <t xml:space="preserve">Established Commercial cleaning Businessfor sale.  great for expansion</t>
        </is>
      </c>
      <c r="C650" s="63">
        <v>599000</v>
      </c>
      <c r="D650" s="63">
        <v>30177620</v>
      </c>
      <c t="inlineStr" r="E650">
        <is>
          <t xml:space="preserve">Connecticut</t>
        </is>
      </c>
      <c r="F650" s="65">
        <v>0</v>
      </c>
      <c r="G650" s="63">
        <v>220000</v>
      </c>
      <c t="inlineStr" r="H650">
        <is>
          <t xml:space="preserve">Administrative &amp; Support &amp; Waste Management &amp; Remediation Services</t>
        </is>
      </c>
      <c t="inlineStr" r="I650">
        <is>
          <t xml:space="preserve">Administrative and Support Services</t>
        </is>
      </c>
      <c t="inlineStr" r="J650">
        <is>
          <t xml:space="preserve">Kingsley Allison</t>
        </is>
      </c>
      <c t="inlineStr" r="L650">
        <is>
          <t xml:space="preserve">-----</t>
        </is>
      </c>
    </row>
    <row r="651">
      <c t="str" r="A651" s="4">
        <f>HYPERLINK("https://linkbusiness.com/businesses-for-sale/NYC00069/Great-opportunity-to-own-your-own-store","NYC00069")</f>
      </c>
      <c t="inlineStr" r="B651">
        <is>
          <t xml:space="preserve">Great opportunity to own your own store</t>
        </is>
      </c>
      <c r="C651" s="63">
        <v>120000</v>
      </c>
      <c r="D651" s="63">
        <v>6045600</v>
      </c>
      <c t="inlineStr" r="E651">
        <is>
          <t xml:space="preserve">New York</t>
        </is>
      </c>
      <c r="F651" s="65">
        <v>0</v>
      </c>
      <c r="G651" s="63">
        <v>90000</v>
      </c>
      <c t="inlineStr" r="H651">
        <is>
          <t xml:space="preserve">Administrative &amp; Support &amp; Waste Management &amp; Remediation Services</t>
        </is>
      </c>
      <c t="inlineStr" r="I651">
        <is>
          <t xml:space="preserve">&lt;none&gt;</t>
        </is>
      </c>
      <c t="inlineStr" r="J651">
        <is>
          <t xml:space="preserve">Kingsley Allison</t>
        </is>
      </c>
      <c t="inlineStr" r="L651">
        <is>
          <t xml:space="preserve">-----</t>
        </is>
      </c>
    </row>
    <row r="652">
      <c t="str" r="A652" s="4">
        <f>HYPERLINK("https://linkbusiness.com/businesses-for-sale/PAE00001/Quality-Promotional-Products-%26-Apparel-Company-with-Recurring-Revenue-from-Diverse-Captive-Customers","PAE00001")</f>
      </c>
      <c t="inlineStr" r="B652">
        <is>
          <t xml:space="preserve">Quality Promotional Products &amp; Apparel Company with Recurring Revenue from Diverse Captive Customers</t>
        </is>
      </c>
      <c r="C652" s="63">
        <v>400000</v>
      </c>
      <c r="D652" s="63">
        <v>20152000</v>
      </c>
      <c t="inlineStr" r="E652">
        <is>
          <t xml:space="preserve">East Coast States</t>
        </is>
      </c>
      <c r="F652" s="65">
        <v>0</v>
      </c>
      <c r="G652" s="65">
        <v>0</v>
      </c>
      <c t="inlineStr" r="H652">
        <is>
          <t xml:space="preserve">Professional, Scientific and Technical Services</t>
        </is>
      </c>
      <c t="inlineStr" r="I652">
        <is>
          <t xml:space="preserve">&lt;none&gt;</t>
        </is>
      </c>
      <c t="inlineStr" r="L652">
        <is>
          <t xml:space="preserve">-----</t>
        </is>
      </c>
    </row>
    <row r="653">
      <c t="str" r="A653" s="4">
        <f>HYPERLINK("https://linkbusiness.com/businesses-for-sale/PAE00007/Highly-Profitable-Managed-IT-Consulting-Company-With-Strong-Recurring-Revenue","PAE00007")</f>
      </c>
      <c t="inlineStr" r="B653">
        <is>
          <t xml:space="preserve">Highly Profitable Managed IT Consulting Company With Strong Recurring Revenue</t>
        </is>
      </c>
      <c r="C653" s="65">
        <v>0</v>
      </c>
      <c r="D653" s="65">
        <v>0</v>
      </c>
      <c t="inlineStr" r="E653">
        <is>
          <t xml:space="preserve">East Coast States</t>
        </is>
      </c>
      <c r="F653" s="65">
        <v>0</v>
      </c>
      <c r="G653" s="63">
        <v>1250000</v>
      </c>
      <c t="inlineStr" r="H653">
        <is>
          <t xml:space="preserve">Professional, Scientific and Technical Services</t>
        </is>
      </c>
      <c t="inlineStr" r="I653">
        <is>
          <t xml:space="preserve">&lt;none&gt;</t>
        </is>
      </c>
      <c t="inlineStr" r="J653">
        <is>
          <t xml:space="preserve">Gary Varney, CPA, CMA</t>
        </is>
      </c>
      <c t="inlineStr" r="L653">
        <is>
          <t xml:space="preserve">Refer to Broker</t>
        </is>
      </c>
    </row>
    <row r="654">
      <c t="str" r="A654" s="4">
        <f>HYPERLINK("https://linkbusiness.com/businesses-for-sale/PAE00013/Growing-Environmental-Services-Company-with-30-Year-History-and-Significant-Margin-Improvements","PAE00013")</f>
      </c>
      <c t="inlineStr" r="B654">
        <is>
          <t xml:space="preserve">Growing Environmental Services Company with 30 Year History and Significant Margin Improvements</t>
        </is>
      </c>
      <c r="C654" s="65">
        <v>0</v>
      </c>
      <c r="D654" s="65">
        <v>0</v>
      </c>
      <c t="inlineStr" r="E654">
        <is>
          <t xml:space="preserve">East Coast States</t>
        </is>
      </c>
      <c r="F654" s="65">
        <v>0</v>
      </c>
      <c r="G654" s="63">
        <v>1189789</v>
      </c>
      <c t="inlineStr" r="H654">
        <is>
          <t xml:space="preserve">Professional, Scientific and Technical Services</t>
        </is>
      </c>
      <c t="inlineStr" r="I654">
        <is>
          <t xml:space="preserve">&lt;none&gt;</t>
        </is>
      </c>
      <c t="inlineStr" r="J654">
        <is>
          <t xml:space="preserve">Joseph Guarino</t>
        </is>
      </c>
      <c t="inlineStr" r="L654">
        <is>
          <t xml:space="preserve">Refer to Broker</t>
        </is>
      </c>
    </row>
    <row r="655">
      <c t="str" r="A655" s="4">
        <f>HYPERLINK("https://linkbusiness.com/businesses-for-sale/PAE00042/Highly-Respected-Sports-Bar-and-Basic-American-Cafe%252f-Italian-Restaurant-with-Liquor-License","PAE00042")</f>
      </c>
      <c t="inlineStr" r="B655">
        <is>
          <t xml:space="preserve">Highly Respected Sports Bar and Basic American Cafe/ Italian Restaurant with Liquor License</t>
        </is>
      </c>
      <c r="C655" s="65">
        <v>0</v>
      </c>
      <c r="D655" s="65">
        <v>0</v>
      </c>
      <c t="inlineStr" r="E655">
        <is>
          <t xml:space="preserve">Lancaster</t>
        </is>
      </c>
      <c r="F655" s="65">
        <v>0</v>
      </c>
      <c r="G655" s="63">
        <v>79658</v>
      </c>
      <c t="inlineStr" r="H655">
        <is>
          <t xml:space="preserve">Restaurant</t>
        </is>
      </c>
      <c t="inlineStr" r="I655">
        <is>
          <t xml:space="preserve">Food Services and Drinking Places</t>
        </is>
      </c>
      <c t="inlineStr" r="J655">
        <is>
          <t xml:space="preserve">Aaron Herr</t>
        </is>
      </c>
      <c t="inlineStr" r="L655">
        <is>
          <t xml:space="preserve">Refer to Broker</t>
        </is>
      </c>
    </row>
    <row r="656">
      <c t="str" r="A656" s="4">
        <f>HYPERLINK("https://linkbusiness.com/businesses-for-sale/PAE00047/High-Profit%2c-Niche-First-Aid-Service-%26-Industrial-Safety-Supply-Company-with-Large%2c-Loyal-Customers","PAE00047")</f>
      </c>
      <c t="inlineStr" r="B656">
        <is>
          <t xml:space="preserve">High Profit, Niche First Aid Service &amp; Industrial Safety Supply Company with Large, Loyal Customers</t>
        </is>
      </c>
      <c r="C656" s="63">
        <v>175000</v>
      </c>
      <c r="D656" s="63">
        <v>8816500</v>
      </c>
      <c t="inlineStr" r="E656">
        <is>
          <t xml:space="preserve">Pennsylvania</t>
        </is>
      </c>
      <c r="F656" s="65">
        <v>0</v>
      </c>
      <c r="G656" s="63">
        <v>65000</v>
      </c>
      <c t="inlineStr" r="H656">
        <is>
          <t xml:space="preserve">Professional, Scientific and Technical Services</t>
        </is>
      </c>
      <c t="inlineStr" r="I656">
        <is>
          <t xml:space="preserve">&lt;none&gt;</t>
        </is>
      </c>
      <c t="inlineStr" r="J656">
        <is>
          <t xml:space="preserve">Joseph Guarino</t>
        </is>
      </c>
      <c t="inlineStr" r="L656">
        <is>
          <t xml:space="preserve">-----</t>
        </is>
      </c>
    </row>
    <row r="657">
      <c t="str" r="A657" s="4">
        <f>HYPERLINK("https://linkbusiness.com/businesses-for-sale/PAE00072/Leading-Provider-of-Equine-and-Bovine-Animal-Supplements-with-a-40-Year-Record-of-Success","PAE00072")</f>
      </c>
      <c t="inlineStr" r="B657">
        <is>
          <t xml:space="preserve">Leading Provider of Equine and Bovine Animal Supplements with a 40 Year Record of Success</t>
        </is>
      </c>
      <c r="C657" s="63">
        <v>400000</v>
      </c>
      <c r="D657" s="63">
        <v>20152000</v>
      </c>
      <c t="inlineStr" r="E657">
        <is>
          <t xml:space="preserve">Pennsylvania</t>
        </is>
      </c>
      <c r="F657" s="65">
        <v>0</v>
      </c>
      <c r="G657" s="63">
        <v>140000</v>
      </c>
      <c t="inlineStr" r="H657">
        <is>
          <t xml:space="preserve">Wholesale Trade</t>
        </is>
      </c>
      <c t="inlineStr" r="I657">
        <is>
          <t xml:space="preserve">&lt;none&gt;</t>
        </is>
      </c>
      <c t="inlineStr" r="L657">
        <is>
          <t xml:space="preserve">-----</t>
        </is>
      </c>
    </row>
    <row r="658">
      <c t="str" r="A658" s="4">
        <f>HYPERLINK("https://linkbusiness.com/businesses-for-sale/PAE00075/Leading-Human-Capital-Management-Provider-with-Extensive-Recurring-Revenue","PAE00075")</f>
      </c>
      <c t="inlineStr" r="B658">
        <is>
          <t xml:space="preserve">Leading Human Capital Management Provider with Extensive Recurring Revenue</t>
        </is>
      </c>
      <c r="C658" s="65">
        <v>0</v>
      </c>
      <c r="D658" s="65">
        <v>0</v>
      </c>
      <c t="inlineStr" r="E658">
        <is>
          <t xml:space="preserve">East Coast States</t>
        </is>
      </c>
      <c r="F658" s="65">
        <v>0</v>
      </c>
      <c r="G658" s="63">
        <v>1275000</v>
      </c>
      <c t="inlineStr" r="H658">
        <is>
          <t xml:space="preserve">Professional, Scientific and Technical Services</t>
        </is>
      </c>
      <c t="inlineStr" r="I658">
        <is>
          <t xml:space="preserve">&lt;none&gt;</t>
        </is>
      </c>
      <c t="inlineStr" r="J658">
        <is>
          <t xml:space="preserve">Geoff Warrell</t>
        </is>
      </c>
      <c t="inlineStr" r="K658">
        <is>
          <t xml:space="preserve">Gary Varney, CPA, CMA</t>
        </is>
      </c>
      <c t="inlineStr" r="L658">
        <is>
          <t xml:space="preserve">Refer to Broker</t>
        </is>
      </c>
    </row>
    <row r="659">
      <c t="str" r="A659" s="4">
        <f>HYPERLINK("https://linkbusiness.com/businesses-for-sale/PAE00080/Respected%2c-Extremely-Profitable-Architectural-Exterior-Company","PAE00080")</f>
      </c>
      <c t="inlineStr" r="B659">
        <is>
          <t xml:space="preserve">Respected, Extremely Profitable Architectural Exterior Company</t>
        </is>
      </c>
      <c r="C659" s="65">
        <v>0</v>
      </c>
      <c r="D659" s="65">
        <v>0</v>
      </c>
      <c t="inlineStr" r="E659">
        <is>
          <t xml:space="preserve">East Coast States</t>
        </is>
      </c>
      <c r="F659" s="65">
        <v>0</v>
      </c>
      <c r="G659" s="63">
        <v>833669</v>
      </c>
      <c t="inlineStr" r="H659">
        <is>
          <t xml:space="preserve">Construction</t>
        </is>
      </c>
      <c t="inlineStr" r="I659">
        <is>
          <t xml:space="preserve">Specialty Trade Contractors</t>
        </is>
      </c>
      <c t="inlineStr" r="J659">
        <is>
          <t xml:space="preserve">Joseph Guarino</t>
        </is>
      </c>
      <c t="inlineStr" r="L659">
        <is>
          <t xml:space="preserve">Refer to Broker</t>
        </is>
      </c>
    </row>
    <row r="660">
      <c t="str" r="A660" s="4">
        <f>HYPERLINK("https://linkbusiness.com/businesses-for-sale/PAE00105/Authentic-Italian-Pizzeria%2c-Highly-Profitable-Seller-Carry-Low-Rent","PAE00105")</f>
      </c>
      <c t="inlineStr" r="B660">
        <is>
          <t xml:space="preserve">Authentic Italian Pizzeria, Highly Profitable Seller Carry Low Rent</t>
        </is>
      </c>
      <c r="C660" s="63">
        <v>700000</v>
      </c>
      <c r="D660" s="63">
        <v>35266000</v>
      </c>
      <c t="inlineStr" r="E660">
        <is>
          <t xml:space="preserve">Pennsylvania</t>
        </is>
      </c>
      <c r="F660" s="65">
        <v>0</v>
      </c>
      <c r="G660" s="63">
        <v>311852</v>
      </c>
      <c t="inlineStr" r="H660">
        <is>
          <t xml:space="preserve">Restaurant</t>
        </is>
      </c>
      <c t="inlineStr" r="I660">
        <is>
          <t xml:space="preserve">&lt;none&gt;</t>
        </is>
      </c>
      <c t="inlineStr" r="J660">
        <is>
          <t xml:space="preserve">Aaron Herr</t>
        </is>
      </c>
      <c t="inlineStr" r="L660">
        <is>
          <t xml:space="preserve">-----</t>
        </is>
      </c>
    </row>
    <row r="661">
      <c t="str" r="A661" s="4">
        <f>HYPERLINK("https://linkbusiness.com/businesses-for-sale/PAE00154/Highly-Profitable-Manufacturer-of-Precision-Chemical-Etched-and-Electroformed-Metal-Parts","PAE00154")</f>
      </c>
      <c t="inlineStr" r="B661">
        <is>
          <t xml:space="preserve">Highly Profitable Manufacturer of Precision Chemical Etched and Electroformed Metal Parts</t>
        </is>
      </c>
      <c r="C661" s="65">
        <v>0</v>
      </c>
      <c r="D661" s="65">
        <v>0</v>
      </c>
      <c t="inlineStr" r="E661">
        <is>
          <t xml:space="preserve">East Coast States</t>
        </is>
      </c>
      <c r="F661" s="65">
        <v>0</v>
      </c>
      <c r="G661" s="63">
        <v>375000</v>
      </c>
      <c t="inlineStr" r="H661">
        <is>
          <t xml:space="preserve">Manufacturing</t>
        </is>
      </c>
      <c t="inlineStr" r="I661">
        <is>
          <t xml:space="preserve">&lt;none&gt;</t>
        </is>
      </c>
      <c t="inlineStr" r="J661">
        <is>
          <t xml:space="preserve">Joseph Guarino</t>
        </is>
      </c>
      <c t="inlineStr" r="L661">
        <is>
          <t xml:space="preserve">Refer to Broker</t>
        </is>
      </c>
    </row>
    <row r="662">
      <c t="str" r="A662" s="4">
        <f>HYPERLINK("https://linkbusiness.com/businesses-for-sale/PAE00178/Turnkey-Local-Bottle-Shop-with-Wide-Selection%2c-Seller-Carry-and-Attractive-Real-Estate","PAE00178")</f>
      </c>
      <c t="inlineStr" r="B662">
        <is>
          <t xml:space="preserve">Turnkey Local Bottle Shop with Wide Selection, Seller Carry and Attractive Real Estate</t>
        </is>
      </c>
      <c r="C662" s="63">
        <v>500000</v>
      </c>
      <c r="D662" s="63">
        <v>25190000</v>
      </c>
      <c t="inlineStr" r="E662">
        <is>
          <t xml:space="preserve">Pennsylvania</t>
        </is>
      </c>
      <c r="F662" s="65">
        <v>0</v>
      </c>
      <c r="G662" s="65">
        <v>0</v>
      </c>
      <c t="inlineStr" r="H662">
        <is>
          <t xml:space="preserve">Restaurant</t>
        </is>
      </c>
      <c t="inlineStr" r="I662">
        <is>
          <t xml:space="preserve">Food Services and Drinking Places</t>
        </is>
      </c>
      <c t="inlineStr" r="J662">
        <is>
          <t xml:space="preserve">Aaron Herr</t>
        </is>
      </c>
      <c t="inlineStr" r="L662">
        <is>
          <t xml:space="preserve">Includes Liquor License</t>
        </is>
      </c>
    </row>
    <row r="663">
      <c t="str" r="A663" s="4">
        <f>HYPERLINK("https://linkbusiness.com/businesses-for-sale/PAE00179/Widely-Recognized-Flower-Bulb-Fundraising-%26-Wholesale-Company-with-a-Long-and-Successful-Operation","PAE00179")</f>
      </c>
      <c t="inlineStr" r="B663">
        <is>
          <t xml:space="preserve">Widely Recognized Flower Bulb Fundraising &amp; Wholesale Company with a Long and Successful Operation</t>
        </is>
      </c>
      <c r="C663" s="63">
        <v>375000</v>
      </c>
      <c r="D663" s="63">
        <v>18892500</v>
      </c>
      <c t="inlineStr" r="E663">
        <is>
          <t xml:space="preserve">Pennsylvania</t>
        </is>
      </c>
      <c r="F663" s="65">
        <v>0</v>
      </c>
      <c r="G663" s="63">
        <v>169145</v>
      </c>
      <c t="inlineStr" r="H663">
        <is>
          <t xml:space="preserve">Wholesale Trade</t>
        </is>
      </c>
      <c t="inlineStr" r="I663">
        <is>
          <t xml:space="preserve">&lt;none&gt;</t>
        </is>
      </c>
      <c t="inlineStr" r="J663">
        <is>
          <t xml:space="preserve">Scott Bishop</t>
        </is>
      </c>
      <c t="inlineStr" r="L663">
        <is>
          <t xml:space="preserve">-----</t>
        </is>
      </c>
    </row>
    <row r="664">
      <c t="str" r="A664" s="4">
        <f>HYPERLINK("https://linkbusiness.com/businesses-for-sale/PAE00197/Profitable-Commercial-Maintenance-(Lawn-Care%2c-Landscaping-and-Snow-Removal)-Company","PAE00197")</f>
      </c>
      <c t="inlineStr" r="B664">
        <is>
          <t xml:space="preserve">Profitable Commercial Maintenance (Lawn Care, Landscaping and Snow Removal) Company</t>
        </is>
      </c>
      <c r="C664" s="63">
        <v>525500</v>
      </c>
      <c r="D664" s="63">
        <v>26474690</v>
      </c>
      <c t="inlineStr" r="E664">
        <is>
          <t xml:space="preserve">New Jersey</t>
        </is>
      </c>
      <c r="F664" s="65">
        <v>0</v>
      </c>
      <c r="G664" s="63">
        <v>159228</v>
      </c>
      <c t="inlineStr" r="H664">
        <is>
          <t xml:space="preserve">Other Services (except public administration)</t>
        </is>
      </c>
      <c t="inlineStr" r="I664">
        <is>
          <t xml:space="preserve">Repair and Maintenance</t>
        </is>
      </c>
      <c t="inlineStr" r="J664">
        <is>
          <t xml:space="preserve">Scott Bishop</t>
        </is>
      </c>
      <c t="inlineStr" r="L664">
        <is>
          <t xml:space="preserve">FF&amp;E $351,126</t>
        </is>
      </c>
    </row>
    <row r="665">
      <c t="str" r="A665" s="4">
        <f>HYPERLINK("https://linkbusiness.com/businesses-for-sale/PAE00198/Authentic-European-Coffee-Room-and-Caf%c3%a9-Serving-a-Large-Local-Customer-Base","PAE00198")</f>
      </c>
      <c t="inlineStr" r="B665">
        <is>
          <t xml:space="preserve">Authentic European Coffee Room and Café Serving a Large Local Customer Base</t>
        </is>
      </c>
      <c r="C665" s="63">
        <v>260000</v>
      </c>
      <c r="D665" s="63">
        <v>13098800</v>
      </c>
      <c t="inlineStr" r="E665">
        <is>
          <t xml:space="preserve">Pennsylvania</t>
        </is>
      </c>
      <c r="F665" s="65">
        <v>0</v>
      </c>
      <c r="G665" s="63">
        <v>85126</v>
      </c>
      <c t="inlineStr" r="H665">
        <is>
          <t xml:space="preserve">Restaurant</t>
        </is>
      </c>
      <c t="inlineStr" r="I665">
        <is>
          <t xml:space="preserve">&lt;none&gt;</t>
        </is>
      </c>
      <c t="inlineStr" r="J665">
        <is>
          <t xml:space="preserve">Aaron Herr</t>
        </is>
      </c>
      <c t="inlineStr" r="L665">
        <is>
          <t xml:space="preserve">-----</t>
        </is>
      </c>
    </row>
    <row r="666">
      <c t="str" r="A666" s="4">
        <f>HYPERLINK("https://linkbusiness.com/businesses-for-sale/PAE00200/Highly-Profitable-Steel-%26-Metal-Fabricator-Meeting-Wide-Array-of-Client-Needs","PAE00200")</f>
      </c>
      <c t="inlineStr" r="B666">
        <is>
          <t xml:space="preserve">Highly Profitable Steel &amp; Metal Fabricator Meeting Wide Array of Client Needs</t>
        </is>
      </c>
      <c r="C666" s="65">
        <v>0</v>
      </c>
      <c r="D666" s="65">
        <v>0</v>
      </c>
      <c t="inlineStr" r="E666">
        <is>
          <t xml:space="preserve">East Coast States</t>
        </is>
      </c>
      <c r="F666" s="65">
        <v>0</v>
      </c>
      <c r="G666" s="63">
        <v>523000</v>
      </c>
      <c t="inlineStr" r="H666">
        <is>
          <t xml:space="preserve">Manufacturing</t>
        </is>
      </c>
      <c t="inlineStr" r="I666">
        <is>
          <t xml:space="preserve">&lt;none&gt;</t>
        </is>
      </c>
      <c t="inlineStr" r="J666">
        <is>
          <t xml:space="preserve">Joseph Guarino</t>
        </is>
      </c>
      <c t="inlineStr" r="L666">
        <is>
          <t xml:space="preserve">Refer to Broker</t>
        </is>
      </c>
    </row>
    <row r="667">
      <c t="str" r="A667" s="4">
        <f>HYPERLINK("https://linkbusiness.com/businesses-for-sale/PAE00201/Newly-Renovated%2c-Turnkey%2c-Full-Service-Car-Wash-and-Real-Estate-Located-in-a-Busy-Downtown-Location","PAE00201")</f>
      </c>
      <c t="inlineStr" r="B667">
        <is>
          <t xml:space="preserve">Newly Renovated, Turnkey, Full Service Car Wash and Real Estate Located in a Busy Downtown Location</t>
        </is>
      </c>
      <c r="C667" s="63">
        <v>539000</v>
      </c>
      <c r="D667" s="63">
        <v>27154820</v>
      </c>
      <c t="inlineStr" r="E667">
        <is>
          <t xml:space="preserve">Central Pennsylvania</t>
        </is>
      </c>
      <c r="F667" s="65">
        <v>0</v>
      </c>
      <c r="G667" s="63">
        <v>75957</v>
      </c>
      <c t="inlineStr" r="H667">
        <is>
          <t xml:space="preserve">Other Services (except public administration)</t>
        </is>
      </c>
      <c t="inlineStr" r="I667">
        <is>
          <t xml:space="preserve">Repair and Maintenance</t>
        </is>
      </c>
      <c t="inlineStr" r="J667">
        <is>
          <t xml:space="preserve">Aaron Herr</t>
        </is>
      </c>
      <c t="inlineStr" r="L667">
        <is>
          <t xml:space="preserve">Includes Real Estate</t>
        </is>
      </c>
    </row>
    <row r="668">
      <c t="str" r="A668" s="4">
        <f>HYPERLINK("https://linkbusiness.com/businesses-for-sale/PAE00202/Award-Winning-Turnkey-Child-Daycare%2c-Seller-Carry%2c-Low-Rent","PAE00202")</f>
      </c>
      <c t="inlineStr" r="B668">
        <is>
          <t xml:space="preserve">Award Winning Turnkey Child Daycare, Seller Carry, Low Rent</t>
        </is>
      </c>
      <c r="C668" s="63">
        <v>190000</v>
      </c>
      <c r="D668" s="63">
        <v>9572200</v>
      </c>
      <c t="inlineStr" r="E668">
        <is>
          <t xml:space="preserve">Central Pennsylvania</t>
        </is>
      </c>
      <c r="F668" s="65">
        <v>0</v>
      </c>
      <c r="G668" s="63">
        <v>88558</v>
      </c>
      <c t="inlineStr" r="H668">
        <is>
          <t xml:space="preserve">Educational Services</t>
        </is>
      </c>
      <c t="inlineStr" r="I668">
        <is>
          <t xml:space="preserve">&lt;none&gt;</t>
        </is>
      </c>
      <c t="inlineStr" r="J668">
        <is>
          <t xml:space="preserve">Aaron Herr</t>
        </is>
      </c>
      <c t="inlineStr" r="L668">
        <is>
          <t xml:space="preserve">-----</t>
        </is>
      </c>
    </row>
    <row r="669">
      <c t="str" r="A669" s="4">
        <f>HYPERLINK("https://linkbusiness.com/businesses-for-sale/PAE00228/Profitable-Crop-Consulting-Business%2c-With-Outstanding-Client-Loyalty%2c-Seller-Carry","PAE00228")</f>
      </c>
      <c t="inlineStr" r="B669">
        <is>
          <t xml:space="preserve">Profitable Crop Consulting Business, With Outstanding Client Loyalty, Seller Carry</t>
        </is>
      </c>
      <c r="C669" s="63">
        <v>120000</v>
      </c>
      <c r="D669" s="63">
        <v>6045600</v>
      </c>
      <c t="inlineStr" r="E669">
        <is>
          <t xml:space="preserve">Central Pennsylvania</t>
        </is>
      </c>
      <c r="F669" s="65">
        <v>0</v>
      </c>
      <c r="G669" s="63">
        <v>76746</v>
      </c>
      <c t="inlineStr" r="H669">
        <is>
          <t xml:space="preserve">Agriculture, Forestry, Fishing and Hunting</t>
        </is>
      </c>
      <c t="inlineStr" r="I669">
        <is>
          <t xml:space="preserve">Crop Production</t>
        </is>
      </c>
      <c t="inlineStr" r="J669">
        <is>
          <t xml:space="preserve">Aaron Herr</t>
        </is>
      </c>
      <c t="inlineStr" r="L669">
        <is>
          <t xml:space="preserve">-----</t>
        </is>
      </c>
    </row>
    <row r="670">
      <c t="str" r="A670" s="4">
        <f>HYPERLINK("https://linkbusiness.com/businesses-for-sale/RL00003/Precision-Machine-Shop-in-Triangle","RL00003")</f>
      </c>
      <c t="inlineStr" r="B670">
        <is>
          <t xml:space="preserve">Precision Machine Shop in Triangle</t>
        </is>
      </c>
      <c r="C670" s="63">
        <v>600000</v>
      </c>
      <c r="D670" s="63">
        <v>30228000</v>
      </c>
      <c t="inlineStr" r="E670">
        <is>
          <t xml:space="preserve">Triangle Area</t>
        </is>
      </c>
      <c r="F670" s="65">
        <v>0</v>
      </c>
      <c r="G670" s="63">
        <v>252000</v>
      </c>
      <c t="inlineStr" r="H670">
        <is>
          <t xml:space="preserve">Manufacturing</t>
        </is>
      </c>
      <c t="inlineStr" r="I670">
        <is>
          <t xml:space="preserve">&lt;none&gt;</t>
        </is>
      </c>
      <c t="inlineStr" r="L670">
        <is>
          <t xml:space="preserve">-----</t>
        </is>
      </c>
    </row>
    <row r="671">
      <c t="str" r="A671" s="4">
        <f>HYPERLINK("https://linkbusiness.com/businesses-for-sale/RL00004/Well-Known-Pizza-and-Italian-Restaurant","RL00004")</f>
      </c>
      <c t="inlineStr" r="B671">
        <is>
          <t xml:space="preserve">Well Known Pizza and Italian Restaurant</t>
        </is>
      </c>
      <c r="C671" s="63">
        <v>130000</v>
      </c>
      <c r="D671" s="63">
        <v>6549400</v>
      </c>
      <c t="inlineStr" r="E671">
        <is>
          <t xml:space="preserve">Triangle Area</t>
        </is>
      </c>
      <c r="F671" s="65">
        <v>0</v>
      </c>
      <c r="G671" s="63">
        <v>27000</v>
      </c>
      <c t="inlineStr" r="H671">
        <is>
          <t xml:space="preserve">Restaurant</t>
        </is>
      </c>
      <c t="inlineStr" r="I671">
        <is>
          <t xml:space="preserve">Food Services and Drinking Places</t>
        </is>
      </c>
      <c t="inlineStr" r="L671">
        <is>
          <t xml:space="preserve">-----</t>
        </is>
      </c>
    </row>
    <row r="672">
      <c t="str" r="A672" s="4">
        <f>HYPERLINK("https://linkbusiness.com/businesses-for-sale/RL00012/Profitable-Cold-Stone-Creamery-Priced-to-Sell!","RL00012")</f>
      </c>
      <c t="inlineStr" r="B672">
        <is>
          <t xml:space="preserve">Profitable Cold Stone Creamery Priced to Sell!</t>
        </is>
      </c>
      <c r="C672" s="63">
        <v>149000</v>
      </c>
      <c r="D672" s="63">
        <v>7506620</v>
      </c>
      <c t="inlineStr" r="E672">
        <is>
          <t xml:space="preserve">Triangle Area</t>
        </is>
      </c>
      <c r="F672" s="65">
        <v>0</v>
      </c>
      <c r="G672" s="63">
        <v>93000</v>
      </c>
      <c t="inlineStr" r="H672">
        <is>
          <t xml:space="preserve">Restaurant</t>
        </is>
      </c>
      <c t="inlineStr" r="I672">
        <is>
          <t xml:space="preserve">Food Services and Drinking Places</t>
        </is>
      </c>
      <c t="inlineStr" r="L672">
        <is>
          <t xml:space="preserve">-----</t>
        </is>
      </c>
    </row>
    <row r="673">
      <c t="str" r="A673" s="4">
        <f>HYPERLINK("https://linkbusiness.com/businesses-for-sale/RL00029/Illness-Forces-Immediate-Cash-Sale","RL00029")</f>
      </c>
      <c t="inlineStr" r="B673">
        <is>
          <t xml:space="preserve">Illness Forces Immediate Cash Sale</t>
        </is>
      </c>
      <c r="C673" s="63">
        <v>225000</v>
      </c>
      <c r="D673" s="63">
        <v>11335500</v>
      </c>
      <c t="inlineStr" r="E673">
        <is>
          <t xml:space="preserve">Triangle Area</t>
        </is>
      </c>
      <c r="F673" s="65">
        <v>0</v>
      </c>
      <c r="G673" s="63">
        <v>159876</v>
      </c>
      <c t="inlineStr" r="H673">
        <is>
          <t xml:space="preserve">Other Services (except public administration)</t>
        </is>
      </c>
      <c t="inlineStr" r="I673">
        <is>
          <t xml:space="preserve">&lt;none&gt;</t>
        </is>
      </c>
      <c t="inlineStr" r="L673">
        <is>
          <t xml:space="preserve">-----</t>
        </is>
      </c>
    </row>
    <row r="674">
      <c t="str" r="A674" s="4">
        <f>HYPERLINK("https://linkbusiness.com/businesses-for-sale/RL00048/Iconic-AAMCO-Automotive-Repair-Shop-Off-Main-Road","RL00048")</f>
      </c>
      <c t="inlineStr" r="B674">
        <is>
          <t xml:space="preserve">Iconic AAMCO Automotive Repair Shop Off Main Road</t>
        </is>
      </c>
      <c r="C674" s="63">
        <v>219000</v>
      </c>
      <c r="D674" s="63">
        <v>11033220</v>
      </c>
      <c t="inlineStr" r="E674">
        <is>
          <t xml:space="preserve">Triangle Area</t>
        </is>
      </c>
      <c r="F674" s="65">
        <v>0</v>
      </c>
      <c r="G674" s="63">
        <v>107000</v>
      </c>
      <c t="inlineStr" r="H674">
        <is>
          <t xml:space="preserve">Other Services (except public administration)</t>
        </is>
      </c>
      <c t="inlineStr" r="I674">
        <is>
          <t xml:space="preserve">Repair and Maintenance</t>
        </is>
      </c>
      <c t="inlineStr" r="J674">
        <is>
          <t xml:space="preserve">David Buboltz</t>
        </is>
      </c>
      <c t="inlineStr" r="L674">
        <is>
          <t xml:space="preserve">-----</t>
        </is>
      </c>
    </row>
    <row r="675">
      <c t="str" r="A675" s="4">
        <f>HYPERLINK("https://linkbusiness.com/businesses-for-sale/RL00054/Highly-Profitable-Sports-Bar-%26-Restaurant","RL00054")</f>
      </c>
      <c t="inlineStr" r="B675">
        <is>
          <t xml:space="preserve">Highly Profitable Sports Bar &amp; Restaurant</t>
        </is>
      </c>
      <c r="C675" s="63">
        <v>1750000</v>
      </c>
      <c r="D675" s="63">
        <v>88165000</v>
      </c>
      <c t="inlineStr" r="E675">
        <is>
          <t xml:space="preserve">Piedmont Triad</t>
        </is>
      </c>
      <c r="F675" s="65">
        <v>0</v>
      </c>
      <c r="G675" s="63">
        <v>401300</v>
      </c>
      <c t="inlineStr" r="H675">
        <is>
          <t xml:space="preserve">Restaurant</t>
        </is>
      </c>
      <c t="inlineStr" r="I675">
        <is>
          <t xml:space="preserve">Food Services and Drinking Places</t>
        </is>
      </c>
      <c t="inlineStr" r="L675">
        <is>
          <t xml:space="preserve">-----</t>
        </is>
      </c>
    </row>
    <row r="676">
      <c t="str" r="A676" s="4">
        <f>HYPERLINK("https://linkbusiness.com/businesses-for-sale/RL00062/Well-Established-Cold-Stone-Creamery","RL00062")</f>
      </c>
      <c t="inlineStr" r="B676">
        <is>
          <t xml:space="preserve">Well Established Cold Stone Creamery</t>
        </is>
      </c>
      <c r="C676" s="63">
        <v>165000</v>
      </c>
      <c r="D676" s="63">
        <v>8312700</v>
      </c>
      <c t="inlineStr" r="E676">
        <is>
          <t xml:space="preserve">Piedmont Triad</t>
        </is>
      </c>
      <c r="F676" s="65">
        <v>0</v>
      </c>
      <c r="G676" s="63">
        <v>92680</v>
      </c>
      <c t="inlineStr" r="H676">
        <is>
          <t xml:space="preserve">Restaurant</t>
        </is>
      </c>
      <c t="inlineStr" r="I676">
        <is>
          <t xml:space="preserve">Food Services and Drinking Places</t>
        </is>
      </c>
      <c t="inlineStr" r="L676">
        <is>
          <t xml:space="preserve">-----</t>
        </is>
      </c>
    </row>
    <row r="677">
      <c t="str" r="A677" s="4">
        <f>HYPERLINK("https://linkbusiness.com/businesses-for-sale/RL00071/Innovative-Brewing-System-Manufacturer","RL00071")</f>
      </c>
      <c t="inlineStr" r="B677">
        <is>
          <t xml:space="preserve">Innovative Brewing System Manufacturer</t>
        </is>
      </c>
      <c r="C677" s="63">
        <v>350000</v>
      </c>
      <c r="D677" s="63">
        <v>17633000</v>
      </c>
      <c t="inlineStr" r="E677">
        <is>
          <t xml:space="preserve">Triangle Area</t>
        </is>
      </c>
      <c r="F677" s="65">
        <v>0</v>
      </c>
      <c r="G677" s="63">
        <v>153414</v>
      </c>
      <c t="inlineStr" r="H677">
        <is>
          <t xml:space="preserve">Manufacturing</t>
        </is>
      </c>
      <c t="inlineStr" r="I677">
        <is>
          <t xml:space="preserve">&lt;none&gt;</t>
        </is>
      </c>
      <c t="inlineStr" r="L677">
        <is>
          <t xml:space="preserve">-----</t>
        </is>
      </c>
    </row>
    <row r="678">
      <c t="str" r="A678" s="4">
        <f>HYPERLINK("https://linkbusiness.com/businesses-for-sale/RL00084/Award-Winning-Brewery-with-Brand-Recognition","RL00084")</f>
      </c>
      <c t="inlineStr" r="B678">
        <is>
          <t xml:space="preserve">Award Winning Brewery with Brand Recognition</t>
        </is>
      </c>
      <c r="C678" s="63">
        <v>895000</v>
      </c>
      <c r="D678" s="63">
        <v>45090100</v>
      </c>
      <c t="inlineStr" r="E678">
        <is>
          <t xml:space="preserve">North Carolina</t>
        </is>
      </c>
      <c r="F678" s="65">
        <v>0</v>
      </c>
      <c r="G678" s="65">
        <v>0</v>
      </c>
      <c t="inlineStr" r="H678">
        <is>
          <t xml:space="preserve">Restaurant</t>
        </is>
      </c>
      <c t="inlineStr" r="I678">
        <is>
          <t xml:space="preserve">Food Services and Drinking Places</t>
        </is>
      </c>
      <c t="inlineStr" r="L678">
        <is>
          <t xml:space="preserve">-----</t>
        </is>
      </c>
    </row>
    <row r="679">
      <c t="str" r="A679" s="4">
        <f>HYPERLINK("https://linkbusiness.com/businesses-for-sale/RL00088/Longstanding-Fencing-Company-with-Strong-Revenue","RL00088")</f>
      </c>
      <c t="inlineStr" r="B679">
        <is>
          <t xml:space="preserve">Longstanding Fencing Company with Strong Revenue</t>
        </is>
      </c>
      <c r="C679" s="63">
        <v>1500000</v>
      </c>
      <c r="D679" s="63">
        <v>75570000</v>
      </c>
      <c t="inlineStr" r="E679">
        <is>
          <t xml:space="preserve">Coastal Plain</t>
        </is>
      </c>
      <c r="F679" s="65">
        <v>0</v>
      </c>
      <c r="G679" s="65">
        <v>0</v>
      </c>
      <c t="inlineStr" r="H679">
        <is>
          <t xml:space="preserve">Construction</t>
        </is>
      </c>
      <c t="inlineStr" r="I679">
        <is>
          <t xml:space="preserve">Specialty Trade Contractors</t>
        </is>
      </c>
      <c t="inlineStr" r="J679">
        <is>
          <t xml:space="preserve">Carter Chill</t>
        </is>
      </c>
      <c t="inlineStr" r="L679">
        <is>
          <t xml:space="preserve">Includes Inventory and Property</t>
        </is>
      </c>
    </row>
    <row r="680">
      <c t="str" r="A680" s="4">
        <f>HYPERLINK("https://linkbusiness.com/businesses-for-sale/RL00104/Established-Asian-Restaurant-in-High-Traffic-Area","RL00104")</f>
      </c>
      <c t="inlineStr" r="B680">
        <is>
          <t xml:space="preserve">Established Asian Restaurant in High Traffic Area</t>
        </is>
      </c>
      <c r="C680" s="63">
        <v>90000</v>
      </c>
      <c r="D680" s="63">
        <v>4534200</v>
      </c>
      <c t="inlineStr" r="E680">
        <is>
          <t xml:space="preserve">Triangle Area</t>
        </is>
      </c>
      <c r="F680" s="65">
        <v>0</v>
      </c>
      <c r="G680" s="65">
        <v>0</v>
      </c>
      <c t="inlineStr" r="H680">
        <is>
          <t xml:space="preserve">Restaurant</t>
        </is>
      </c>
      <c t="inlineStr" r="I680">
        <is>
          <t xml:space="preserve">Food Services and Drinking Places</t>
        </is>
      </c>
      <c t="inlineStr" r="L680">
        <is>
          <t xml:space="preserve">-----</t>
        </is>
      </c>
    </row>
    <row r="681">
      <c t="str" r="A681" s="4">
        <f>HYPERLINK("https://linkbusiness.com/businesses-for-sale/RL00114/Auto-Service-and-Tire-Retail%2c-REAL-ESTATE-INCLUDED","RL00114")</f>
      </c>
      <c t="inlineStr" r="B681">
        <is>
          <t xml:space="preserve">Auto Service and Tire Retail, REAL ESTATE INCLUDED</t>
        </is>
      </c>
      <c r="C681" s="63">
        <v>210000</v>
      </c>
      <c r="D681" s="63">
        <v>10579800</v>
      </c>
      <c t="inlineStr" r="E681">
        <is>
          <t xml:space="preserve">Coastal Plain</t>
        </is>
      </c>
      <c r="F681" s="65">
        <v>0</v>
      </c>
      <c r="G681" s="63">
        <v>80000</v>
      </c>
      <c t="inlineStr" r="H681">
        <is>
          <t xml:space="preserve">Automotive</t>
        </is>
      </c>
      <c t="inlineStr" r="I681">
        <is>
          <t xml:space="preserve">Mechanical Repair</t>
        </is>
      </c>
      <c t="inlineStr" r="L681">
        <is>
          <t xml:space="preserve">-----</t>
        </is>
      </c>
    </row>
    <row r="682">
      <c t="str" r="A682" s="4">
        <f>HYPERLINK("https://linkbusiness.com/businesses-for-sale/RL00115/Growing-Profitable-Locksmith","RL00115")</f>
      </c>
      <c t="inlineStr" r="B682">
        <is>
          <t xml:space="preserve">Growing Profitable Locksmith</t>
        </is>
      </c>
      <c r="C682" s="63">
        <v>90000</v>
      </c>
      <c r="D682" s="63">
        <v>4534200</v>
      </c>
      <c t="inlineStr" r="E682">
        <is>
          <t xml:space="preserve">Triangle Area</t>
        </is>
      </c>
      <c r="F682" s="65">
        <v>0</v>
      </c>
      <c r="G682" s="63">
        <v>120000</v>
      </c>
      <c t="inlineStr" r="H682">
        <is>
          <t xml:space="preserve">Retail Trade</t>
        </is>
      </c>
      <c t="inlineStr" r="I682">
        <is>
          <t xml:space="preserve">&lt;none&gt;</t>
        </is>
      </c>
      <c t="inlineStr" r="J682">
        <is>
          <t xml:space="preserve">Carter Chill</t>
        </is>
      </c>
      <c t="inlineStr" r="L682">
        <is>
          <t xml:space="preserve">-----</t>
        </is>
      </c>
    </row>
    <row r="683">
      <c t="str" r="A683" s="4">
        <f>HYPERLINK("https://linkbusiness.com/businesses-for-sale/RL00121/Urban-Wire-Transfer-and-Check-Cashing-Store","RL00121")</f>
      </c>
      <c t="inlineStr" r="B683">
        <is>
          <t xml:space="preserve">Urban Wire Transfer and Check Cashing Store</t>
        </is>
      </c>
      <c r="C683" s="63">
        <v>600000</v>
      </c>
      <c r="D683" s="63">
        <v>30228000</v>
      </c>
      <c t="inlineStr" r="E683">
        <is>
          <t xml:space="preserve">Triangle Area</t>
        </is>
      </c>
      <c r="F683" s="65">
        <v>0</v>
      </c>
      <c r="G683" s="63">
        <v>314000</v>
      </c>
      <c t="inlineStr" r="H683">
        <is>
          <t xml:space="preserve">Other Services (except public administration)</t>
        </is>
      </c>
      <c t="inlineStr" r="I683">
        <is>
          <t xml:space="preserve">Other Personal Services</t>
        </is>
      </c>
      <c t="inlineStr" r="J683">
        <is>
          <t xml:space="preserve">David Buboltz</t>
        </is>
      </c>
      <c t="inlineStr" r="L683">
        <is>
          <t xml:space="preserve">-----</t>
        </is>
      </c>
    </row>
    <row r="684">
      <c t="str" r="A684" s="4">
        <f>HYPERLINK("https://linkbusiness.com/businesses-for-sale/RL00122/Profitable-Triangle-Hobby-Retailer","RL00122")</f>
      </c>
      <c t="inlineStr" r="B684">
        <is>
          <t xml:space="preserve">Profitable Triangle Hobby Retailer</t>
        </is>
      </c>
      <c r="C684" s="63">
        <v>250000</v>
      </c>
      <c r="D684" s="63">
        <v>12595000</v>
      </c>
      <c t="inlineStr" r="E684">
        <is>
          <t xml:space="preserve">Triangle Area</t>
        </is>
      </c>
      <c r="F684" s="65">
        <v>0</v>
      </c>
      <c r="G684" s="63">
        <v>95000</v>
      </c>
      <c t="inlineStr" r="H684">
        <is>
          <t xml:space="preserve">Retail Trade</t>
        </is>
      </c>
      <c t="inlineStr" r="I684">
        <is>
          <t xml:space="preserve">Miscellaneous Store Retailers</t>
        </is>
      </c>
      <c t="inlineStr" r="J684">
        <is>
          <t xml:space="preserve">Carter Chill</t>
        </is>
      </c>
      <c t="inlineStr" r="L684">
        <is>
          <t xml:space="preserve">+$40,000 of inventory available to buyer</t>
        </is>
      </c>
    </row>
    <row r="685">
      <c t="str" r="A685" s="4">
        <f>HYPERLINK("https://linkbusiness.com/businesses-for-sale/RL00124/Profitable%2c-Highly-Respected%2c-and-Growing-HVAC-Company","RL00124")</f>
      </c>
      <c t="inlineStr" r="B685">
        <is>
          <t xml:space="preserve">Profitable, Highly Respected, and Growing HVAC Company</t>
        </is>
      </c>
      <c r="C685" s="63">
        <v>800000</v>
      </c>
      <c r="D685" s="63">
        <v>40304000</v>
      </c>
      <c t="inlineStr" r="E685">
        <is>
          <t xml:space="preserve">Triangle Area</t>
        </is>
      </c>
      <c r="F685" s="65">
        <v>0</v>
      </c>
      <c r="G685" s="63">
        <v>290395</v>
      </c>
      <c t="inlineStr" r="H685">
        <is>
          <t xml:space="preserve">Construction</t>
        </is>
      </c>
      <c t="inlineStr" r="I685">
        <is>
          <t xml:space="preserve">Specialty Trade Contractors</t>
        </is>
      </c>
      <c t="inlineStr" r="J685">
        <is>
          <t xml:space="preserve">Carter Chill</t>
        </is>
      </c>
      <c t="inlineStr" r="L685">
        <is>
          <t xml:space="preserve">Includes Inventory</t>
        </is>
      </c>
    </row>
    <row r="686">
      <c t="str" r="A686" s="4">
        <f>HYPERLINK("https://linkbusiness.com/businesses-for-sale/RL00125/German-Theme-Tavern-%26-Bottle-Shop","RL00125")</f>
      </c>
      <c t="inlineStr" r="B686">
        <is>
          <t xml:space="preserve">German Theme Tavern &amp; Bottle Shop</t>
        </is>
      </c>
      <c r="C686" s="63">
        <v>100000</v>
      </c>
      <c r="D686" s="63">
        <v>5038000</v>
      </c>
      <c t="inlineStr" r="E686">
        <is>
          <t xml:space="preserve">Triangle Area</t>
        </is>
      </c>
      <c r="F686" s="65">
        <v>0</v>
      </c>
      <c r="G686" s="65">
        <v>0</v>
      </c>
      <c t="inlineStr" r="H686">
        <is>
          <t xml:space="preserve">Restaurant</t>
        </is>
      </c>
      <c t="inlineStr" r="I686">
        <is>
          <t xml:space="preserve">Food Services and Drinking Places</t>
        </is>
      </c>
      <c t="inlineStr" r="L686">
        <is>
          <t xml:space="preserve">-----</t>
        </is>
      </c>
    </row>
    <row r="687">
      <c t="str" r="A687" s="4">
        <f>HYPERLINK("https://linkbusiness.com/businesses-for-sale/RL00135/Profitable-Auto-Repair-and-Tire-Service-Center","RL00135")</f>
      </c>
      <c t="inlineStr" r="B687">
        <is>
          <t xml:space="preserve">Profitable Auto Repair and Tire Service Center</t>
        </is>
      </c>
      <c r="C687" s="63">
        <v>700000</v>
      </c>
      <c r="D687" s="63">
        <v>35266000</v>
      </c>
      <c t="inlineStr" r="E687">
        <is>
          <t xml:space="preserve">Coastal Plain</t>
        </is>
      </c>
      <c r="F687" s="65">
        <v>0</v>
      </c>
      <c r="G687" s="65">
        <v>0</v>
      </c>
      <c t="inlineStr" r="H687">
        <is>
          <t xml:space="preserve">Other Services (except public administration)</t>
        </is>
      </c>
      <c t="inlineStr" r="I687">
        <is>
          <t xml:space="preserve">Repair and Maintenance</t>
        </is>
      </c>
      <c t="inlineStr" r="J687">
        <is>
          <t xml:space="preserve">Carter Chill</t>
        </is>
      </c>
      <c t="inlineStr" r="L687">
        <is>
          <t xml:space="preserve">-----</t>
        </is>
      </c>
    </row>
    <row r="688">
      <c t="str" r="A688" s="4">
        <f>HYPERLINK("https://linkbusiness.com/businesses-for-sale/RL00167/Profitable%2c-Growing-HVAC-Business-located-in-Triangle-Suburb-Nationally-Recognized-for-Growth","RL00167")</f>
      </c>
      <c t="inlineStr" r="B688">
        <is>
          <t xml:space="preserve">Profitable, Growing HVAC Business located in Triangle Suburb Nationally Recognized for Growth</t>
        </is>
      </c>
      <c r="C688" s="63">
        <v>450000</v>
      </c>
      <c r="D688" s="63">
        <v>22671000</v>
      </c>
      <c t="inlineStr" r="E688">
        <is>
          <t xml:space="preserve">Triangle Area</t>
        </is>
      </c>
      <c r="F688" s="65">
        <v>0</v>
      </c>
      <c r="G688" s="63">
        <v>378000</v>
      </c>
      <c t="inlineStr" r="H688">
        <is>
          <t xml:space="preserve">Construction</t>
        </is>
      </c>
      <c t="inlineStr" r="I688">
        <is>
          <t xml:space="preserve">Specialty Trade Contractors</t>
        </is>
      </c>
      <c t="inlineStr" r="L688">
        <is>
          <t xml:space="preserve">-----</t>
        </is>
      </c>
    </row>
    <row r="689">
      <c t="str" r="A689" s="4">
        <f>HYPERLINK("https://linkbusiness.com/businesses-for-sale/RL00172/Indian-Restaurant-on-Busy-Street","RL00172")</f>
      </c>
      <c t="inlineStr" r="B689">
        <is>
          <t xml:space="preserve">Indian Restaurant on Busy Street</t>
        </is>
      </c>
      <c r="C689" s="63">
        <v>110000</v>
      </c>
      <c r="D689" s="63">
        <v>5541800</v>
      </c>
      <c t="inlineStr" r="E689">
        <is>
          <t xml:space="preserve">Triangle Area</t>
        </is>
      </c>
      <c r="F689" s="65">
        <v>0</v>
      </c>
      <c r="G689" s="65">
        <v>0</v>
      </c>
      <c t="inlineStr" r="H689">
        <is>
          <t xml:space="preserve">Restaurant</t>
        </is>
      </c>
      <c t="inlineStr" r="I689">
        <is>
          <t xml:space="preserve">Food Services and Drinking Places</t>
        </is>
      </c>
      <c t="inlineStr" r="L689">
        <is>
          <t xml:space="preserve">-----</t>
        </is>
      </c>
    </row>
    <row r="690">
      <c t="str" r="A690" s="4">
        <f>HYPERLINK("https://linkbusiness.com/businesses-for-sale/RL00196/Pool-and-Spa-Business-With-40-Year-Reputation-Over-%24200K-in-Inventory-Included","RL00196")</f>
      </c>
      <c t="inlineStr" r="B690">
        <is>
          <t xml:space="preserve">Pool and Spa Business With 40 Year Reputation. Over $200K in Inventory Included</t>
        </is>
      </c>
      <c r="C690" s="63">
        <v>225000</v>
      </c>
      <c r="D690" s="63">
        <v>11335500</v>
      </c>
      <c t="inlineStr" r="E690">
        <is>
          <t xml:space="preserve">Piedmont Triad</t>
        </is>
      </c>
      <c r="F690" s="65">
        <v>0</v>
      </c>
      <c r="G690" s="63">
        <v>62000</v>
      </c>
      <c t="inlineStr" r="H690">
        <is>
          <t xml:space="preserve">Retail Trade</t>
        </is>
      </c>
      <c t="inlineStr" r="I690">
        <is>
          <t xml:space="preserve">Miscellaneous Store Retailers</t>
        </is>
      </c>
      <c t="inlineStr" r="L690">
        <is>
          <t xml:space="preserve">-----</t>
        </is>
      </c>
    </row>
    <row r="691">
      <c t="str" r="A691" s="4">
        <f>HYPERLINK("https://linkbusiness.com/businesses-for-sale/RL00216/REDUCED-PRICE!-Destination-Brewery-with-Exceptional-Growth-and-Strong-Sales","RL00216")</f>
      </c>
      <c t="inlineStr" r="B691">
        <is>
          <t xml:space="preserve">REDUCED PRICE! Destination Brewery with Exceptional Growth and Strong Sales</t>
        </is>
      </c>
      <c r="C691" s="63">
        <v>2400000</v>
      </c>
      <c r="D691" s="63">
        <v>120912000</v>
      </c>
      <c t="inlineStr" r="E691">
        <is>
          <t xml:space="preserve">Mountain Area</t>
        </is>
      </c>
      <c r="F691" s="65">
        <v>0</v>
      </c>
      <c r="G691" s="65">
        <v>0</v>
      </c>
      <c t="inlineStr" r="H691">
        <is>
          <t xml:space="preserve">Manufacturing</t>
        </is>
      </c>
      <c t="inlineStr" r="I691">
        <is>
          <t xml:space="preserve">Beverage and Tobacco Product Manufacturing</t>
        </is>
      </c>
      <c t="inlineStr" r="J691">
        <is>
          <t xml:space="preserve">David Buboltz</t>
        </is>
      </c>
      <c t="inlineStr" r="L691">
        <is>
          <t xml:space="preserve">-----</t>
        </is>
      </c>
    </row>
    <row r="692">
      <c t="str" r="A692" s="4">
        <f>HYPERLINK("https://linkbusiness.com/businesses-for-sale/RL00224/Well-Established-and-Profitable-Towing-Business-with-Auto-Repair","RL00224")</f>
      </c>
      <c t="inlineStr" r="B692">
        <is>
          <t xml:space="preserve">Well Established and Profitable Towing Business with Auto Repair</t>
        </is>
      </c>
      <c r="C692" s="63">
        <v>240000</v>
      </c>
      <c r="D692" s="63">
        <v>12091200</v>
      </c>
      <c t="inlineStr" r="E692">
        <is>
          <t xml:space="preserve">Memphis Metro</t>
        </is>
      </c>
      <c r="F692" s="65">
        <v>0</v>
      </c>
      <c r="G692" s="63">
        <v>114209</v>
      </c>
      <c t="inlineStr" r="H692">
        <is>
          <t xml:space="preserve">Other Services (except public administration)</t>
        </is>
      </c>
      <c t="inlineStr" r="I692">
        <is>
          <t xml:space="preserve">Repair and Maintenance</t>
        </is>
      </c>
      <c t="inlineStr" r="J692">
        <is>
          <t xml:space="preserve">Doug Morris</t>
        </is>
      </c>
      <c t="inlineStr" r="L692">
        <is>
          <t xml:space="preserve">-----</t>
        </is>
      </c>
    </row>
    <row r="693">
      <c t="str" r="A693" s="4">
        <f>HYPERLINK("https://linkbusiness.com/businesses-for-sale/RL00225/Profitable-Fitness-Gym-Franchise","RL00225")</f>
      </c>
      <c t="inlineStr" r="B693">
        <is>
          <t xml:space="preserve">Profitable Fitness Gym Franchise</t>
        </is>
      </c>
      <c r="C693" s="63">
        <v>499000</v>
      </c>
      <c r="D693" s="63">
        <v>25139620</v>
      </c>
      <c t="inlineStr" r="E693">
        <is>
          <t xml:space="preserve">Triangle Area</t>
        </is>
      </c>
      <c r="F693" s="65">
        <v>0</v>
      </c>
      <c r="G693" s="63">
        <v>179249</v>
      </c>
      <c t="inlineStr" r="H693">
        <is>
          <t xml:space="preserve">Arts, Entertainment &amp; Recreation</t>
        </is>
      </c>
      <c t="inlineStr" r="I693">
        <is>
          <t xml:space="preserve">Amusement, Gambling, and Recreation Industries</t>
        </is>
      </c>
      <c t="inlineStr" r="L693">
        <is>
          <t xml:space="preserve">-----</t>
        </is>
      </c>
    </row>
    <row r="694">
      <c t="str" r="A694" s="4">
        <f>HYPERLINK("https://linkbusiness.com/businesses-for-sale/RL00226/EMERGENCY-FIRE-SALE%2c-Established-Tire-and-Alignment-Business","RL00226")</f>
      </c>
      <c t="inlineStr" r="B694">
        <is>
          <t xml:space="preserve">EMERGENCY FIRE SALE, Established Tire and Alignment Business</t>
        </is>
      </c>
      <c r="C694" s="63">
        <v>275000</v>
      </c>
      <c r="D694" s="63">
        <v>13854500</v>
      </c>
      <c t="inlineStr" r="E694">
        <is>
          <t xml:space="preserve">Memphis Metro</t>
        </is>
      </c>
      <c r="F694" s="65">
        <v>0</v>
      </c>
      <c r="G694" s="63">
        <v>150000</v>
      </c>
      <c t="inlineStr" r="H694">
        <is>
          <t xml:space="preserve">Retail Trade</t>
        </is>
      </c>
      <c t="inlineStr" r="I694">
        <is>
          <t xml:space="preserve">Motor Vehicle and Parts Dealers</t>
        </is>
      </c>
      <c t="inlineStr" r="J694">
        <is>
          <t xml:space="preserve">Doug Morris</t>
        </is>
      </c>
      <c t="inlineStr" r="L694">
        <is>
          <t xml:space="preserve">-----</t>
        </is>
      </c>
    </row>
    <row r="695">
      <c t="str" r="A695" s="4">
        <f>HYPERLINK("https://linkbusiness.com/businesses-for-sale/RL00228/%246%2c000%2c000-Dental-Practice-Reduced-to-%241%2c200%2c000-EMERGENCY-FIRE-SALE","RL00228")</f>
      </c>
      <c t="inlineStr" r="B695">
        <is>
          <t xml:space="preserve">$6,000,000 Dental Practice Reduced to $1,200,000 EMERGENCY FIRE SALE</t>
        </is>
      </c>
      <c r="C695" s="63">
        <v>3900000</v>
      </c>
      <c r="D695" s="63">
        <v>196482000</v>
      </c>
      <c t="inlineStr" r="E695">
        <is>
          <t xml:space="preserve">Nashville</t>
        </is>
      </c>
      <c r="F695" s="65">
        <v>0</v>
      </c>
      <c r="G695" s="63">
        <v>950000</v>
      </c>
      <c t="inlineStr" r="H695">
        <is>
          <t xml:space="preserve">Health Care &amp; Social Assistance</t>
        </is>
      </c>
      <c t="inlineStr" r="I695">
        <is>
          <t xml:space="preserve">Ambulatory Health Care Services</t>
        </is>
      </c>
      <c t="inlineStr" r="L695">
        <is>
          <t xml:space="preserve">-----</t>
        </is>
      </c>
    </row>
    <row r="696">
      <c t="str" r="A696" s="4">
        <f>HYPERLINK("https://linkbusiness.com/businesses-for-sale/RL00233/Ideal-Business-for-Large-Wrecker-Service-%26-Big-Rig-Repair","RL00233")</f>
      </c>
      <c t="inlineStr" r="B696">
        <is>
          <t xml:space="preserve">Ideal Business for Large Wrecker Service &amp; Big Rig Repair</t>
        </is>
      </c>
      <c r="C696" s="63">
        <v>750000</v>
      </c>
      <c r="D696" s="63">
        <v>37785000</v>
      </c>
      <c t="inlineStr" r="E696">
        <is>
          <t xml:space="preserve">Memphis Metro</t>
        </is>
      </c>
      <c r="F696" s="65">
        <v>0</v>
      </c>
      <c r="G696" s="63">
        <v>195000</v>
      </c>
      <c t="inlineStr" r="H696">
        <is>
          <t xml:space="preserve">Transportation &amp; Warehousing</t>
        </is>
      </c>
      <c t="inlineStr" r="I696">
        <is>
          <t xml:space="preserve">Support Activities for Transportation</t>
        </is>
      </c>
      <c t="inlineStr" r="J696">
        <is>
          <t xml:space="preserve">Doug Morris</t>
        </is>
      </c>
      <c t="inlineStr" r="L696">
        <is>
          <t xml:space="preserve">Includes Real Estate</t>
        </is>
      </c>
    </row>
    <row r="697">
      <c t="str" r="A697" s="4">
        <f>HYPERLINK("https://linkbusiness.com/businesses-for-sale/RL00234/Established-Automotive-Repair-Business","RL00234")</f>
      </c>
      <c t="inlineStr" r="B697">
        <is>
          <t xml:space="preserve">Established Automotive Repair Business</t>
        </is>
      </c>
      <c r="C697" s="63">
        <v>540000</v>
      </c>
      <c r="D697" s="63">
        <v>27205200</v>
      </c>
      <c t="inlineStr" r="E697">
        <is>
          <t xml:space="preserve">Triangle Area</t>
        </is>
      </c>
      <c r="F697" s="65">
        <v>0</v>
      </c>
      <c r="G697" s="63">
        <v>278000</v>
      </c>
      <c t="inlineStr" r="H697">
        <is>
          <t xml:space="preserve">Other Services (except public administration)</t>
        </is>
      </c>
      <c t="inlineStr" r="I697">
        <is>
          <t xml:space="preserve">Repair and Maintenance</t>
        </is>
      </c>
      <c t="inlineStr" r="J697">
        <is>
          <t xml:space="preserve">David Buboltz</t>
        </is>
      </c>
      <c t="inlineStr" r="L697">
        <is>
          <t xml:space="preserve">-----</t>
        </is>
      </c>
    </row>
    <row r="698">
      <c t="str" r="A698" s="4">
        <f>HYPERLINK("https://linkbusiness.com/businesses-for-sale/RL00239/Sole-American-Manufacturer-of-English-Clotted-Cream","RL00239")</f>
      </c>
      <c t="inlineStr" r="B698">
        <is>
          <t xml:space="preserve">Sole American Manufacturer of English Clotted Cream</t>
        </is>
      </c>
      <c r="C698" s="63">
        <v>75000</v>
      </c>
      <c r="D698" s="63">
        <v>3778500</v>
      </c>
      <c t="inlineStr" r="E698">
        <is>
          <t xml:space="preserve">Triangle Area</t>
        </is>
      </c>
      <c r="F698" s="65">
        <v>0</v>
      </c>
      <c r="G698" s="65">
        <v>0</v>
      </c>
      <c t="inlineStr" r="H698">
        <is>
          <t xml:space="preserve">Manufacturing</t>
        </is>
      </c>
      <c t="inlineStr" r="I698">
        <is>
          <t xml:space="preserve">Food Manufacturing</t>
        </is>
      </c>
      <c t="inlineStr" r="J698">
        <is>
          <t xml:space="preserve">David Buboltz</t>
        </is>
      </c>
      <c t="inlineStr" r="L698">
        <is>
          <t xml:space="preserve">-----</t>
        </is>
      </c>
    </row>
    <row r="699">
      <c t="str" r="A699" s="4">
        <f>HYPERLINK("https://linkbusiness.com/businesses-for-sale/RL00240/Longstanding-and-Profitable-Hydroseeding-Business","RL00240")</f>
      </c>
      <c t="inlineStr" r="B699">
        <is>
          <t xml:space="preserve">Longstanding and Profitable Hydroseeding Business</t>
        </is>
      </c>
      <c r="C699" s="63">
        <v>175000</v>
      </c>
      <c r="D699" s="63">
        <v>8816500</v>
      </c>
      <c t="inlineStr" r="E699">
        <is>
          <t xml:space="preserve">Triangle Area</t>
        </is>
      </c>
      <c r="F699" s="65">
        <v>0</v>
      </c>
      <c r="G699" s="63">
        <v>53067</v>
      </c>
      <c t="inlineStr" r="H699">
        <is>
          <t xml:space="preserve">Administrative &amp; Support &amp; Waste Management &amp; Remediation Services</t>
        </is>
      </c>
      <c t="inlineStr" r="I699">
        <is>
          <t xml:space="preserve">Administrative and Support Services</t>
        </is>
      </c>
      <c t="inlineStr" r="J699">
        <is>
          <t xml:space="preserve">Carter Chill</t>
        </is>
      </c>
      <c t="inlineStr" r="L699">
        <is>
          <t xml:space="preserve">-----</t>
        </is>
      </c>
    </row>
    <row r="700">
      <c t="str" r="A700" s="4">
        <f>HYPERLINK("https://linkbusiness.com/businesses-for-sale/RL00241/Very-Profitable-Exhaust-Hood-and-Fire-Protection-Service","RL00241")</f>
      </c>
      <c t="inlineStr" r="B700">
        <is>
          <t xml:space="preserve">Very Profitable Exhaust Hood and Fire Protection Service</t>
        </is>
      </c>
      <c r="C700" s="63">
        <v>610000</v>
      </c>
      <c r="D700" s="63">
        <v>30731800</v>
      </c>
      <c t="inlineStr" r="E700">
        <is>
          <t xml:space="preserve">Coastal Plain</t>
        </is>
      </c>
      <c r="F700" s="65">
        <v>0</v>
      </c>
      <c r="G700" s="63">
        <v>275000</v>
      </c>
      <c t="inlineStr" r="H700">
        <is>
          <t xml:space="preserve">Administrative &amp; Support &amp; Waste Management &amp; Remediation Services</t>
        </is>
      </c>
      <c t="inlineStr" r="I700">
        <is>
          <t xml:space="preserve">Administrative and Support Services</t>
        </is>
      </c>
      <c t="inlineStr" r="J700">
        <is>
          <t xml:space="preserve">David Buboltz</t>
        </is>
      </c>
      <c t="inlineStr" r="L700">
        <is>
          <t xml:space="preserve">-----</t>
        </is>
      </c>
    </row>
    <row r="701">
      <c t="str" r="A701" s="4">
        <f>HYPERLINK("https://linkbusiness.com/businesses-for-sale/RL00242/Long-Established-Boat-Repair-and-Dealership-in-an-Excellent-Location","RL00242")</f>
      </c>
      <c t="inlineStr" r="B701">
        <is>
          <t xml:space="preserve">Long Established Boat Repair and Dealership in an Excellent Location</t>
        </is>
      </c>
      <c r="C701" s="63">
        <v>175000</v>
      </c>
      <c r="D701" s="63">
        <v>8816500</v>
      </c>
      <c t="inlineStr" r="E701">
        <is>
          <t xml:space="preserve">Coastal Plain</t>
        </is>
      </c>
      <c r="F701" s="65">
        <v>0</v>
      </c>
      <c r="G701" s="63">
        <v>75598</v>
      </c>
      <c t="inlineStr" r="H701">
        <is>
          <t xml:space="preserve">Retail Trade</t>
        </is>
      </c>
      <c t="inlineStr" r="I701">
        <is>
          <t xml:space="preserve">Motor Vehicle and Parts Dealers</t>
        </is>
      </c>
      <c t="inlineStr" r="J701">
        <is>
          <t xml:space="preserve">Carter Chill</t>
        </is>
      </c>
      <c t="inlineStr" r="L701">
        <is>
          <t xml:space="preserve">-----</t>
        </is>
      </c>
    </row>
    <row r="702">
      <c t="str" r="A702" s="4">
        <f>HYPERLINK("https://linkbusiness.com/businesses-for-sale/RL00248/Profitable%2c-Decorative-Curbing%2c-Border-and-Existing-Concrete-Accent-Business","RL00248")</f>
      </c>
      <c t="inlineStr" r="B702">
        <is>
          <t xml:space="preserve">Profitable, Decorative Curbing, Border and Existing Concrete Accent Business</t>
        </is>
      </c>
      <c r="C702" s="63">
        <v>350000</v>
      </c>
      <c r="D702" s="63">
        <v>17633000</v>
      </c>
      <c t="inlineStr" r="E702">
        <is>
          <t xml:space="preserve">Triangle Area</t>
        </is>
      </c>
      <c r="F702" s="65">
        <v>0</v>
      </c>
      <c r="G702" s="65">
        <v>0</v>
      </c>
      <c t="inlineStr" r="H702">
        <is>
          <t xml:space="preserve">Administrative &amp; Support &amp; Waste Management &amp; Remediation Services</t>
        </is>
      </c>
      <c t="inlineStr" r="I702">
        <is>
          <t xml:space="preserve">Administrative and Support Services</t>
        </is>
      </c>
      <c t="inlineStr" r="J702">
        <is>
          <t xml:space="preserve">Carter Chill</t>
        </is>
      </c>
      <c t="inlineStr" r="L702">
        <is>
          <t xml:space="preserve">-----</t>
        </is>
      </c>
    </row>
    <row r="703">
      <c t="str" r="A703" s="4">
        <f>HYPERLINK("https://linkbusiness.com/businesses-for-sale/RL00249/Profitable-Kitchen-and-Bath-Remodeling-Fabricating-Company","RL00249")</f>
      </c>
      <c t="inlineStr" r="B703">
        <is>
          <t xml:space="preserve">Profitable Kitchen and Bath Remodeling Fabricating Company</t>
        </is>
      </c>
      <c r="C703" s="63">
        <v>110000</v>
      </c>
      <c r="D703" s="63">
        <v>5541800</v>
      </c>
      <c t="inlineStr" r="E703">
        <is>
          <t xml:space="preserve">Coastal Plain</t>
        </is>
      </c>
      <c r="F703" s="65">
        <v>0</v>
      </c>
      <c r="G703" s="63">
        <v>50000</v>
      </c>
      <c t="inlineStr" r="H703">
        <is>
          <t xml:space="preserve">Manufacturing</t>
        </is>
      </c>
      <c t="inlineStr" r="I703">
        <is>
          <t xml:space="preserve">Nonmetallic Mineral Product Manufacturing</t>
        </is>
      </c>
      <c t="inlineStr" r="J703">
        <is>
          <t xml:space="preserve">David Buboltz</t>
        </is>
      </c>
      <c t="inlineStr" r="L703">
        <is>
          <t xml:space="preserve">-----</t>
        </is>
      </c>
    </row>
    <row r="704">
      <c t="str" r="A704" s="4">
        <f>HYPERLINK("https://linkbusiness.com/businesses-for-sale/RL00251/Profitable-Flooring-Business","RL00251")</f>
      </c>
      <c t="inlineStr" r="B704">
        <is>
          <t xml:space="preserve">Profitable Flooring Business</t>
        </is>
      </c>
      <c r="C704" s="63">
        <v>150000</v>
      </c>
      <c r="D704" s="63">
        <v>7557000</v>
      </c>
      <c t="inlineStr" r="E704">
        <is>
          <t xml:space="preserve">Triangle Area</t>
        </is>
      </c>
      <c r="F704" s="65">
        <v>0</v>
      </c>
      <c r="G704" s="63">
        <v>97000</v>
      </c>
      <c t="inlineStr" r="H704">
        <is>
          <t xml:space="preserve">Construction</t>
        </is>
      </c>
      <c t="inlineStr" r="I704">
        <is>
          <t xml:space="preserve">Specialty Trade Contractors</t>
        </is>
      </c>
      <c t="inlineStr" r="J704">
        <is>
          <t xml:space="preserve">Carter Chill</t>
        </is>
      </c>
      <c t="inlineStr" r="L704">
        <is>
          <t xml:space="preserve">-----</t>
        </is>
      </c>
    </row>
    <row r="705">
      <c t="str" r="A705" s="4">
        <f>HYPERLINK("https://linkbusiness.com/businesses-for-sale/RL00253/Interior-Design-Studio-with-Well-Trained-Staff","RL00253")</f>
      </c>
      <c t="inlineStr" r="B705">
        <is>
          <t xml:space="preserve">Interior Design Studio with Well Trained Staff</t>
        </is>
      </c>
      <c r="C705" s="63">
        <v>165000</v>
      </c>
      <c r="D705" s="63">
        <v>8312700</v>
      </c>
      <c t="inlineStr" r="E705">
        <is>
          <t xml:space="preserve">Wake County</t>
        </is>
      </c>
      <c r="F705" s="65">
        <v>0</v>
      </c>
      <c r="G705" s="65">
        <v>0</v>
      </c>
      <c t="inlineStr" r="H705">
        <is>
          <t xml:space="preserve">Interior decorating consultant services</t>
        </is>
      </c>
      <c t="inlineStr" r="I705">
        <is>
          <t xml:space="preserve">&lt;none&gt;</t>
        </is>
      </c>
      <c t="inlineStr" r="J705">
        <is>
          <t xml:space="preserve">David Buboltz</t>
        </is>
      </c>
      <c t="inlineStr" r="L705">
        <is>
          <t xml:space="preserve">-----</t>
        </is>
      </c>
    </row>
    <row r="706">
      <c t="str" r="A706" s="4">
        <f>HYPERLINK("https://linkbusiness.com/businesses-for-sale/RL00254/Not-Just-Another-Food-Truck","RL00254")</f>
      </c>
      <c t="inlineStr" r="B706">
        <is>
          <t xml:space="preserve">Not Just Another Food Truck</t>
        </is>
      </c>
      <c r="C706" s="63">
        <v>80000</v>
      </c>
      <c r="D706" s="63">
        <v>4030400</v>
      </c>
      <c t="inlineStr" r="E706">
        <is>
          <t xml:space="preserve">Triangle Area</t>
        </is>
      </c>
      <c r="F706" s="65">
        <v>0</v>
      </c>
      <c r="G706" s="63">
        <v>50000</v>
      </c>
      <c t="inlineStr" r="H706">
        <is>
          <t xml:space="preserve">Food Services and Drinking Places</t>
        </is>
      </c>
      <c t="inlineStr" r="I706">
        <is>
          <t xml:space="preserve">Restaurants, carryout</t>
        </is>
      </c>
      <c t="inlineStr" r="J706">
        <is>
          <t xml:space="preserve">Carter Chill</t>
        </is>
      </c>
      <c t="inlineStr" r="L706">
        <is>
          <t xml:space="preserve">-----</t>
        </is>
      </c>
    </row>
    <row r="707">
      <c t="str" r="A707" s="4">
        <f>HYPERLINK("https://linkbusiness.com/businesses-for-sale/RL00255/Longstanding-Automotive-Repair-Shop-in-Fantastic-Location","RL00255")</f>
      </c>
      <c t="inlineStr" r="B707">
        <is>
          <t xml:space="preserve">Longstanding Automotive Repair Shop in Fantastic Location</t>
        </is>
      </c>
      <c r="C707" s="63">
        <v>230000</v>
      </c>
      <c r="D707" s="63">
        <v>11587400</v>
      </c>
      <c t="inlineStr" r="E707">
        <is>
          <t xml:space="preserve">Wake County</t>
        </is>
      </c>
      <c r="F707" s="65">
        <v>0</v>
      </c>
      <c r="G707" s="63">
        <v>75863</v>
      </c>
      <c t="inlineStr" r="H707">
        <is>
          <t xml:space="preserve">Other Services (except public administration)</t>
        </is>
      </c>
      <c t="inlineStr" r="I707">
        <is>
          <t xml:space="preserve">Repair and Maintenance</t>
        </is>
      </c>
      <c t="inlineStr" r="J707">
        <is>
          <t xml:space="preserve">David Buboltz</t>
        </is>
      </c>
      <c t="inlineStr" r="L707">
        <is>
          <t xml:space="preserve">-----</t>
        </is>
      </c>
    </row>
    <row r="708">
      <c t="str" r="A708" s="4">
        <f>HYPERLINK("https://linkbusiness.com/businesses-for-sale/RL00257/Ideal-Location-for-a-Massage-Experience","RL00257")</f>
      </c>
      <c t="inlineStr" r="B708">
        <is>
          <t xml:space="preserve">Ideal Location for a Massage Experience</t>
        </is>
      </c>
      <c r="C708" s="63">
        <v>220000</v>
      </c>
      <c r="D708" s="63">
        <v>11083600</v>
      </c>
      <c t="inlineStr" r="E708">
        <is>
          <t xml:space="preserve">Triangle Area</t>
        </is>
      </c>
      <c r="F708" s="65">
        <v>0</v>
      </c>
      <c r="G708" s="63">
        <v>116940</v>
      </c>
      <c t="inlineStr" r="H708">
        <is>
          <t xml:space="preserve">Other Services (except public administration)</t>
        </is>
      </c>
      <c t="inlineStr" r="I708">
        <is>
          <t xml:space="preserve">Personal Care Services</t>
        </is>
      </c>
      <c t="inlineStr" r="J708">
        <is>
          <t xml:space="preserve">David Buboltz</t>
        </is>
      </c>
      <c t="inlineStr" r="L708">
        <is>
          <t xml:space="preserve">-----</t>
        </is>
      </c>
    </row>
    <row r="709">
      <c t="str" r="A709" s="4">
        <f>HYPERLINK("https://linkbusiness.com/businesses-for-sale/RL00262/High-End%2c-Fashion-Forward%2c-Consignment-Retail-Boutique","RL00262")</f>
      </c>
      <c t="inlineStr" r="B709">
        <is>
          <t xml:space="preserve">High End, Fashion Forward, Consignment Retail Boutique</t>
        </is>
      </c>
      <c r="C709" s="63">
        <v>120000</v>
      </c>
      <c r="D709" s="63">
        <v>6045600</v>
      </c>
      <c t="inlineStr" r="E709">
        <is>
          <t xml:space="preserve">Sandhills</t>
        </is>
      </c>
      <c r="F709" s="65">
        <v>0</v>
      </c>
      <c r="G709" s="63">
        <v>85573</v>
      </c>
      <c t="inlineStr" r="H709">
        <is>
          <t xml:space="preserve">Retail Trade</t>
        </is>
      </c>
      <c t="inlineStr" r="I709">
        <is>
          <t xml:space="preserve">Miscellaneous Store Retailers</t>
        </is>
      </c>
      <c t="inlineStr" r="J709">
        <is>
          <t xml:space="preserve">Carter Chill</t>
        </is>
      </c>
      <c t="inlineStr" r="L709">
        <is>
          <t xml:space="preserve">-----</t>
        </is>
      </c>
    </row>
    <row r="710">
      <c t="str" r="A710" s="4">
        <f>HYPERLINK("https://linkbusiness.com/businesses-for-sale/RL00264/Must-See!--Towing%2c-Truck-Repair%2c-and-Body-shop","RL00264")</f>
      </c>
      <c t="inlineStr" r="B710">
        <is>
          <t xml:space="preserve">Must See!  Towing, Truck Repair, and Body shop</t>
        </is>
      </c>
      <c r="C710" s="63">
        <v>1300000</v>
      </c>
      <c r="D710" s="63">
        <v>65494000</v>
      </c>
      <c t="inlineStr" r="E710">
        <is>
          <t xml:space="preserve">North Carolina</t>
        </is>
      </c>
      <c r="F710" s="65">
        <v>0</v>
      </c>
      <c r="G710" s="63">
        <v>383000</v>
      </c>
      <c t="inlineStr" r="H710">
        <is>
          <t xml:space="preserve">Transportation &amp; Warehousing</t>
        </is>
      </c>
      <c t="inlineStr" r="I710">
        <is>
          <t xml:space="preserve">&lt;none&gt;</t>
        </is>
      </c>
      <c t="inlineStr" r="J710">
        <is>
          <t xml:space="preserve">David Buboltz</t>
        </is>
      </c>
      <c t="inlineStr" r="L710">
        <is>
          <t xml:space="preserve">-----</t>
        </is>
      </c>
    </row>
    <row r="711">
      <c t="str" r="A711" s="4">
        <f>HYPERLINK("https://linkbusiness.com/businesses-for-sale/RL00266/GOLF-Still-making-money-in-AL-20%25-Opportunity-No-Pandemic-Here!","RL00266")</f>
      </c>
      <c t="inlineStr" r="B711">
        <is>
          <t xml:space="preserve">GOLF Still making money in AL. 20% Opportunity. No Pandemic Here!</t>
        </is>
      </c>
      <c r="C711" s="63">
        <v>925000</v>
      </c>
      <c r="D711" s="63">
        <v>46601500</v>
      </c>
      <c t="inlineStr" r="E711">
        <is>
          <t xml:space="preserve">Alabama</t>
        </is>
      </c>
      <c r="F711" s="65">
        <v>0</v>
      </c>
      <c r="G711" s="63">
        <v>185000</v>
      </c>
      <c t="inlineStr" r="H711">
        <is>
          <t xml:space="preserve">Arts, Entertainment &amp; Recreation</t>
        </is>
      </c>
      <c t="inlineStr" r="I711">
        <is>
          <t xml:space="preserve">Amusement, Gambling, and Recreation Industries</t>
        </is>
      </c>
      <c t="inlineStr" r="J711">
        <is>
          <t xml:space="preserve">Doug Morris</t>
        </is>
      </c>
      <c t="inlineStr" r="L711">
        <is>
          <t xml:space="preserve">-----</t>
        </is>
      </c>
    </row>
    <row r="712">
      <c t="str" r="A712" s="4">
        <f>HYPERLINK("https://linkbusiness.com/businesses-for-sale/RL00267/Simple-life-Buy-this-small-TN-town-with-big-service-hardware-store","RL00267")</f>
      </c>
      <c t="inlineStr" r="B712">
        <is>
          <t xml:space="preserve">Simple life? Buy this small TN town with big service hardware store</t>
        </is>
      </c>
      <c r="C712" s="63">
        <v>250000</v>
      </c>
      <c r="D712" s="63">
        <v>12595000</v>
      </c>
      <c t="inlineStr" r="E712">
        <is>
          <t xml:space="preserve">Tennessee</t>
        </is>
      </c>
      <c r="F712" s="65">
        <v>0</v>
      </c>
      <c r="G712" s="63">
        <v>45000</v>
      </c>
      <c t="inlineStr" r="H712">
        <is>
          <t xml:space="preserve">Retail Trade</t>
        </is>
      </c>
      <c t="inlineStr" r="I712">
        <is>
          <t xml:space="preserve">Building Material and Garden Equipment and Supplies Dealers</t>
        </is>
      </c>
      <c t="inlineStr" r="J712">
        <is>
          <t xml:space="preserve">Doug Morris</t>
        </is>
      </c>
      <c t="inlineStr" r="L712">
        <is>
          <t xml:space="preserve">-----</t>
        </is>
      </c>
    </row>
    <row r="713">
      <c t="str" r="A713" s="4">
        <f>HYPERLINK("https://linkbusiness.com/businesses-for-sale/RL00269/Profitable%2c-Established-Oriental-Rug-Retail-Business-with-Cleaning%252fRestoration-Income","RL00269")</f>
      </c>
      <c t="inlineStr" r="B713">
        <is>
          <t xml:space="preserve">Profitable, Established Oriental Rug Retail Business with Cleaning/Restoration Income</t>
        </is>
      </c>
      <c r="C713" s="63">
        <v>175000</v>
      </c>
      <c r="D713" s="63">
        <v>8816500</v>
      </c>
      <c t="inlineStr" r="E713">
        <is>
          <t xml:space="preserve">Triangle Area</t>
        </is>
      </c>
      <c r="F713" s="65">
        <v>0</v>
      </c>
      <c r="G713" s="63">
        <v>82973</v>
      </c>
      <c t="inlineStr" r="H713">
        <is>
          <t xml:space="preserve">Retail Trade</t>
        </is>
      </c>
      <c t="inlineStr" r="I713">
        <is>
          <t xml:space="preserve">Furniture and Home Furnishings Stores</t>
        </is>
      </c>
      <c t="inlineStr" r="J713">
        <is>
          <t xml:space="preserve">Carter Chill</t>
        </is>
      </c>
      <c t="inlineStr" r="L713">
        <is>
          <t xml:space="preserve">-----</t>
        </is>
      </c>
    </row>
    <row r="714">
      <c t="str" r="A714" s="4">
        <f>HYPERLINK("https://linkbusiness.com/businesses-for-sale/RL00270/Proven%2c-Profitable%2c-High-Tech-Market-Distribution-Business","RL00270")</f>
      </c>
      <c t="inlineStr" r="B714">
        <is>
          <t xml:space="preserve">Proven, Profitable, High Tech Market Distribution Business</t>
        </is>
      </c>
      <c r="C714" s="63">
        <v>1800000</v>
      </c>
      <c r="D714" s="63">
        <v>90684000</v>
      </c>
      <c t="inlineStr" r="E714">
        <is>
          <t xml:space="preserve">North Carolina</t>
        </is>
      </c>
      <c r="F714" s="65">
        <v>0</v>
      </c>
      <c r="G714" s="63">
        <v>654905</v>
      </c>
      <c t="inlineStr" r="H714">
        <is>
          <t xml:space="preserve">Merchant Wholesalers, Nondurable Goods</t>
        </is>
      </c>
      <c t="inlineStr" r="I714">
        <is>
          <t xml:space="preserve">&lt;none&gt;</t>
        </is>
      </c>
      <c t="inlineStr" r="J714">
        <is>
          <t xml:space="preserve">Carter Chill</t>
        </is>
      </c>
      <c t="inlineStr" r="L714">
        <is>
          <t xml:space="preserve">-----</t>
        </is>
      </c>
    </row>
    <row r="715">
      <c t="str" r="A715" s="4">
        <f>HYPERLINK("https://linkbusiness.com/businesses-for-sale/RL00272/Well-Positioned%2c-Specialized-Construction-Company-with-%244M%2b-SDE","RL00272")</f>
      </c>
      <c t="inlineStr" r="B715">
        <is>
          <t xml:space="preserve">Well Positioned, Specialized Construction Company with $4M+ SDE</t>
        </is>
      </c>
      <c r="C715" s="63">
        <v>16000000</v>
      </c>
      <c r="D715" s="63">
        <v>806080000</v>
      </c>
      <c t="inlineStr" r="E715">
        <is>
          <t xml:space="preserve">Triangle Area</t>
        </is>
      </c>
      <c r="F715" s="65">
        <v>0</v>
      </c>
      <c r="G715" s="63">
        <v>4015737</v>
      </c>
      <c t="inlineStr" r="H715">
        <is>
          <t xml:space="preserve">Construction</t>
        </is>
      </c>
      <c t="inlineStr" r="I715">
        <is>
          <t xml:space="preserve">Specialty Trade Contractors</t>
        </is>
      </c>
      <c t="inlineStr" r="J715">
        <is>
          <t xml:space="preserve">David Buboltz</t>
        </is>
      </c>
      <c t="inlineStr" r="L715">
        <is>
          <t xml:space="preserve">-----</t>
        </is>
      </c>
    </row>
    <row r="716">
      <c t="str" r="A716" s="4">
        <f>HYPERLINK("https://linkbusiness.com/businesses-for-sale/RL00273/Very-Profitable-Restoration-Business--MUST-SELL-NOW","RL00273")</f>
      </c>
      <c t="inlineStr" r="B716">
        <is>
          <t xml:space="preserve">Very Profitable Restoration Business  MUST SELL NOW</t>
        </is>
      </c>
      <c r="C716" s="63">
        <v>290000</v>
      </c>
      <c r="D716" s="63">
        <v>14610200</v>
      </c>
      <c t="inlineStr" r="E716">
        <is>
          <t xml:space="preserve">Triangle Area</t>
        </is>
      </c>
      <c r="F716" s="65">
        <v>0</v>
      </c>
      <c r="G716" s="65">
        <v>0</v>
      </c>
      <c t="inlineStr" r="H716">
        <is>
          <t xml:space="preserve">Administrative &amp; Support &amp; Waste Management &amp; Remediation Services</t>
        </is>
      </c>
      <c t="inlineStr" r="I716">
        <is>
          <t xml:space="preserve">&lt;none&gt;</t>
        </is>
      </c>
      <c t="inlineStr" r="J716">
        <is>
          <t xml:space="preserve">David Buboltz</t>
        </is>
      </c>
      <c t="inlineStr" r="L716">
        <is>
          <t xml:space="preserve">-----</t>
        </is>
      </c>
    </row>
    <row r="717">
      <c t="str" r="A717" s="4">
        <f>HYPERLINK("https://linkbusiness.com/businesses-for-sale/RL00274/Profitable-Gym-Franchise-with-Two-Locations--MUST-SELL-NOW","RL00274")</f>
      </c>
      <c t="inlineStr" r="B717">
        <is>
          <t xml:space="preserve">Profitable Gym Franchise with Two Locations.  MUST SELL NOW.</t>
        </is>
      </c>
      <c r="C717" s="63">
        <v>70000</v>
      </c>
      <c r="D717" s="63">
        <v>3526600</v>
      </c>
      <c t="inlineStr" r="E717">
        <is>
          <t xml:space="preserve">Triangle Area</t>
        </is>
      </c>
      <c r="F717" s="65">
        <v>0</v>
      </c>
      <c r="G717" s="63">
        <v>73000</v>
      </c>
      <c t="inlineStr" r="H717">
        <is>
          <t xml:space="preserve">Arts, Entertainment &amp; Recreation</t>
        </is>
      </c>
      <c t="inlineStr" r="I717">
        <is>
          <t xml:space="preserve">&lt;none&gt;</t>
        </is>
      </c>
      <c t="inlineStr" r="J717">
        <is>
          <t xml:space="preserve">David Buboltz</t>
        </is>
      </c>
      <c t="inlineStr" r="L717">
        <is>
          <t xml:space="preserve">-----</t>
        </is>
      </c>
    </row>
    <row r="718">
      <c t="str" r="A718" s="4">
        <f>HYPERLINK("https://linkbusiness.com/businesses-for-sale/RL00276/Long-Established-Boat-Manufacturer-%e2%80%93-Great-Equipment-and-Real-Estate","RL00276")</f>
      </c>
      <c t="inlineStr" r="B718">
        <is>
          <t xml:space="preserve">Long Established Boat Manufacturer – Great Equipment and Real Estate</t>
        </is>
      </c>
      <c r="C718" s="65">
        <v>0</v>
      </c>
      <c r="D718" s="65">
        <v>0</v>
      </c>
      <c t="inlineStr" r="E718">
        <is>
          <t xml:space="preserve">North Carolina</t>
        </is>
      </c>
      <c r="F718" s="65">
        <v>0</v>
      </c>
      <c r="G718" s="65">
        <v>0</v>
      </c>
      <c t="inlineStr" r="H718">
        <is>
          <t xml:space="preserve">Manufacturing</t>
        </is>
      </c>
      <c t="inlineStr" r="I718">
        <is>
          <t xml:space="preserve">&lt;none&gt;</t>
        </is>
      </c>
      <c t="inlineStr" r="J718">
        <is>
          <t xml:space="preserve">David Buboltz</t>
        </is>
      </c>
      <c t="inlineStr" r="L718">
        <is>
          <t xml:space="preserve">Refer to Broker</t>
        </is>
      </c>
    </row>
    <row r="719">
      <c t="str" r="A719" s="4">
        <f>HYPERLINK("https://linkbusiness.com/businesses-for-sale/SD0004/Beautiful-Indian-Restaurant-For-Sale","SD0004")</f>
      </c>
      <c t="inlineStr" r="B719">
        <is>
          <t xml:space="preserve">Beautiful Indian Restaurant For Sale</t>
        </is>
      </c>
      <c r="C719" s="63">
        <v>125000</v>
      </c>
      <c r="D719" s="63">
        <v>6297500</v>
      </c>
      <c t="inlineStr" r="E719">
        <is>
          <t xml:space="preserve">-----</t>
        </is>
      </c>
      <c r="F719" s="65">
        <v>0</v>
      </c>
      <c r="G719" s="65">
        <v>0</v>
      </c>
      <c t="inlineStr" r="H719">
        <is>
          <t xml:space="preserve">Food Services and Drinking Places</t>
        </is>
      </c>
      <c t="inlineStr" r="I719">
        <is>
          <t xml:space="preserve">&lt;none&gt;</t>
        </is>
      </c>
      <c t="inlineStr" r="L719">
        <is>
          <t xml:space="preserve">-----</t>
        </is>
      </c>
    </row>
    <row r="720">
      <c t="str" r="A720" s="4">
        <f>HYPERLINK("https://linkbusiness.com/businesses-for-sale/SD00043/Freestanding-Profitable-Coffee-House","SD00043")</f>
      </c>
      <c t="inlineStr" r="B720">
        <is>
          <t xml:space="preserve">Freestanding Profitable Coffee House</t>
        </is>
      </c>
      <c r="C720" s="63">
        <v>295000</v>
      </c>
      <c r="D720" s="63">
        <v>14862100</v>
      </c>
      <c t="inlineStr" r="E720">
        <is>
          <t xml:space="preserve">San Diego County</t>
        </is>
      </c>
      <c r="F720" s="65">
        <v>0</v>
      </c>
      <c r="G720" s="65">
        <v>0</v>
      </c>
      <c t="inlineStr" r="H720">
        <is>
          <t xml:space="preserve">&lt;none&gt;</t>
        </is>
      </c>
      <c t="inlineStr" r="I720">
        <is>
          <t xml:space="preserve">&lt;none&gt;</t>
        </is>
      </c>
      <c t="inlineStr" r="L720">
        <is>
          <t xml:space="preserve">-----</t>
        </is>
      </c>
    </row>
    <row r="721">
      <c t="str" r="A721" s="4">
        <f>HYPERLINK("https://linkbusiness.com/businesses-for-sale/SD00049/San-Diego-Watersports-Company","SD00049")</f>
      </c>
      <c t="inlineStr" r="B721">
        <is>
          <t xml:space="preserve">San Diego Watersports Company</t>
        </is>
      </c>
      <c r="C721" s="63">
        <v>49000</v>
      </c>
      <c r="D721" s="63">
        <v>2468620</v>
      </c>
      <c t="inlineStr" r="E721">
        <is>
          <t xml:space="preserve">San Diego County</t>
        </is>
      </c>
      <c r="F721" s="65">
        <v>0</v>
      </c>
      <c r="G721" s="65">
        <v>0</v>
      </c>
      <c t="inlineStr" r="H721">
        <is>
          <t xml:space="preserve">&lt;none&gt;</t>
        </is>
      </c>
      <c t="inlineStr" r="I721">
        <is>
          <t xml:space="preserve">&lt;none&gt;</t>
        </is>
      </c>
      <c t="inlineStr" r="L721">
        <is>
          <t xml:space="preserve">-----</t>
        </is>
      </c>
    </row>
    <row r="722">
      <c t="str" r="A722" s="4">
        <f>HYPERLINK("https://linkbusiness.com/businesses-for-sale/SD00051/Popular-Surf-Boutique-Near-Beach","SD00051")</f>
      </c>
      <c t="inlineStr" r="B722">
        <is>
          <t xml:space="preserve">Popular Surf Boutique Near Beach</t>
        </is>
      </c>
      <c r="C722" s="63">
        <v>150000</v>
      </c>
      <c r="D722" s="63">
        <v>7557000</v>
      </c>
      <c t="inlineStr" r="E722">
        <is>
          <t xml:space="preserve">Orange County</t>
        </is>
      </c>
      <c r="F722" s="65">
        <v>0</v>
      </c>
      <c r="G722" s="65">
        <v>0</v>
      </c>
      <c t="inlineStr" r="H722">
        <is>
          <t xml:space="preserve">Retail Trade</t>
        </is>
      </c>
      <c t="inlineStr" r="I722">
        <is>
          <t xml:space="preserve">&lt;none&gt;</t>
        </is>
      </c>
      <c t="inlineStr" r="L722">
        <is>
          <t xml:space="preserve">-----</t>
        </is>
      </c>
    </row>
    <row r="723">
      <c t="str" r="A723" s="4">
        <f>HYPERLINK("https://linkbusiness.com/businesses-for-sale/SD00052/Profitable-Fitness-Boxing-Gym-Franchise","SD00052")</f>
      </c>
      <c t="inlineStr" r="B723">
        <is>
          <t xml:space="preserve">Profitable Fitness Boxing Gym Franchise</t>
        </is>
      </c>
      <c r="C723" s="63">
        <v>175000</v>
      </c>
      <c r="D723" s="63">
        <v>8816500</v>
      </c>
      <c t="inlineStr" r="E723">
        <is>
          <t xml:space="preserve">San Diego County</t>
        </is>
      </c>
      <c r="F723" s="65">
        <v>0</v>
      </c>
      <c r="G723" s="65">
        <v>0</v>
      </c>
      <c t="inlineStr" r="H723">
        <is>
          <t xml:space="preserve">&lt;none&gt;</t>
        </is>
      </c>
      <c t="inlineStr" r="I723">
        <is>
          <t xml:space="preserve">&lt;none&gt;</t>
        </is>
      </c>
      <c t="inlineStr" r="L723">
        <is>
          <t xml:space="preserve">-----</t>
        </is>
      </c>
    </row>
    <row r="724">
      <c t="str" r="A724" s="4">
        <f>HYPERLINK("https://linkbusiness.com/businesses-for-sale/SD00054/Coastal-San-Diego-Yoga-Studio","SD00054")</f>
      </c>
      <c t="inlineStr" r="B724">
        <is>
          <t xml:space="preserve">Coastal San Diego Yoga Studio</t>
        </is>
      </c>
      <c r="C724" s="63">
        <v>60000</v>
      </c>
      <c r="D724" s="63">
        <v>3022800</v>
      </c>
      <c t="inlineStr" r="E724">
        <is>
          <t xml:space="preserve">San Diego County</t>
        </is>
      </c>
      <c r="F724" s="65">
        <v>0</v>
      </c>
      <c r="G724" s="65">
        <v>0</v>
      </c>
      <c t="inlineStr" r="H724">
        <is>
          <t xml:space="preserve">&lt;none&gt;</t>
        </is>
      </c>
      <c t="inlineStr" r="I724">
        <is>
          <t xml:space="preserve">&lt;none&gt;</t>
        </is>
      </c>
      <c t="inlineStr" r="L724">
        <is>
          <t xml:space="preserve">-----</t>
        </is>
      </c>
    </row>
    <row r="725">
      <c t="str" r="A725" s="4">
        <f>HYPERLINK("https://linkbusiness.com/businesses-for-sale/SD00055/North-County-San-Diego-Coastal-Restaurant","SD00055")</f>
      </c>
      <c t="inlineStr" r="B725">
        <is>
          <t xml:space="preserve">North County San Diego Coastal Restaurant</t>
        </is>
      </c>
      <c r="C725" s="63">
        <v>150000</v>
      </c>
      <c r="D725" s="63">
        <v>7557000</v>
      </c>
      <c t="inlineStr" r="E725">
        <is>
          <t xml:space="preserve">San Diego County</t>
        </is>
      </c>
      <c r="F725" s="65">
        <v>0</v>
      </c>
      <c r="G725" s="65">
        <v>0</v>
      </c>
      <c t="inlineStr" r="H725">
        <is>
          <t xml:space="preserve">Restaurant</t>
        </is>
      </c>
      <c t="inlineStr" r="I725">
        <is>
          <t xml:space="preserve">&lt;none&gt;</t>
        </is>
      </c>
      <c t="inlineStr" r="L725">
        <is>
          <t xml:space="preserve">-----</t>
        </is>
      </c>
    </row>
    <row r="726">
      <c t="str" r="A726" s="4">
        <f>HYPERLINK("https://linkbusiness.com/businesses-for-sale/SD00056/Salon-and-Day-Spa-South-Orange-County","SD00056")</f>
      </c>
      <c t="inlineStr" r="B726">
        <is>
          <t xml:space="preserve">Salon and Day Spa South Orange County</t>
        </is>
      </c>
      <c r="C726" s="63">
        <v>475000</v>
      </c>
      <c r="D726" s="63">
        <v>23930500</v>
      </c>
      <c t="inlineStr" r="E726">
        <is>
          <t xml:space="preserve">Orange County</t>
        </is>
      </c>
      <c r="F726" s="65">
        <v>0</v>
      </c>
      <c r="G726" s="65">
        <v>0</v>
      </c>
      <c t="inlineStr" r="H726">
        <is>
          <t xml:space="preserve">Other Services (except public administration)</t>
        </is>
      </c>
      <c t="inlineStr" r="I726">
        <is>
          <t xml:space="preserve">Personal Care Services</t>
        </is>
      </c>
      <c t="inlineStr" r="L726">
        <is>
          <t xml:space="preserve">-----</t>
        </is>
      </c>
    </row>
    <row r="727">
      <c t="str" r="A727" s="4">
        <f>HYPERLINK("https://linkbusiness.com/businesses-for-sale/SD00058/Trend-Setting-Boutique-San-Juan-Capistrano","SD00058")</f>
      </c>
      <c t="inlineStr" r="B727">
        <is>
          <t xml:space="preserve">Trend Setting Boutique San Juan Capistrano</t>
        </is>
      </c>
      <c r="C727" s="63">
        <v>99000</v>
      </c>
      <c r="D727" s="63">
        <v>4987620</v>
      </c>
      <c t="inlineStr" r="E727">
        <is>
          <t xml:space="preserve">Orange County</t>
        </is>
      </c>
      <c r="F727" s="65">
        <v>0</v>
      </c>
      <c r="G727" s="65">
        <v>0</v>
      </c>
      <c t="inlineStr" r="H727">
        <is>
          <t xml:space="preserve">Retail Trade</t>
        </is>
      </c>
      <c t="inlineStr" r="I727">
        <is>
          <t xml:space="preserve">General Merchandise Stores</t>
        </is>
      </c>
      <c t="inlineStr" r="L727">
        <is>
          <t xml:space="preserve">-----</t>
        </is>
      </c>
    </row>
    <row r="728">
      <c t="str" r="A728" s="4">
        <f>HYPERLINK("https://linkbusiness.com/businesses-for-sale/SD00065/High-Visibility-Restaurant-in-Neighborhood-Community","SD00065")</f>
      </c>
      <c t="inlineStr" r="B728">
        <is>
          <t xml:space="preserve">High Visibility Restaurant in Neighborhood Community</t>
        </is>
      </c>
      <c r="C728" s="63">
        <v>85000</v>
      </c>
      <c r="D728" s="63">
        <v>4282300</v>
      </c>
      <c t="inlineStr" r="E728">
        <is>
          <t xml:space="preserve">San Diego County</t>
        </is>
      </c>
      <c r="F728" s="65">
        <v>0</v>
      </c>
      <c r="G728" s="65">
        <v>0</v>
      </c>
      <c t="inlineStr" r="H728">
        <is>
          <t xml:space="preserve">Restaurant</t>
        </is>
      </c>
      <c t="inlineStr" r="I728">
        <is>
          <t xml:space="preserve">Food Services and Drinking Places</t>
        </is>
      </c>
      <c t="inlineStr" r="L728">
        <is>
          <t xml:space="preserve">-----</t>
        </is>
      </c>
    </row>
    <row r="729">
      <c t="str" r="A729" s="4">
        <f>HYPERLINK("https://linkbusiness.com/businesses-for-sale/SD00070/Two-Dairy-Queen-Franchises","SD00070")</f>
      </c>
      <c t="inlineStr" r="B729">
        <is>
          <t xml:space="preserve">Two Dairy Queen Franchises</t>
        </is>
      </c>
      <c r="C729" s="63">
        <v>290000</v>
      </c>
      <c r="D729" s="63">
        <v>14610200</v>
      </c>
      <c t="inlineStr" r="E729">
        <is>
          <t xml:space="preserve">San Diego County</t>
        </is>
      </c>
      <c r="F729" s="65">
        <v>0</v>
      </c>
      <c r="G729" s="63">
        <v>100833</v>
      </c>
      <c t="inlineStr" r="H729">
        <is>
          <t xml:space="preserve">Restaurant</t>
        </is>
      </c>
      <c t="inlineStr" r="I729">
        <is>
          <t xml:space="preserve">Food Services and Drinking Places</t>
        </is>
      </c>
      <c t="inlineStr" r="L729">
        <is>
          <t xml:space="preserve">-----</t>
        </is>
      </c>
    </row>
    <row r="730">
      <c t="str" r="A730" s="4">
        <f>HYPERLINK("https://linkbusiness.com/businesses-for-sale/SD00076/Coastal-Carlsbad-Restaurant","SD00076")</f>
      </c>
      <c t="inlineStr" r="B730">
        <is>
          <t xml:space="preserve">Coastal Carlsbad Restaurant</t>
        </is>
      </c>
      <c r="C730" s="63">
        <v>175000</v>
      </c>
      <c r="D730" s="63">
        <v>8816500</v>
      </c>
      <c t="inlineStr" r="E730">
        <is>
          <t xml:space="preserve">San Diego County</t>
        </is>
      </c>
      <c r="F730" s="65">
        <v>0</v>
      </c>
      <c r="G730" s="65">
        <v>0</v>
      </c>
      <c t="inlineStr" r="H730">
        <is>
          <t xml:space="preserve">Restaurant</t>
        </is>
      </c>
      <c t="inlineStr" r="I730">
        <is>
          <t xml:space="preserve">Food Services and Drinking Places</t>
        </is>
      </c>
      <c t="inlineStr" r="L730">
        <is>
          <t xml:space="preserve">-----</t>
        </is>
      </c>
    </row>
    <row r="731">
      <c t="str" r="A731" s="4">
        <f>HYPERLINK("https://linkbusiness.com/businesses-for-sale/SD00077/Women%27s-Fashion-Boutique-North-County","SD00077")</f>
      </c>
      <c t="inlineStr" r="B731">
        <is>
          <t xml:space="preserve">Women's Fashion Boutique North County</t>
        </is>
      </c>
      <c r="C731" s="63">
        <v>60000</v>
      </c>
      <c r="D731" s="63">
        <v>3022800</v>
      </c>
      <c t="inlineStr" r="E731">
        <is>
          <t xml:space="preserve">San Diego County</t>
        </is>
      </c>
      <c r="F731" s="65">
        <v>0</v>
      </c>
      <c r="G731" s="65">
        <v>0</v>
      </c>
      <c t="inlineStr" r="H731">
        <is>
          <t xml:space="preserve">Retail Trade</t>
        </is>
      </c>
      <c t="inlineStr" r="I731">
        <is>
          <t xml:space="preserve">&lt;none&gt;</t>
        </is>
      </c>
      <c t="inlineStr" r="L731">
        <is>
          <t xml:space="preserve">-----</t>
        </is>
      </c>
    </row>
    <row r="732">
      <c t="str" r="A732" s="4">
        <f>HYPERLINK("https://linkbusiness.com/businesses-for-sale/SD00078/E-Commerce-Yacht-Apparel-and-Accessories-Business","SD00078")</f>
      </c>
      <c t="inlineStr" r="B732">
        <is>
          <t xml:space="preserve">E Commerce Yacht Apparel and Accessories Business</t>
        </is>
      </c>
      <c r="C732" s="63">
        <v>295000</v>
      </c>
      <c r="D732" s="63">
        <v>14862100</v>
      </c>
      <c t="inlineStr" r="E732">
        <is>
          <t xml:space="preserve">California</t>
        </is>
      </c>
      <c r="F732" s="65">
        <v>0</v>
      </c>
      <c r="G732" s="65">
        <v>0</v>
      </c>
      <c t="inlineStr" r="H732">
        <is>
          <t xml:space="preserve">Retail Trade</t>
        </is>
      </c>
      <c t="inlineStr" r="I732">
        <is>
          <t xml:space="preserve">Clothing and Clothing Accessories Stores</t>
        </is>
      </c>
      <c t="inlineStr" r="J732">
        <is>
          <t xml:space="preserve">Tom Burns</t>
        </is>
      </c>
      <c t="inlineStr" r="L732">
        <is>
          <t xml:space="preserve">-----</t>
        </is>
      </c>
    </row>
    <row r="733">
      <c t="str" r="A733" s="4">
        <f>HYPERLINK("https://linkbusiness.com/businesses-for-sale/SD00086/High-Society-Beachside-Women%27s-Boutique","SD00086")</f>
      </c>
      <c t="inlineStr" r="B733">
        <is>
          <t xml:space="preserve">High Society Beachside Women's Boutique</t>
        </is>
      </c>
      <c r="C733" s="63">
        <v>120000</v>
      </c>
      <c r="D733" s="63">
        <v>6045600</v>
      </c>
      <c t="inlineStr" r="E733">
        <is>
          <t xml:space="preserve">San Diego County</t>
        </is>
      </c>
      <c r="F733" s="65">
        <v>0</v>
      </c>
      <c r="G733" s="65">
        <v>0</v>
      </c>
      <c t="inlineStr" r="H733">
        <is>
          <t xml:space="preserve">Retail Trade</t>
        </is>
      </c>
      <c t="inlineStr" r="I733">
        <is>
          <t xml:space="preserve">Clothing and Clothing Accessories Stores</t>
        </is>
      </c>
      <c t="inlineStr" r="L733">
        <is>
          <t xml:space="preserve">-----</t>
        </is>
      </c>
    </row>
    <row r="734">
      <c t="str" r="A734" s="4">
        <f>HYPERLINK("https://linkbusiness.com/businesses-for-sale/SD00088/Profitable-Music%2c-Dance-and-Fitness-Facility","SD00088")</f>
      </c>
      <c t="inlineStr" r="B734">
        <is>
          <t xml:space="preserve">Profitable Music, Dance and Fitness Facility</t>
        </is>
      </c>
      <c r="C734" s="63">
        <v>45000</v>
      </c>
      <c r="D734" s="63">
        <v>2267100</v>
      </c>
      <c t="inlineStr" r="E734">
        <is>
          <t xml:space="preserve">San Diego County</t>
        </is>
      </c>
      <c r="F734" s="65">
        <v>0</v>
      </c>
      <c r="G734" s="65">
        <v>0</v>
      </c>
      <c t="inlineStr" r="H734">
        <is>
          <t xml:space="preserve">&lt;none&gt;</t>
        </is>
      </c>
      <c t="inlineStr" r="I734">
        <is>
          <t xml:space="preserve">&lt;none&gt;</t>
        </is>
      </c>
      <c t="inlineStr" r="L734">
        <is>
          <t xml:space="preserve">-----</t>
        </is>
      </c>
    </row>
    <row r="735">
      <c t="str" r="A735" s="4">
        <f>HYPERLINK("https://linkbusiness.com/businesses-for-sale/SD0009/Coastal-Menswear-Store","SD0009")</f>
      </c>
      <c t="inlineStr" r="B735">
        <is>
          <t xml:space="preserve">Coastal Menswear Store</t>
        </is>
      </c>
      <c r="C735" s="63">
        <v>110000</v>
      </c>
      <c r="D735" s="63">
        <v>5541800</v>
      </c>
      <c t="inlineStr" r="E735">
        <is>
          <t xml:space="preserve">San Diego County</t>
        </is>
      </c>
      <c r="F735" s="65">
        <v>0</v>
      </c>
      <c r="G735" s="65">
        <v>0</v>
      </c>
      <c t="inlineStr" r="H735">
        <is>
          <t xml:space="preserve">Retail Trade</t>
        </is>
      </c>
      <c t="inlineStr" r="I735">
        <is>
          <t xml:space="preserve">&lt;none&gt;</t>
        </is>
      </c>
      <c t="inlineStr" r="L735">
        <is>
          <t xml:space="preserve">-----</t>
        </is>
      </c>
    </row>
    <row r="736">
      <c t="str" r="A736" s="4">
        <f>HYPERLINK("https://linkbusiness.com/businesses-for-sale/SD00101/South-Orange-County-Italian-Bistro","SD00101")</f>
      </c>
      <c t="inlineStr" r="B736">
        <is>
          <t xml:space="preserve">South Orange County Italian Bistro</t>
        </is>
      </c>
      <c r="C736" s="63">
        <v>259000</v>
      </c>
      <c r="D736" s="63">
        <v>13048420</v>
      </c>
      <c t="inlineStr" r="E736">
        <is>
          <t xml:space="preserve">Orange County</t>
        </is>
      </c>
      <c r="F736" s="65">
        <v>0</v>
      </c>
      <c r="G736" s="63">
        <v>87991</v>
      </c>
      <c t="inlineStr" r="H736">
        <is>
          <t xml:space="preserve">Restaurant</t>
        </is>
      </c>
      <c t="inlineStr" r="I736">
        <is>
          <t xml:space="preserve">Food Services and Drinking Places</t>
        </is>
      </c>
      <c t="inlineStr" r="J736">
        <is>
          <t xml:space="preserve">Tom Burns</t>
        </is>
      </c>
      <c t="inlineStr" r="L736">
        <is>
          <t xml:space="preserve">-----</t>
        </is>
      </c>
    </row>
    <row r="737">
      <c t="str" r="A737" s="4">
        <f>HYPERLINK("https://linkbusiness.com/businesses-for-sale/SD00109/Wholesale-Candy-Distributor-with-Contracts-in-Place","SD00109")</f>
      </c>
      <c t="inlineStr" r="B737">
        <is>
          <t xml:space="preserve">Wholesale Candy Distributor with Contracts in Place</t>
        </is>
      </c>
      <c r="C737" s="63">
        <v>289000</v>
      </c>
      <c r="D737" s="63">
        <v>14559820</v>
      </c>
      <c t="inlineStr" r="E737">
        <is>
          <t xml:space="preserve">San Diego County</t>
        </is>
      </c>
      <c r="F737" s="65">
        <v>0</v>
      </c>
      <c r="G737" s="63">
        <v>109925</v>
      </c>
      <c t="inlineStr" r="H737">
        <is>
          <t xml:space="preserve">Wholesale Trade</t>
        </is>
      </c>
      <c t="inlineStr" r="I737">
        <is>
          <t xml:space="preserve">&lt;none&gt;</t>
        </is>
      </c>
      <c t="inlineStr" r="L737">
        <is>
          <t xml:space="preserve">-----</t>
        </is>
      </c>
    </row>
    <row r="738">
      <c t="str" r="A738" s="4">
        <f>HYPERLINK("https://linkbusiness.com/businesses-for-sale/SD00111/Well-Established-Catering-Company","SD00111")</f>
      </c>
      <c t="inlineStr" r="B738">
        <is>
          <t xml:space="preserve">Well Established Catering Company</t>
        </is>
      </c>
      <c r="C738" s="63">
        <v>85000</v>
      </c>
      <c r="D738" s="63">
        <v>4282300</v>
      </c>
      <c t="inlineStr" r="E738">
        <is>
          <t xml:space="preserve">San Diego County</t>
        </is>
      </c>
      <c r="F738" s="65">
        <v>0</v>
      </c>
      <c r="G738" s="65">
        <v>0</v>
      </c>
      <c t="inlineStr" r="H738">
        <is>
          <t xml:space="preserve">Restaurant</t>
        </is>
      </c>
      <c t="inlineStr" r="I738">
        <is>
          <t xml:space="preserve">Food Services and Drinking Places</t>
        </is>
      </c>
      <c t="inlineStr" r="L738">
        <is>
          <t xml:space="preserve">-----</t>
        </is>
      </c>
    </row>
    <row r="739">
      <c t="str" r="A739" s="4">
        <f>HYPERLINK("https://linkbusiness.com/businesses-for-sale/SD00118/Turn-Key-Security-Guard-Business","SD00118")</f>
      </c>
      <c t="inlineStr" r="B739">
        <is>
          <t xml:space="preserve">Turn Key Security Guard Business</t>
        </is>
      </c>
      <c r="C739" s="63">
        <v>210000</v>
      </c>
      <c r="D739" s="63">
        <v>10579800</v>
      </c>
      <c t="inlineStr" r="E739">
        <is>
          <t xml:space="preserve">San Diego County</t>
        </is>
      </c>
      <c r="F739" s="65">
        <v>0</v>
      </c>
      <c r="G739" s="63">
        <v>106983</v>
      </c>
      <c t="inlineStr" r="H739">
        <is>
          <t xml:space="preserve">Other Services (except public administration)</t>
        </is>
      </c>
      <c t="inlineStr" r="I739">
        <is>
          <t xml:space="preserve">Other Personal Services</t>
        </is>
      </c>
      <c t="inlineStr" r="L739">
        <is>
          <t xml:space="preserve">-----</t>
        </is>
      </c>
    </row>
    <row r="740">
      <c t="str" r="A740" s="4">
        <f>HYPERLINK("https://linkbusiness.com/businesses-for-sale/SD00121/Inland-Empire-Auto-Repair","SD00121")</f>
      </c>
      <c t="inlineStr" r="B740">
        <is>
          <t xml:space="preserve">Inland Empire Auto Repair</t>
        </is>
      </c>
      <c r="C740" s="63">
        <v>99000</v>
      </c>
      <c r="D740" s="63">
        <v>4987620</v>
      </c>
      <c t="inlineStr" r="E740">
        <is>
          <t xml:space="preserve">Riverside County</t>
        </is>
      </c>
      <c r="F740" s="65">
        <v>0</v>
      </c>
      <c r="G740" s="63">
        <v>66822</v>
      </c>
      <c t="inlineStr" r="H740">
        <is>
          <t xml:space="preserve">Other Services (except public administration)</t>
        </is>
      </c>
      <c t="inlineStr" r="I740">
        <is>
          <t xml:space="preserve">Repair and Maintenance</t>
        </is>
      </c>
      <c t="inlineStr" r="L740">
        <is>
          <t xml:space="preserve">-----</t>
        </is>
      </c>
    </row>
    <row r="741">
      <c t="str" r="A741" s="4">
        <f>HYPERLINK("https://linkbusiness.com/businesses-for-sale/SD00122/Popular-Surf-Boutique-Near-Beach","SD00122")</f>
      </c>
      <c t="inlineStr" r="B741">
        <is>
          <t xml:space="preserve">Popular Surf Boutique Near Beach</t>
        </is>
      </c>
      <c r="C741" s="63">
        <v>99000</v>
      </c>
      <c r="D741" s="63">
        <v>4987620</v>
      </c>
      <c t="inlineStr" r="E741">
        <is>
          <t xml:space="preserve">Orange County</t>
        </is>
      </c>
      <c r="F741" s="65">
        <v>0</v>
      </c>
      <c r="G741" s="65">
        <v>0</v>
      </c>
      <c t="inlineStr" r="H741">
        <is>
          <t xml:space="preserve">Retail Trade</t>
        </is>
      </c>
      <c t="inlineStr" r="I741">
        <is>
          <t xml:space="preserve">Clothing and Clothing Accessories Stores</t>
        </is>
      </c>
      <c t="inlineStr" r="J741">
        <is>
          <t xml:space="preserve">Tom Burns</t>
        </is>
      </c>
      <c t="inlineStr" r="L741">
        <is>
          <t xml:space="preserve">-----</t>
        </is>
      </c>
    </row>
    <row r="742">
      <c t="str" r="A742" s="4">
        <f>HYPERLINK("https://linkbusiness.com/businesses-for-sale/SD00126/Well-Established-Transportation-Company","SD00126")</f>
      </c>
      <c t="inlineStr" r="B742">
        <is>
          <t xml:space="preserve">Well Established Transportation Company</t>
        </is>
      </c>
      <c r="C742" s="63">
        <v>825000</v>
      </c>
      <c r="D742" s="63">
        <v>41563500</v>
      </c>
      <c t="inlineStr" r="E742">
        <is>
          <t xml:space="preserve">Southern California</t>
        </is>
      </c>
      <c r="F742" s="65">
        <v>0</v>
      </c>
      <c r="G742" s="63">
        <v>347295</v>
      </c>
      <c t="inlineStr" r="H742">
        <is>
          <t xml:space="preserve">Transportation &amp; Warehousing</t>
        </is>
      </c>
      <c t="inlineStr" r="I742">
        <is>
          <t xml:space="preserve">&lt;none&gt;</t>
        </is>
      </c>
      <c t="inlineStr" r="L742">
        <is>
          <t xml:space="preserve">Real Estate For Sale Not Inc. In Sale Price</t>
        </is>
      </c>
    </row>
    <row r="743">
      <c t="str" r="A743" s="4">
        <f>HYPERLINK("https://linkbusiness.com/businesses-for-sale/SD00127/Successful-Restaurant-Chain-Ripe-for-Expansion","SD00127")</f>
      </c>
      <c t="inlineStr" r="B743">
        <is>
          <t xml:space="preserve">Successful Restaurant Chain Ripe for Expansion</t>
        </is>
      </c>
      <c r="C743" s="63">
        <v>1200000</v>
      </c>
      <c r="D743" s="63">
        <v>60456000</v>
      </c>
      <c t="inlineStr" r="E743">
        <is>
          <t xml:space="preserve">Southern California</t>
        </is>
      </c>
      <c r="F743" s="65">
        <v>0</v>
      </c>
      <c r="G743" s="63">
        <v>498245</v>
      </c>
      <c t="inlineStr" r="H743">
        <is>
          <t xml:space="preserve">Restaurant</t>
        </is>
      </c>
      <c t="inlineStr" r="I743">
        <is>
          <t xml:space="preserve">Food Services and Drinking Places</t>
        </is>
      </c>
      <c t="inlineStr" r="J743">
        <is>
          <t xml:space="preserve">Tom Burns</t>
        </is>
      </c>
      <c t="inlineStr" r="L743">
        <is>
          <t xml:space="preserve">-----</t>
        </is>
      </c>
    </row>
    <row r="744">
      <c t="str" r="A744" s="4">
        <f>HYPERLINK("https://linkbusiness.com/businesses-for-sale/SD0013/Boutique-Fitness-Center-San-Diego","SD0013")</f>
      </c>
      <c t="inlineStr" r="B744">
        <is>
          <t xml:space="preserve">Boutique Fitness Center San Diego</t>
        </is>
      </c>
      <c r="C744" s="63">
        <v>245000</v>
      </c>
      <c r="D744" s="63">
        <v>12343100</v>
      </c>
      <c t="inlineStr" r="E744">
        <is>
          <t xml:space="preserve">San Diego County</t>
        </is>
      </c>
      <c r="F744" s="65">
        <v>0</v>
      </c>
      <c r="G744" s="65">
        <v>0</v>
      </c>
      <c t="inlineStr" r="H744">
        <is>
          <t xml:space="preserve">Health Care &amp; Social Assistance</t>
        </is>
      </c>
      <c t="inlineStr" r="I744">
        <is>
          <t xml:space="preserve">&lt;none&gt;</t>
        </is>
      </c>
      <c t="inlineStr" r="L744">
        <is>
          <t xml:space="preserve">-----</t>
        </is>
      </c>
    </row>
    <row r="745">
      <c t="str" r="A745" s="4">
        <f>HYPERLINK("https://linkbusiness.com/businesses-for-sale/SD00131/Prime-Beachfront-Italian-Fast-Casual-Restaurant-Pizza-and-Gelato","SD00131")</f>
      </c>
      <c t="inlineStr" r="B745">
        <is>
          <t xml:space="preserve">Prime Beachfront Italian Fast Casual Restaurant Pizza and Gelato</t>
        </is>
      </c>
      <c r="C745" s="63">
        <v>299000</v>
      </c>
      <c r="D745" s="63">
        <v>15063620</v>
      </c>
      <c t="inlineStr" r="E745">
        <is>
          <t xml:space="preserve">Orange County</t>
        </is>
      </c>
      <c r="F745" s="65">
        <v>0</v>
      </c>
      <c r="G745" s="63">
        <v>94419</v>
      </c>
      <c t="inlineStr" r="H745">
        <is>
          <t xml:space="preserve">Restaurant</t>
        </is>
      </c>
      <c t="inlineStr" r="I745">
        <is>
          <t xml:space="preserve">Food Services and Drinking Places</t>
        </is>
      </c>
      <c t="inlineStr" r="J745">
        <is>
          <t xml:space="preserve">Tom Burns</t>
        </is>
      </c>
      <c t="inlineStr" r="L745">
        <is>
          <t xml:space="preserve">-----</t>
        </is>
      </c>
    </row>
    <row r="746">
      <c t="str" r="A746" s="4">
        <f>HYPERLINK("https://linkbusiness.com/businesses-for-sale/SD00136/Well-Established-Yoga-Studio","SD00136")</f>
      </c>
      <c t="inlineStr" r="B746">
        <is>
          <t xml:space="preserve">Well Established Yoga Studio</t>
        </is>
      </c>
      <c r="C746" s="63">
        <v>85000</v>
      </c>
      <c r="D746" s="63">
        <v>4282300</v>
      </c>
      <c t="inlineStr" r="E746">
        <is>
          <t xml:space="preserve">San Diego County</t>
        </is>
      </c>
      <c r="F746" s="65">
        <v>0</v>
      </c>
      <c r="G746" s="63">
        <v>43031</v>
      </c>
      <c t="inlineStr" r="H746">
        <is>
          <t xml:space="preserve">&lt;none&gt;</t>
        </is>
      </c>
      <c t="inlineStr" r="I746">
        <is>
          <t xml:space="preserve">&lt;none&gt;</t>
        </is>
      </c>
      <c t="inlineStr" r="L746">
        <is>
          <t xml:space="preserve">-----</t>
        </is>
      </c>
    </row>
    <row r="747">
      <c t="str" r="A747" s="4">
        <f>HYPERLINK("https://linkbusiness.com/businesses-for-sale/SD00137/Prime-Restaurant-Location","SD00137")</f>
      </c>
      <c t="inlineStr" r="B747">
        <is>
          <t xml:space="preserve">Prime Restaurant Location</t>
        </is>
      </c>
      <c r="C747" s="63">
        <v>100000</v>
      </c>
      <c r="D747" s="63">
        <v>5038000</v>
      </c>
      <c t="inlineStr" r="E747">
        <is>
          <t xml:space="preserve">San Diego County</t>
        </is>
      </c>
      <c r="F747" s="65">
        <v>0</v>
      </c>
      <c r="G747" s="65">
        <v>0</v>
      </c>
      <c t="inlineStr" r="H747">
        <is>
          <t xml:space="preserve">Restaurant</t>
        </is>
      </c>
      <c t="inlineStr" r="I747">
        <is>
          <t xml:space="preserve">Accommodation</t>
        </is>
      </c>
      <c t="inlineStr" r="J747">
        <is>
          <t xml:space="preserve">Adam Gilman</t>
        </is>
      </c>
      <c t="inlineStr" r="L747">
        <is>
          <t xml:space="preserve">-----</t>
        </is>
      </c>
    </row>
    <row r="748">
      <c t="str" r="A748" s="4">
        <f>HYPERLINK("https://linkbusiness.com/businesses-for-sale/SD00144/Fast-Casual-Restaurant","SD00144")</f>
      </c>
      <c t="inlineStr" r="B748">
        <is>
          <t xml:space="preserve">Fast Casual Restaurant</t>
        </is>
      </c>
      <c r="C748" s="63">
        <v>49000</v>
      </c>
      <c r="D748" s="63">
        <v>2468620</v>
      </c>
      <c t="inlineStr" r="E748">
        <is>
          <t xml:space="preserve">Riverside County</t>
        </is>
      </c>
      <c r="F748" s="65">
        <v>0</v>
      </c>
      <c r="G748" s="65">
        <v>0</v>
      </c>
      <c t="inlineStr" r="H748">
        <is>
          <t xml:space="preserve">Restaurant</t>
        </is>
      </c>
      <c t="inlineStr" r="I748">
        <is>
          <t xml:space="preserve">Food Services and Drinking Places</t>
        </is>
      </c>
      <c t="inlineStr" r="L748">
        <is>
          <t xml:space="preserve">-----</t>
        </is>
      </c>
    </row>
    <row r="749">
      <c t="str" r="A749" s="4">
        <f>HYPERLINK("https://linkbusiness.com/businesses-for-sale/SD00150/Mission-Beach-Ice-Cream-Shop-Absentee-Owner","SD00150")</f>
      </c>
      <c t="inlineStr" r="B749">
        <is>
          <t xml:space="preserve">Mission Beach Ice Cream Shop Absentee Owner</t>
        </is>
      </c>
      <c r="C749" s="63">
        <v>119000</v>
      </c>
      <c r="D749" s="63">
        <v>5995220</v>
      </c>
      <c t="inlineStr" r="E749">
        <is>
          <t xml:space="preserve">San Diego County</t>
        </is>
      </c>
      <c r="F749" s="65">
        <v>0</v>
      </c>
      <c r="G749" s="63">
        <v>65742</v>
      </c>
      <c t="inlineStr" r="H749">
        <is>
          <t xml:space="preserve">Restaurant</t>
        </is>
      </c>
      <c t="inlineStr" r="I749">
        <is>
          <t xml:space="preserve">Food Services and Drinking Places</t>
        </is>
      </c>
      <c t="inlineStr" r="L749">
        <is>
          <t xml:space="preserve">-----</t>
        </is>
      </c>
    </row>
    <row r="750">
      <c t="str" r="A750" s="4">
        <f>HYPERLINK("https://linkbusiness.com/businesses-for-sale/SD00151/Established-Refrigeration-Company-with-Commercial-Warehouse-For-Sale","SD00151")</f>
      </c>
      <c t="inlineStr" r="B750">
        <is>
          <t xml:space="preserve">Established Refrigeration Company with Commercial Warehouse For Sale</t>
        </is>
      </c>
      <c r="C750" s="63">
        <v>200000</v>
      </c>
      <c r="D750" s="63">
        <v>10076000</v>
      </c>
      <c t="inlineStr" r="E750">
        <is>
          <t xml:space="preserve">San Diego County</t>
        </is>
      </c>
      <c r="F750" s="65">
        <v>0</v>
      </c>
      <c r="G750" s="63">
        <v>126541</v>
      </c>
      <c t="inlineStr" r="H750">
        <is>
          <t xml:space="preserve">Other Services (except public administration)</t>
        </is>
      </c>
      <c t="inlineStr" r="I750">
        <is>
          <t xml:space="preserve">Repair and Maintenance</t>
        </is>
      </c>
      <c t="inlineStr" r="J750">
        <is>
          <t xml:space="preserve">Andrew Scott</t>
        </is>
      </c>
      <c t="inlineStr" r="L750">
        <is>
          <t xml:space="preserve">-----</t>
        </is>
      </c>
    </row>
    <row r="751">
      <c t="str" r="A751" s="4">
        <f>HYPERLINK("https://linkbusiness.com/businesses-for-sale/SD00152/Beverage-Manufacturer%252fDistributor","SD00152")</f>
      </c>
      <c t="inlineStr" r="B751">
        <is>
          <t xml:space="preserve">Beverage Manufacturer/Distributor</t>
        </is>
      </c>
      <c r="C751" s="63">
        <v>5000000</v>
      </c>
      <c r="D751" s="63">
        <v>251900000</v>
      </c>
      <c t="inlineStr" r="E751">
        <is>
          <t xml:space="preserve">California</t>
        </is>
      </c>
      <c r="F751" s="65">
        <v>0</v>
      </c>
      <c r="G751" s="65">
        <v>0</v>
      </c>
      <c t="inlineStr" r="H751">
        <is>
          <t xml:space="preserve">Manufacturing</t>
        </is>
      </c>
      <c t="inlineStr" r="I751">
        <is>
          <t xml:space="preserve">Food Manufacturing</t>
        </is>
      </c>
      <c t="inlineStr" r="J751">
        <is>
          <t xml:space="preserve">Adam Gilman</t>
        </is>
      </c>
      <c t="inlineStr" r="L751">
        <is>
          <t xml:space="preserve">-----</t>
        </is>
      </c>
    </row>
    <row r="752">
      <c t="str" r="A752" s="4">
        <f>HYPERLINK("https://linkbusiness.com/businesses-for-sale/SD00157/High-Profile-Architectural-Firm","SD00157")</f>
      </c>
      <c t="inlineStr" r="B752">
        <is>
          <t xml:space="preserve">High Profile Architectural Firm</t>
        </is>
      </c>
      <c r="C752" s="63">
        <v>5000000</v>
      </c>
      <c r="D752" s="63">
        <v>251900000</v>
      </c>
      <c t="inlineStr" r="E752">
        <is>
          <t xml:space="preserve">California</t>
        </is>
      </c>
      <c r="F752" s="65">
        <v>0</v>
      </c>
      <c r="G752" s="63">
        <v>1088390</v>
      </c>
      <c t="inlineStr" r="H752">
        <is>
          <t xml:space="preserve">Professional, Scientific and Technical Services</t>
        </is>
      </c>
      <c t="inlineStr" r="I752">
        <is>
          <t xml:space="preserve">&lt;none&gt;</t>
        </is>
      </c>
      <c t="inlineStr" r="J752">
        <is>
          <t xml:space="preserve">Adam Gilman</t>
        </is>
      </c>
      <c t="inlineStr" r="L752">
        <is>
          <t xml:space="preserve">-----</t>
        </is>
      </c>
    </row>
    <row r="753">
      <c t="str" r="A753" s="4">
        <f>HYPERLINK("https://linkbusiness.com/businesses-for-sale/SD0016/Well-Established-Indian-Restaurant","SD0016")</f>
      </c>
      <c t="inlineStr" r="B753">
        <is>
          <t xml:space="preserve">Well Established Indian Restaurant</t>
        </is>
      </c>
      <c r="C753" s="65">
        <v>0</v>
      </c>
      <c r="D753" s="65">
        <v>0</v>
      </c>
      <c t="inlineStr" r="E753">
        <is>
          <t xml:space="preserve">-----</t>
        </is>
      </c>
      <c r="F753" s="65">
        <v>0</v>
      </c>
      <c r="G753" s="65">
        <v>0</v>
      </c>
      <c t="inlineStr" r="H753">
        <is>
          <t xml:space="preserve">Restaurant</t>
        </is>
      </c>
      <c t="inlineStr" r="I753">
        <is>
          <t xml:space="preserve">&lt;none&gt;</t>
        </is>
      </c>
      <c t="inlineStr" r="L753">
        <is>
          <t xml:space="preserve">Refer to Broker</t>
        </is>
      </c>
    </row>
    <row r="754">
      <c t="str" r="A754" s="4">
        <f>HYPERLINK("https://linkbusiness.com/businesses-for-sale/SD00160/Coastal-Ladies-Swimwear-Boutique-North-County","SD00160")</f>
      </c>
      <c t="inlineStr" r="B754">
        <is>
          <t xml:space="preserve">Coastal Ladies Swimwear Boutique North County</t>
        </is>
      </c>
      <c r="C754" s="63">
        <v>200000</v>
      </c>
      <c r="D754" s="63">
        <v>10076000</v>
      </c>
      <c t="inlineStr" r="E754">
        <is>
          <t xml:space="preserve">San Diego County</t>
        </is>
      </c>
      <c r="F754" s="65">
        <v>0</v>
      </c>
      <c r="G754" s="65">
        <v>0</v>
      </c>
      <c t="inlineStr" r="H754">
        <is>
          <t xml:space="preserve">Retail Trade</t>
        </is>
      </c>
      <c t="inlineStr" r="I754">
        <is>
          <t xml:space="preserve">Clothing and Clothing Accessories Stores</t>
        </is>
      </c>
      <c t="inlineStr" r="J754">
        <is>
          <t xml:space="preserve">Tom Burns</t>
        </is>
      </c>
      <c t="inlineStr" r="L754">
        <is>
          <t xml:space="preserve">-----</t>
        </is>
      </c>
    </row>
    <row r="755">
      <c t="str" r="A755" s="4">
        <f>HYPERLINK("https://linkbusiness.com/businesses-for-sale/SD00161/Popular-Sports-Bar-With%c2%a0Bowling%c2%a0Alley-San-Diego","SD00161")</f>
      </c>
      <c t="inlineStr" r="B755">
        <is>
          <t xml:space="preserve">Popular Sports Bar With Bowling Alley San Diego</t>
        </is>
      </c>
      <c r="C755" s="63">
        <v>2200000</v>
      </c>
      <c r="D755" s="63">
        <v>110836000</v>
      </c>
      <c t="inlineStr" r="E755">
        <is>
          <t xml:space="preserve">San Diego County</t>
        </is>
      </c>
      <c r="F755" s="65">
        <v>0</v>
      </c>
      <c r="G755" s="63">
        <v>413845</v>
      </c>
      <c t="inlineStr" r="H755">
        <is>
          <t xml:space="preserve">&lt;none&gt;</t>
        </is>
      </c>
      <c t="inlineStr" r="I755">
        <is>
          <t xml:space="preserve">&lt;none&gt;</t>
        </is>
      </c>
      <c t="inlineStr" r="J755">
        <is>
          <t xml:space="preserve">Tom Burns</t>
        </is>
      </c>
      <c t="inlineStr" r="L755">
        <is>
          <t xml:space="preserve">-----</t>
        </is>
      </c>
    </row>
    <row r="756">
      <c t="str" r="A756" s="4">
        <f>HYPERLINK("https://linkbusiness.com/businesses-for-sale/SD00162/Orange-County-Auto-Repair-with-Real-Estate","SD00162")</f>
      </c>
      <c t="inlineStr" r="B756">
        <is>
          <t xml:space="preserve">Orange County Auto Repair with Real Estate</t>
        </is>
      </c>
      <c r="C756" s="63">
        <v>2600000</v>
      </c>
      <c r="D756" s="63">
        <v>130988000</v>
      </c>
      <c t="inlineStr" r="E756">
        <is>
          <t xml:space="preserve">Orange County</t>
        </is>
      </c>
      <c r="F756" s="65">
        <v>0</v>
      </c>
      <c r="G756" s="63">
        <v>151974</v>
      </c>
      <c t="inlineStr" r="H756">
        <is>
          <t xml:space="preserve">&lt;none&gt;</t>
        </is>
      </c>
      <c t="inlineStr" r="I756">
        <is>
          <t xml:space="preserve">&lt;none&gt;</t>
        </is>
      </c>
      <c t="inlineStr" r="J756">
        <is>
          <t xml:space="preserve">Tom Burns</t>
        </is>
      </c>
      <c t="inlineStr" r="L756">
        <is>
          <t xml:space="preserve">-----</t>
        </is>
      </c>
    </row>
    <row r="757">
      <c t="str" r="A757" s="4">
        <f>HYPERLINK("https://linkbusiness.com/businesses-for-sale/SD00163/Coastal-Orange-County-Fast-Casual-Restaurant","SD00163")</f>
      </c>
      <c t="inlineStr" r="B757">
        <is>
          <t xml:space="preserve">Coastal Orange County Fast Casual Restaurant</t>
        </is>
      </c>
      <c r="C757" s="63">
        <v>45000</v>
      </c>
      <c r="D757" s="63">
        <v>2267100</v>
      </c>
      <c t="inlineStr" r="E757">
        <is>
          <t xml:space="preserve">Orange County</t>
        </is>
      </c>
      <c r="F757" s="65">
        <v>0</v>
      </c>
      <c r="G757" s="65">
        <v>0</v>
      </c>
      <c t="inlineStr" r="H757">
        <is>
          <t xml:space="preserve">Restaurant</t>
        </is>
      </c>
      <c t="inlineStr" r="I757">
        <is>
          <t xml:space="preserve">Food Services and Drinking Places</t>
        </is>
      </c>
      <c t="inlineStr" r="J757">
        <is>
          <t xml:space="preserve">Adam Gilman</t>
        </is>
      </c>
      <c t="inlineStr" r="K757">
        <is>
          <t xml:space="preserve">Tom Burns</t>
        </is>
      </c>
      <c t="inlineStr" r="L757">
        <is>
          <t xml:space="preserve">-----</t>
        </is>
      </c>
    </row>
    <row r="758">
      <c t="str" r="A758" s="4">
        <f>HYPERLINK("https://linkbusiness.com/businesses-for-sale/SD00164/San-Diego-Coastal-Pilates-Studio","SD00164")</f>
      </c>
      <c t="inlineStr" r="B758">
        <is>
          <t xml:space="preserve">San Diego Coastal Pilates Studio</t>
        </is>
      </c>
      <c r="C758" s="63">
        <v>50000</v>
      </c>
      <c r="D758" s="63">
        <v>2519000</v>
      </c>
      <c t="inlineStr" r="E758">
        <is>
          <t xml:space="preserve">San Diego County</t>
        </is>
      </c>
      <c r="F758" s="65">
        <v>0</v>
      </c>
      <c r="G758" s="65">
        <v>0</v>
      </c>
      <c t="inlineStr" r="H758">
        <is>
          <t xml:space="preserve">&lt;none&gt;</t>
        </is>
      </c>
      <c t="inlineStr" r="I758">
        <is>
          <t xml:space="preserve">&lt;none&gt;</t>
        </is>
      </c>
      <c t="inlineStr" r="J758">
        <is>
          <t xml:space="preserve">Leslie Lucero</t>
        </is>
      </c>
      <c t="inlineStr" r="L758">
        <is>
          <t xml:space="preserve">-----</t>
        </is>
      </c>
    </row>
    <row r="759">
      <c t="str" r="A759" s="4">
        <f>HYPERLINK("https://linkbusiness.com/businesses-for-sale/SD00165/Home-Based-Manufacturer-and-Designer-of-Hats","SD00165")</f>
      </c>
      <c t="inlineStr" r="B759">
        <is>
          <t xml:space="preserve">Home Based Manufacturer and Designer of Hats</t>
        </is>
      </c>
      <c r="C759" s="63">
        <v>32500</v>
      </c>
      <c r="D759" s="63">
        <v>1637350</v>
      </c>
      <c t="inlineStr" r="E759">
        <is>
          <t xml:space="preserve">Orange County</t>
        </is>
      </c>
      <c r="F759" s="65">
        <v>0</v>
      </c>
      <c r="G759" s="63">
        <v>8470</v>
      </c>
      <c t="inlineStr" r="H759">
        <is>
          <t xml:space="preserve">Manufacturing</t>
        </is>
      </c>
      <c t="inlineStr" r="I759">
        <is>
          <t xml:space="preserve">Textile Product Mills</t>
        </is>
      </c>
      <c t="inlineStr" r="J759">
        <is>
          <t xml:space="preserve">Tom Burns</t>
        </is>
      </c>
      <c t="inlineStr" r="L759">
        <is>
          <t xml:space="preserve">-----</t>
        </is>
      </c>
    </row>
    <row r="760">
      <c t="str" r="A760" s="4">
        <f>HYPERLINK("https://linkbusiness.com/businesses-for-sale/SD00166/Highly-Profitable-Sports-Bar-and-Restaurant","SD00166")</f>
      </c>
      <c t="inlineStr" r="B760">
        <is>
          <t xml:space="preserve">Highly Profitable Sports Bar and Restaurant</t>
        </is>
      </c>
      <c r="C760" s="63">
        <v>699000</v>
      </c>
      <c r="D760" s="63">
        <v>35215620</v>
      </c>
      <c t="inlineStr" r="E760">
        <is>
          <t xml:space="preserve">Los Angeles County</t>
        </is>
      </c>
      <c r="F760" s="65">
        <v>0</v>
      </c>
      <c r="G760" s="63">
        <v>320000</v>
      </c>
      <c t="inlineStr" r="H760">
        <is>
          <t xml:space="preserve">Restaurant</t>
        </is>
      </c>
      <c t="inlineStr" r="I760">
        <is>
          <t xml:space="preserve">Food Services and Drinking Places</t>
        </is>
      </c>
      <c t="inlineStr" r="J760">
        <is>
          <t xml:space="preserve">Tom Burns</t>
        </is>
      </c>
      <c t="inlineStr" r="L760">
        <is>
          <t xml:space="preserve">-----</t>
        </is>
      </c>
    </row>
    <row r="761">
      <c t="str" r="A761" s="4">
        <f>HYPERLINK("https://linkbusiness.com/businesses-for-sale/SD00168/Turn-Key-Day-Spa-Huntington-Beach","SD00168")</f>
      </c>
      <c t="inlineStr" r="B761">
        <is>
          <t xml:space="preserve">Turn Key Day Spa Huntington Beach</t>
        </is>
      </c>
      <c r="C761" s="63">
        <v>85000</v>
      </c>
      <c r="D761" s="63">
        <v>4282300</v>
      </c>
      <c t="inlineStr" r="E761">
        <is>
          <t xml:space="preserve">Orange County</t>
        </is>
      </c>
      <c r="F761" s="65">
        <v>0</v>
      </c>
      <c r="G761" s="63">
        <v>4842</v>
      </c>
      <c t="inlineStr" r="H761">
        <is>
          <t xml:space="preserve">Health Care &amp; Social Assistance</t>
        </is>
      </c>
      <c t="inlineStr" r="I761">
        <is>
          <t xml:space="preserve">&lt;none&gt;</t>
        </is>
      </c>
      <c t="inlineStr" r="J761">
        <is>
          <t xml:space="preserve">Tom Burns</t>
        </is>
      </c>
      <c t="inlineStr" r="L761">
        <is>
          <t xml:space="preserve">-----</t>
        </is>
      </c>
    </row>
    <row r="762">
      <c t="str" r="A762" s="4">
        <f>HYPERLINK("https://linkbusiness.com/businesses-for-sale/SD0017/San-Diego-Pawn-Shop--Owner-Retiring","SD0017")</f>
      </c>
      <c t="inlineStr" r="B762">
        <is>
          <t xml:space="preserve">San Diego Pawn Shop- Owner Retiring</t>
        </is>
      </c>
      <c r="C762" s="63">
        <v>889000</v>
      </c>
      <c r="D762" s="63">
        <v>44787820</v>
      </c>
      <c t="inlineStr" r="E762">
        <is>
          <t xml:space="preserve">Southern California</t>
        </is>
      </c>
      <c r="F762" s="65">
        <v>0</v>
      </c>
      <c r="G762" s="65">
        <v>0</v>
      </c>
      <c t="inlineStr" r="H762">
        <is>
          <t xml:space="preserve">Retail Trade</t>
        </is>
      </c>
      <c t="inlineStr" r="I762">
        <is>
          <t xml:space="preserve">General Merchandise Stores</t>
        </is>
      </c>
      <c t="inlineStr" r="L762">
        <is>
          <t xml:space="preserve">-----</t>
        </is>
      </c>
    </row>
    <row r="763">
      <c t="str" r="A763" s="4">
        <f>HYPERLINK("https://linkbusiness.com/businesses-for-sale/SD00171/Prime-Coastal-Yoga-Studio","SD00171")</f>
      </c>
      <c t="inlineStr" r="B763">
        <is>
          <t xml:space="preserve">Prime Coastal Yoga Studio</t>
        </is>
      </c>
      <c r="C763" s="63">
        <v>95000</v>
      </c>
      <c r="D763" s="63">
        <v>4786100</v>
      </c>
      <c t="inlineStr" r="E763">
        <is>
          <t xml:space="preserve">San Diego County</t>
        </is>
      </c>
      <c r="F763" s="65">
        <v>0</v>
      </c>
      <c r="G763" s="65">
        <v>0</v>
      </c>
      <c t="inlineStr" r="H763">
        <is>
          <t xml:space="preserve">&lt;none&gt;</t>
        </is>
      </c>
      <c t="inlineStr" r="I763">
        <is>
          <t xml:space="preserve">&lt;none&gt;</t>
        </is>
      </c>
      <c t="inlineStr" r="J763">
        <is>
          <t xml:space="preserve">Leslie Lucero</t>
        </is>
      </c>
      <c t="inlineStr" r="K763">
        <is>
          <t xml:space="preserve">Adam Gilman</t>
        </is>
      </c>
      <c t="inlineStr" r="L763">
        <is>
          <t xml:space="preserve">-----</t>
        </is>
      </c>
    </row>
    <row r="764">
      <c t="str" r="A764" s="4">
        <f>HYPERLINK("https://linkbusiness.com/businesses-for-sale/SD00172/Premiere-HVAC-Company","SD00172")</f>
      </c>
      <c t="inlineStr" r="B764">
        <is>
          <t xml:space="preserve">Premiere HVAC Company</t>
        </is>
      </c>
      <c r="C764" s="63">
        <v>195000</v>
      </c>
      <c r="D764" s="63">
        <v>9824100</v>
      </c>
      <c t="inlineStr" r="E764">
        <is>
          <t xml:space="preserve">San Diego County</t>
        </is>
      </c>
      <c r="F764" s="65">
        <v>0</v>
      </c>
      <c r="G764" s="63">
        <v>89741</v>
      </c>
      <c t="inlineStr" r="H764">
        <is>
          <t xml:space="preserve">Other Services (except public administration)</t>
        </is>
      </c>
      <c t="inlineStr" r="I764">
        <is>
          <t xml:space="preserve">&lt;none&gt;</t>
        </is>
      </c>
      <c t="inlineStr" r="J764">
        <is>
          <t xml:space="preserve">Adam Gilman</t>
        </is>
      </c>
      <c t="inlineStr" r="L764">
        <is>
          <t xml:space="preserve">-----</t>
        </is>
      </c>
    </row>
    <row r="765">
      <c t="str" r="A765" s="4">
        <f>HYPERLINK("https://linkbusiness.com/businesses-for-sale/SD00173/Profitable-Food-Manufacturing-Company","SD00173")</f>
      </c>
      <c t="inlineStr" r="B765">
        <is>
          <t xml:space="preserve">Profitable Food Manufacturing Company</t>
        </is>
      </c>
      <c r="C765" s="63">
        <v>580000</v>
      </c>
      <c r="D765" s="63">
        <v>29220400</v>
      </c>
      <c t="inlineStr" r="E765">
        <is>
          <t xml:space="preserve">San Diego County</t>
        </is>
      </c>
      <c r="F765" s="65">
        <v>0</v>
      </c>
      <c r="G765" s="63">
        <v>211181</v>
      </c>
      <c t="inlineStr" r="H765">
        <is>
          <t xml:space="preserve">Manufacturing</t>
        </is>
      </c>
      <c t="inlineStr" r="I765">
        <is>
          <t xml:space="preserve">Food Manufacturing</t>
        </is>
      </c>
      <c t="inlineStr" r="J765">
        <is>
          <t xml:space="preserve">Steve Tabacchiera</t>
        </is>
      </c>
      <c t="inlineStr" r="L765">
        <is>
          <t xml:space="preserve">-----</t>
        </is>
      </c>
    </row>
    <row r="766">
      <c t="str" r="A766" s="4">
        <f>HYPERLINK("https://linkbusiness.com/businesses-for-sale/SD0030/Furnished-Salon--Asset-Sale","SD0030")</f>
      </c>
      <c t="inlineStr" r="B766">
        <is>
          <t xml:space="preserve">Furnished Salon- Asset Sale</t>
        </is>
      </c>
      <c r="C766" s="63">
        <v>24000</v>
      </c>
      <c r="D766" s="63">
        <v>1209120</v>
      </c>
      <c t="inlineStr" r="E766">
        <is>
          <t xml:space="preserve">San Diego County</t>
        </is>
      </c>
      <c r="F766" s="65">
        <v>0</v>
      </c>
      <c r="G766" s="65">
        <v>0</v>
      </c>
      <c t="inlineStr" r="H766">
        <is>
          <t xml:space="preserve">Other Services (except public administration)</t>
        </is>
      </c>
      <c t="inlineStr" r="I766">
        <is>
          <t xml:space="preserve">Personal Care Services</t>
        </is>
      </c>
      <c t="inlineStr" r="L766">
        <is>
          <t xml:space="preserve">-----</t>
        </is>
      </c>
    </row>
    <row r="767">
      <c t="str" r="A767" s="4">
        <f>HYPERLINK("https://linkbusiness.com/businesses-for-sale/SD0031/Master-Franchise-Opportunity-Pet-Industry","SD0031")</f>
      </c>
      <c t="inlineStr" r="B767">
        <is>
          <t xml:space="preserve">Master Franchise Opportunity Pet Industry</t>
        </is>
      </c>
      <c r="C767" s="63">
        <v>2000000</v>
      </c>
      <c r="D767" s="63">
        <v>100760000</v>
      </c>
      <c t="inlineStr" r="E767">
        <is>
          <t xml:space="preserve">Southern California</t>
        </is>
      </c>
      <c r="F767" s="65">
        <v>0</v>
      </c>
      <c r="G767" s="63">
        <v>507319</v>
      </c>
      <c t="inlineStr" r="H767">
        <is>
          <t xml:space="preserve">&lt;none&gt;</t>
        </is>
      </c>
      <c t="inlineStr" r="I767">
        <is>
          <t xml:space="preserve">&lt;none&gt;</t>
        </is>
      </c>
      <c t="inlineStr" r="L767">
        <is>
          <t xml:space="preserve">-----</t>
        </is>
      </c>
    </row>
    <row r="768">
      <c t="str" r="A768" s="4">
        <f>HYPERLINK("https://linkbusiness.com/businesses-for-sale/SD0039/Profitable-South-Orange-County-Restaurant","SD0039")</f>
      </c>
      <c t="inlineStr" r="B768">
        <is>
          <t xml:space="preserve">Profitable South Orange County Restaurant</t>
        </is>
      </c>
      <c r="C768" s="63">
        <v>349000</v>
      </c>
      <c r="D768" s="63">
        <v>17582620</v>
      </c>
      <c t="inlineStr" r="E768">
        <is>
          <t xml:space="preserve">Orange County</t>
        </is>
      </c>
      <c r="F768" s="65">
        <v>0</v>
      </c>
      <c r="G768" s="65">
        <v>0</v>
      </c>
      <c t="inlineStr" r="H768">
        <is>
          <t xml:space="preserve">Restaurant</t>
        </is>
      </c>
      <c t="inlineStr" r="I768">
        <is>
          <t xml:space="preserve">Food Services and Drinking Places</t>
        </is>
      </c>
      <c t="inlineStr" r="L768">
        <is>
          <t xml:space="preserve">-----</t>
        </is>
      </c>
    </row>
    <row r="769">
      <c t="str" r="A769" s="4">
        <f>HYPERLINK("https://linkbusiness.com/businesses-for-sale/SL00008/Profitable-Passenger-Transportation-Business","SL00008")</f>
      </c>
      <c t="inlineStr" r="B769">
        <is>
          <t xml:space="preserve">Profitable Passenger Transportation Business</t>
        </is>
      </c>
      <c r="C769" s="63">
        <v>1500000</v>
      </c>
      <c r="D769" s="63">
        <v>75570000</v>
      </c>
      <c t="inlineStr" r="E769">
        <is>
          <t xml:space="preserve">-----</t>
        </is>
      </c>
      <c r="F769" s="65">
        <v>0</v>
      </c>
      <c r="G769" s="65">
        <v>0</v>
      </c>
      <c t="inlineStr" r="H769">
        <is>
          <t xml:space="preserve">Other Services (except public administration)</t>
        </is>
      </c>
      <c t="inlineStr" r="I769">
        <is>
          <t xml:space="preserve">&lt;none&gt;</t>
        </is>
      </c>
      <c t="inlineStr" r="L769">
        <is>
          <t xml:space="preserve">-----</t>
        </is>
      </c>
    </row>
    <row r="770">
      <c t="str" r="A770" s="4">
        <f>HYPERLINK("https://linkbusiness.com/businesses-for-sale/SL0001/Established-and-Profitable-Home-Improvement-BFS","SL0001")</f>
      </c>
      <c t="inlineStr" r="B770">
        <is>
          <t xml:space="preserve">Established and Profitable Home Improvement BFS</t>
        </is>
      </c>
      <c r="C770" s="63">
        <v>205000</v>
      </c>
      <c r="D770" s="63">
        <v>10327900</v>
      </c>
      <c t="inlineStr" r="E770">
        <is>
          <t xml:space="preserve">-----</t>
        </is>
      </c>
      <c r="F770" s="65">
        <v>0</v>
      </c>
      <c r="G770" s="65">
        <v>0</v>
      </c>
      <c t="inlineStr" r="H770">
        <is>
          <t xml:space="preserve">Retail Trade</t>
        </is>
      </c>
      <c t="inlineStr" r="I770">
        <is>
          <t xml:space="preserve">&lt;none&gt;</t>
        </is>
      </c>
      <c t="inlineStr" r="L770">
        <is>
          <t xml:space="preserve">-----</t>
        </is>
      </c>
    </row>
    <row r="771">
      <c t="str" r="A771" s="4">
        <f>HYPERLINK("https://linkbusiness.com/businesses-for-sale/SL00014/Non-emergency-Medical-Transportation-Business","SL00014")</f>
      </c>
      <c t="inlineStr" r="B771">
        <is>
          <t xml:space="preserve">Non-emergency Medical Transportation Business</t>
        </is>
      </c>
      <c r="C771" s="63">
        <v>600000</v>
      </c>
      <c r="D771" s="63">
        <v>30228000</v>
      </c>
      <c t="inlineStr" r="E771">
        <is>
          <t xml:space="preserve">Missouri</t>
        </is>
      </c>
      <c r="F771" s="65">
        <v>0</v>
      </c>
      <c r="G771" s="65">
        <v>0</v>
      </c>
      <c t="inlineStr" r="H771">
        <is>
          <t xml:space="preserve">Health Care &amp; Social Assistance</t>
        </is>
      </c>
      <c t="inlineStr" r="I771">
        <is>
          <t xml:space="preserve">&lt;none&gt;</t>
        </is>
      </c>
      <c t="inlineStr" r="L771">
        <is>
          <t xml:space="preserve">-----</t>
        </is>
      </c>
    </row>
    <row r="772">
      <c t="str" r="A772" s="4">
        <f>HYPERLINK("https://linkbusiness.com/businesses-for-sale/SL00015/Auto-Repair-Center-for-Sale","SL00015")</f>
      </c>
      <c t="inlineStr" r="B772">
        <is>
          <t xml:space="preserve">Auto Repair Center for Sale</t>
        </is>
      </c>
      <c r="C772" s="63">
        <v>200000</v>
      </c>
      <c r="D772" s="63">
        <v>10076000</v>
      </c>
      <c t="inlineStr" r="E772">
        <is>
          <t xml:space="preserve">-----</t>
        </is>
      </c>
      <c r="F772" s="65">
        <v>0</v>
      </c>
      <c r="G772" s="65">
        <v>0</v>
      </c>
      <c t="inlineStr" r="H772">
        <is>
          <t xml:space="preserve">Motor Vehicle and Parts Dealers</t>
        </is>
      </c>
      <c t="inlineStr" r="I772">
        <is>
          <t xml:space="preserve">&lt;none&gt;</t>
        </is>
      </c>
      <c t="inlineStr" r="L772">
        <is>
          <t xml:space="preserve">-----</t>
        </is>
      </c>
    </row>
    <row r="773">
      <c t="str" r="A773" s="4">
        <f>HYPERLINK("https://linkbusiness.com/businesses-for-sale/SL00021/Well-Established-Bookkeeping-Firm-for-Sale","SL00021")</f>
      </c>
      <c t="inlineStr" r="B773">
        <is>
          <t xml:space="preserve">Well-Established Bookkeeping Firm for Sale</t>
        </is>
      </c>
      <c r="C773" s="63">
        <v>129693</v>
      </c>
      <c r="D773" s="63">
        <v>6533933</v>
      </c>
      <c t="inlineStr" r="E773">
        <is>
          <t xml:space="preserve">-----</t>
        </is>
      </c>
      <c r="F773" s="65">
        <v>0</v>
      </c>
      <c r="G773" s="65">
        <v>0</v>
      </c>
      <c t="inlineStr" r="H773">
        <is>
          <t xml:space="preserve">&lt;none&gt;</t>
        </is>
      </c>
      <c t="inlineStr" r="I773">
        <is>
          <t xml:space="preserve">&lt;none&gt;</t>
        </is>
      </c>
      <c t="inlineStr" r="L773">
        <is>
          <t xml:space="preserve">-----</t>
        </is>
      </c>
    </row>
    <row r="774">
      <c t="str" r="A774" s="4">
        <f>HYPERLINK("https://linkbusiness.com/businesses-for-sale/SL00054/Advertising%252fMarketing-Franchise-Business","SL00054")</f>
      </c>
      <c t="inlineStr" r="B774">
        <is>
          <t xml:space="preserve">Advertising/Marketing Franchise Business</t>
        </is>
      </c>
      <c r="C774" s="63">
        <v>44500</v>
      </c>
      <c r="D774" s="63">
        <v>2241910</v>
      </c>
      <c t="inlineStr" r="E774">
        <is>
          <t xml:space="preserve">Greater St. Louis Area</t>
        </is>
      </c>
      <c r="F774" s="65">
        <v>0</v>
      </c>
      <c r="G774" s="65">
        <v>0</v>
      </c>
      <c t="inlineStr" r="H774">
        <is>
          <t xml:space="preserve">Franchises</t>
        </is>
      </c>
      <c t="inlineStr" r="I774">
        <is>
          <t xml:space="preserve">&lt;none&gt;</t>
        </is>
      </c>
      <c t="inlineStr" r="J774">
        <is>
          <t xml:space="preserve">Julie Pumfrey</t>
        </is>
      </c>
      <c t="inlineStr" r="L774">
        <is>
          <t xml:space="preserve">-----</t>
        </is>
      </c>
    </row>
    <row r="775">
      <c t="str" r="A775" s="4">
        <f>HYPERLINK("https://linkbusiness.com/businesses-for-sale/SL00057/Profitable-Staffing-Franchise-for-Sale","SL00057")</f>
      </c>
      <c t="inlineStr" r="B775">
        <is>
          <t xml:space="preserve">Profitable Staffing Franchise for Sale</t>
        </is>
      </c>
      <c r="C775" s="63">
        <v>421000</v>
      </c>
      <c r="D775" s="63">
        <v>21209980</v>
      </c>
      <c t="inlineStr" r="E775">
        <is>
          <t xml:space="preserve">Greater St. Louis Area</t>
        </is>
      </c>
      <c r="F775" s="65">
        <v>0</v>
      </c>
      <c r="G775" s="65">
        <v>0</v>
      </c>
      <c t="inlineStr" r="H775">
        <is>
          <t xml:space="preserve">Administrative &amp; Support &amp; Waste Management &amp; Remediation Services</t>
        </is>
      </c>
      <c t="inlineStr" r="I775">
        <is>
          <t xml:space="preserve">Administrative and Support Services</t>
        </is>
      </c>
      <c t="inlineStr" r="L775">
        <is>
          <t xml:space="preserve">-----</t>
        </is>
      </c>
    </row>
    <row r="776">
      <c t="str" r="A776" s="4">
        <f>HYPERLINK("https://linkbusiness.com/businesses-for-sale/SL00060/PROFITABLE-%26-STABLE-PET-PRODUCT-MANUFACTURER","SL00060")</f>
      </c>
      <c t="inlineStr" r="B776">
        <is>
          <t xml:space="preserve">PROFITABLE &amp; STABLE PET PRODUCT MANUFACTURER</t>
        </is>
      </c>
      <c r="C776" s="63">
        <v>1997000</v>
      </c>
      <c r="D776" s="63">
        <v>100608860</v>
      </c>
      <c t="inlineStr" r="E776">
        <is>
          <t xml:space="preserve">Midwest</t>
        </is>
      </c>
      <c r="F776" s="65">
        <v>0</v>
      </c>
      <c r="G776" s="65">
        <v>0</v>
      </c>
      <c t="inlineStr" r="H776">
        <is>
          <t xml:space="preserve">Manufacturing</t>
        </is>
      </c>
      <c t="inlineStr" r="I776">
        <is>
          <t xml:space="preserve">Food Manufacturing</t>
        </is>
      </c>
      <c t="inlineStr" r="L776">
        <is>
          <t xml:space="preserve">-----</t>
        </is>
      </c>
    </row>
    <row r="777">
      <c t="str" r="A777" s="4">
        <f>HYPERLINK("https://linkbusiness.com/businesses-for-sale/SL00069/Turn-key-Salon-in-St-Charles-County","SL00069")</f>
      </c>
      <c t="inlineStr" r="B777">
        <is>
          <t xml:space="preserve">Turn-key Salon in St. Charles County</t>
        </is>
      </c>
      <c r="C777" s="63">
        <v>45000</v>
      </c>
      <c r="D777" s="63">
        <v>2267100</v>
      </c>
      <c t="inlineStr" r="E777">
        <is>
          <t xml:space="preserve">Greater St. Louis Area</t>
        </is>
      </c>
      <c r="F777" s="65">
        <v>0</v>
      </c>
      <c r="G777" s="65">
        <v>0</v>
      </c>
      <c t="inlineStr" r="H777">
        <is>
          <t xml:space="preserve">Other Services (except public administration)</t>
        </is>
      </c>
      <c t="inlineStr" r="I777">
        <is>
          <t xml:space="preserve">Other Personal Services</t>
        </is>
      </c>
      <c t="inlineStr" r="L777">
        <is>
          <t xml:space="preserve">-----</t>
        </is>
      </c>
    </row>
    <row r="778">
      <c t="str" r="A778" s="4">
        <f>HYPERLINK("https://linkbusiness.com/businesses-for-sale/SL00070/Pizza-Parlor-and-Catering-Company","SL00070")</f>
      </c>
      <c t="inlineStr" r="B778">
        <is>
          <t xml:space="preserve">Pizza Parlor and Catering Company</t>
        </is>
      </c>
      <c r="C778" s="63">
        <v>95000</v>
      </c>
      <c r="D778" s="63">
        <v>4786100</v>
      </c>
      <c t="inlineStr" r="E778">
        <is>
          <t xml:space="preserve">Greater St. Louis Area</t>
        </is>
      </c>
      <c r="F778" s="65">
        <v>0</v>
      </c>
      <c r="G778" s="65">
        <v>0</v>
      </c>
      <c t="inlineStr" r="H778">
        <is>
          <t xml:space="preserve">Restaurant</t>
        </is>
      </c>
      <c t="inlineStr" r="I778">
        <is>
          <t xml:space="preserve">Food Services and Drinking Places</t>
        </is>
      </c>
      <c t="inlineStr" r="L778">
        <is>
          <t xml:space="preserve">-----</t>
        </is>
      </c>
    </row>
    <row r="779">
      <c t="str" r="A779" s="4">
        <f>HYPERLINK("https://linkbusiness.com/businesses-for-sale/SL00071/Well-established%2c--successful--eCommerce-sports-uniform-business","SL00071")</f>
      </c>
      <c t="inlineStr" r="B779">
        <is>
          <t xml:space="preserve">Well-established,  successful  eCommerce sports uniform business</t>
        </is>
      </c>
      <c r="C779" s="63">
        <v>109900</v>
      </c>
      <c r="D779" s="63">
        <v>5536762</v>
      </c>
      <c t="inlineStr" r="E779">
        <is>
          <t xml:space="preserve">Relocatable</t>
        </is>
      </c>
      <c r="F779" s="65">
        <v>0</v>
      </c>
      <c r="G779" s="65">
        <v>0</v>
      </c>
      <c t="inlineStr" r="H779">
        <is>
          <t xml:space="preserve">Retail Trade</t>
        </is>
      </c>
      <c t="inlineStr" r="I779">
        <is>
          <t xml:space="preserve">Clothing and Clothing Accessories Stores</t>
        </is>
      </c>
      <c t="inlineStr" r="L779">
        <is>
          <t xml:space="preserve">-----</t>
        </is>
      </c>
    </row>
    <row r="780">
      <c t="str" r="A780" s="4">
        <f>HYPERLINK("https://linkbusiness.com/businesses-for-sale/SL00072/Distributorship-for-Sale","SL00072")</f>
      </c>
      <c t="inlineStr" r="B780">
        <is>
          <t xml:space="preserve">Distributorship for Sale</t>
        </is>
      </c>
      <c r="C780" s="63">
        <v>195000</v>
      </c>
      <c r="D780" s="63">
        <v>9824100</v>
      </c>
      <c t="inlineStr" r="E780">
        <is>
          <t xml:space="preserve">Greater St. Louis Area</t>
        </is>
      </c>
      <c r="F780" s="65">
        <v>0</v>
      </c>
      <c r="G780" s="63">
        <v>83873</v>
      </c>
      <c t="inlineStr" r="H780">
        <is>
          <t xml:space="preserve">Wholesale Trade</t>
        </is>
      </c>
      <c t="inlineStr" r="I780">
        <is>
          <t xml:space="preserve">Merchant Wholesalers, Durable Goods</t>
        </is>
      </c>
      <c t="inlineStr" r="L780">
        <is>
          <t xml:space="preserve">-----</t>
        </is>
      </c>
    </row>
    <row r="781">
      <c t="str" r="A781" s="4">
        <f>HYPERLINK("https://linkbusiness.com/businesses-for-sale/SL00077/Pet-Grooming-Salon-in-St-Charles-Co","SL00077")</f>
      </c>
      <c t="inlineStr" r="B781">
        <is>
          <t xml:space="preserve">Pet Grooming Salon in St. Charles Co.</t>
        </is>
      </c>
      <c r="C781" s="63">
        <v>79000</v>
      </c>
      <c r="D781" s="63">
        <v>3980020</v>
      </c>
      <c t="inlineStr" r="E781">
        <is>
          <t xml:space="preserve">Midwest</t>
        </is>
      </c>
      <c r="F781" s="65">
        <v>0</v>
      </c>
      <c r="G781" s="63">
        <v>52473</v>
      </c>
      <c t="inlineStr" r="H781">
        <is>
          <t xml:space="preserve">Other Services (except public administration)</t>
        </is>
      </c>
      <c t="inlineStr" r="I781">
        <is>
          <t xml:space="preserve">&lt;none&gt;</t>
        </is>
      </c>
      <c t="inlineStr" r="L781">
        <is>
          <t xml:space="preserve">-----</t>
        </is>
      </c>
    </row>
    <row r="782">
      <c t="str" r="A782" s="4">
        <f>HYPERLINK("https://linkbusiness.com/businesses-for-sale/SL00081/Vending-Route-for-Sale","SL00081")</f>
      </c>
      <c t="inlineStr" r="B782">
        <is>
          <t xml:space="preserve">Vending Route for Sale</t>
        </is>
      </c>
      <c r="C782" s="63">
        <v>35000</v>
      </c>
      <c r="D782" s="63">
        <v>1763300</v>
      </c>
      <c t="inlineStr" r="E782">
        <is>
          <t xml:space="preserve">Greater St. Louis Area</t>
        </is>
      </c>
      <c r="F782" s="65">
        <v>0</v>
      </c>
      <c r="G782" s="65">
        <v>0</v>
      </c>
      <c t="inlineStr" r="H782">
        <is>
          <t xml:space="preserve">Retail Trade</t>
        </is>
      </c>
      <c t="inlineStr" r="I782">
        <is>
          <t xml:space="preserve">Vending machine merchandisers, sale of products</t>
        </is>
      </c>
      <c t="inlineStr" r="L782">
        <is>
          <t xml:space="preserve">-----</t>
        </is>
      </c>
    </row>
    <row r="783">
      <c t="str" r="A783" s="4">
        <f>HYPERLINK("https://linkbusiness.com/businesses-for-sale/SL00084/A-Company-That-Remodels-Everything!!","SL00084")</f>
      </c>
      <c t="inlineStr" r="B783">
        <is>
          <t xml:space="preserve">A Company That Remodels Everything!!</t>
        </is>
      </c>
      <c r="C783" s="63">
        <v>125000</v>
      </c>
      <c r="D783" s="63">
        <v>6297500</v>
      </c>
      <c t="inlineStr" r="E783">
        <is>
          <t xml:space="preserve">Greater St. Louis Area</t>
        </is>
      </c>
      <c r="F783" s="65">
        <v>0</v>
      </c>
      <c r="G783" s="65">
        <v>0</v>
      </c>
      <c t="inlineStr" r="H783">
        <is>
          <t xml:space="preserve">Construction</t>
        </is>
      </c>
      <c t="inlineStr" r="I783">
        <is>
          <t xml:space="preserve">Specialty Trade Contractors</t>
        </is>
      </c>
      <c t="inlineStr" r="J783">
        <is>
          <t xml:space="preserve">Howard Hughes III</t>
        </is>
      </c>
      <c t="inlineStr" r="L783">
        <is>
          <t xml:space="preserve">-----</t>
        </is>
      </c>
    </row>
    <row r="784">
      <c t="str" r="A784" s="4">
        <f>HYPERLINK("https://linkbusiness.com/businesses-for-sale/SL00089/Great-opportunity-to-buy-a-pizza-restaurant-for-only-%2418%2c500-down","SL00089")</f>
      </c>
      <c t="inlineStr" r="B784">
        <is>
          <t xml:space="preserve">Great opportunity to buy a pizza restaurant for only $18,500 down</t>
        </is>
      </c>
      <c r="C784" s="63">
        <v>75000</v>
      </c>
      <c r="D784" s="63">
        <v>3778500</v>
      </c>
      <c t="inlineStr" r="E784">
        <is>
          <t xml:space="preserve">Greater St. Louis Area</t>
        </is>
      </c>
      <c r="F784" s="65">
        <v>0</v>
      </c>
      <c r="G784" s="65">
        <v>0</v>
      </c>
      <c t="inlineStr" r="H784">
        <is>
          <t xml:space="preserve">Restaurant</t>
        </is>
      </c>
      <c t="inlineStr" r="I784">
        <is>
          <t xml:space="preserve">Food Services and Drinking Places</t>
        </is>
      </c>
      <c t="inlineStr" r="L784">
        <is>
          <t xml:space="preserve">-----</t>
        </is>
      </c>
    </row>
    <row r="785">
      <c t="str" r="A785" s="4">
        <f>HYPERLINK("https://linkbusiness.com/businesses-for-sale/SL00096/Profitable-Frozen-Yogurt-Shop-in-Busy-St-Louis-County-Location","SL00096")</f>
      </c>
      <c t="inlineStr" r="B785">
        <is>
          <t xml:space="preserve">Profitable Frozen Yogurt Shop in Busy St. Louis County Location</t>
        </is>
      </c>
      <c r="C785" s="63">
        <v>150000</v>
      </c>
      <c r="D785" s="63">
        <v>7557000</v>
      </c>
      <c t="inlineStr" r="E785">
        <is>
          <t xml:space="preserve">-----</t>
        </is>
      </c>
      <c r="F785" s="65">
        <v>0</v>
      </c>
      <c r="G785" s="65">
        <v>0</v>
      </c>
      <c t="inlineStr" r="H785">
        <is>
          <t xml:space="preserve">Restaurant</t>
        </is>
      </c>
      <c t="inlineStr" r="I785">
        <is>
          <t xml:space="preserve">&lt;none&gt;</t>
        </is>
      </c>
      <c t="inlineStr" r="J785">
        <is>
          <t xml:space="preserve">Glenn Adams</t>
        </is>
      </c>
      <c t="inlineStr" r="L785">
        <is>
          <t xml:space="preserve">-----</t>
        </is>
      </c>
    </row>
    <row r="786">
      <c t="str" r="A786" s="4">
        <f>HYPERLINK("https://linkbusiness.com/businesses-for-sale/SL00098/Bakery-and-Specialty-Cake-Company-for-sale","SL00098")</f>
      </c>
      <c t="inlineStr" r="B786">
        <is>
          <t xml:space="preserve">Bakery and Specialty Cake Company for sale</t>
        </is>
      </c>
      <c r="C786" s="63">
        <v>60000</v>
      </c>
      <c r="D786" s="63">
        <v>3022800</v>
      </c>
      <c t="inlineStr" r="E786">
        <is>
          <t xml:space="preserve">Greater St. Louis Area</t>
        </is>
      </c>
      <c r="F786" s="65">
        <v>0</v>
      </c>
      <c r="G786" s="65">
        <v>0</v>
      </c>
      <c t="inlineStr" r="H786">
        <is>
          <t xml:space="preserve">Retail Trade</t>
        </is>
      </c>
      <c t="inlineStr" r="I786">
        <is>
          <t xml:space="preserve">Food and Beverage Stores</t>
        </is>
      </c>
      <c t="inlineStr" r="J786">
        <is>
          <t xml:space="preserve">Glenn Adams</t>
        </is>
      </c>
      <c t="inlineStr" r="L786">
        <is>
          <t xml:space="preserve">-----</t>
        </is>
      </c>
    </row>
    <row r="787">
      <c t="str" r="A787" s="4">
        <f>HYPERLINK("https://linkbusiness.com/businesses-for-sale/SL00125/Profitable-C-Store","SL00125")</f>
      </c>
      <c t="inlineStr" r="B787">
        <is>
          <t xml:space="preserve">Profitable C Store</t>
        </is>
      </c>
      <c r="C787" s="63">
        <v>30000</v>
      </c>
      <c r="D787" s="63">
        <v>1511400</v>
      </c>
      <c t="inlineStr" r="E787">
        <is>
          <t xml:space="preserve">Southern Missouri</t>
        </is>
      </c>
      <c r="F787" s="65">
        <v>0</v>
      </c>
      <c r="G787" s="63">
        <v>35110</v>
      </c>
      <c t="inlineStr" r="H787">
        <is>
          <t xml:space="preserve">Retail Trade</t>
        </is>
      </c>
      <c t="inlineStr" r="I787">
        <is>
          <t xml:space="preserve">Food and Beverage Stores</t>
        </is>
      </c>
      <c t="inlineStr" r="J787">
        <is>
          <t xml:space="preserve">James Brinkmeyer</t>
        </is>
      </c>
      <c t="inlineStr" r="L787">
        <is>
          <t xml:space="preserve">Plus Real Estate</t>
        </is>
      </c>
    </row>
    <row r="788">
      <c t="str" r="A788" s="4">
        <f>HYPERLINK("https://linkbusiness.com/businesses-for-sale/SL0013/Holistic-Health-Clinic-for-Sale","SL0013")</f>
      </c>
      <c t="inlineStr" r="B788">
        <is>
          <t xml:space="preserve">Holistic Health Clinic for Sale</t>
        </is>
      </c>
      <c r="C788" s="63">
        <v>89500</v>
      </c>
      <c r="D788" s="63">
        <v>4509010</v>
      </c>
      <c t="inlineStr" r="E788">
        <is>
          <t xml:space="preserve">-----</t>
        </is>
      </c>
      <c r="F788" s="65">
        <v>0</v>
      </c>
      <c r="G788" s="65">
        <v>0</v>
      </c>
      <c t="inlineStr" r="H788">
        <is>
          <t xml:space="preserve">Health Care &amp; Social Assistance</t>
        </is>
      </c>
      <c t="inlineStr" r="I788">
        <is>
          <t xml:space="preserve">&lt;none&gt;</t>
        </is>
      </c>
      <c t="inlineStr" r="L788">
        <is>
          <t xml:space="preserve">-----</t>
        </is>
      </c>
    </row>
    <row r="789">
      <c t="str" r="A789" s="4">
        <f>HYPERLINK("https://linkbusiness.com/businesses-for-sale/SL00147/Relocatable-Electronic-Equipment-and-Component-Manufacturer%252fDistributor-for-Sale","SL00147")</f>
      </c>
      <c t="inlineStr" r="B789">
        <is>
          <t xml:space="preserve">Relocatable Electronic Equipment and Component Manufacturer/Distributor for Sale</t>
        </is>
      </c>
      <c r="C789" s="63">
        <v>150000</v>
      </c>
      <c r="D789" s="63">
        <v>7557000</v>
      </c>
      <c t="inlineStr" r="E789">
        <is>
          <t xml:space="preserve">Greater St. Louis Area</t>
        </is>
      </c>
      <c r="F789" s="65">
        <v>0</v>
      </c>
      <c r="G789" s="65">
        <v>0</v>
      </c>
      <c t="inlineStr" r="H789">
        <is>
          <t xml:space="preserve">Manufacturing</t>
        </is>
      </c>
      <c t="inlineStr" r="I789">
        <is>
          <t xml:space="preserve">Computer and Electronic Product Manufacturing</t>
        </is>
      </c>
      <c t="inlineStr" r="L789">
        <is>
          <t xml:space="preserve">-----</t>
        </is>
      </c>
    </row>
    <row r="790">
      <c t="str" r="A790" s="4">
        <f>HYPERLINK("https://linkbusiness.com/businesses-for-sale/SL00227/Established-%26-Profitable-Pet-Store-in-St-Louis","SL00227")</f>
      </c>
      <c t="inlineStr" r="B790">
        <is>
          <t xml:space="preserve">Established &amp; Profitable Pet Store in St. Louis</t>
        </is>
      </c>
      <c r="C790" s="63">
        <v>199000</v>
      </c>
      <c r="D790" s="63">
        <v>10025620</v>
      </c>
      <c t="inlineStr" r="E790">
        <is>
          <t xml:space="preserve">Greater St. Louis Area</t>
        </is>
      </c>
      <c r="F790" s="65">
        <v>0</v>
      </c>
      <c r="G790" s="63">
        <v>62000</v>
      </c>
      <c t="inlineStr" r="H790">
        <is>
          <t xml:space="preserve">Retail Trade</t>
        </is>
      </c>
      <c t="inlineStr" r="I790">
        <is>
          <t xml:space="preserve">Miscellaneous Store Retailers</t>
        </is>
      </c>
      <c t="inlineStr" r="J790">
        <is>
          <t xml:space="preserve">James Brinkmeyer</t>
        </is>
      </c>
      <c t="inlineStr" r="L790">
        <is>
          <t xml:space="preserve">-----</t>
        </is>
      </c>
    </row>
    <row r="791">
      <c t="str" r="A791" s="4">
        <f>HYPERLINK("https://linkbusiness.com/businesses-for-sale/SL00239/Well-Established-Painting-%26-Specialty-Construction-Company","SL00239")</f>
      </c>
      <c t="inlineStr" r="B791">
        <is>
          <t xml:space="preserve">Well Established Painting &amp; Specialty Construction Company</t>
        </is>
      </c>
      <c r="C791" s="63">
        <v>217000</v>
      </c>
      <c r="D791" s="63">
        <v>10932460</v>
      </c>
      <c t="inlineStr" r="E791">
        <is>
          <t xml:space="preserve">Midwest</t>
        </is>
      </c>
      <c r="F791" s="65">
        <v>0</v>
      </c>
      <c r="G791" s="63">
        <v>92000</v>
      </c>
      <c t="inlineStr" r="H791">
        <is>
          <t xml:space="preserve">Construction</t>
        </is>
      </c>
      <c t="inlineStr" r="I791">
        <is>
          <t xml:space="preserve">Specialty Trade Contractors</t>
        </is>
      </c>
      <c t="inlineStr" r="L791">
        <is>
          <t xml:space="preserve">-----</t>
        </is>
      </c>
    </row>
    <row r="792">
      <c t="str" r="A792" s="4">
        <f>HYPERLINK("https://linkbusiness.com/businesses-for-sale/SL0026/Jewelry-Component-Distributor-for-Sale","SL0026")</f>
      </c>
      <c t="inlineStr" r="B792">
        <is>
          <t xml:space="preserve">Jewelry Component Distributor for Sale</t>
        </is>
      </c>
      <c r="C792" s="63">
        <v>550000</v>
      </c>
      <c r="D792" s="63">
        <v>27709000</v>
      </c>
      <c t="inlineStr" r="E792">
        <is>
          <t xml:space="preserve">-----</t>
        </is>
      </c>
      <c r="F792" s="65">
        <v>0</v>
      </c>
      <c r="G792" s="65">
        <v>0</v>
      </c>
      <c t="inlineStr" r="H792">
        <is>
          <t xml:space="preserve">Transportation &amp; Warehousing</t>
        </is>
      </c>
      <c t="inlineStr" r="I792">
        <is>
          <t xml:space="preserve">&lt;none&gt;</t>
        </is>
      </c>
      <c t="inlineStr" r="L792">
        <is>
          <t xml:space="preserve">-----</t>
        </is>
      </c>
    </row>
    <row r="793">
      <c t="str" r="A793" s="4">
        <f>HYPERLINK("https://linkbusiness.com/businesses-for-sale/SL00276/Established-and-Profitable-Home-Improvement-BFS","SL00276")</f>
      </c>
      <c t="inlineStr" r="B793">
        <is>
          <t xml:space="preserve">Established and Profitable Home Improvement BFS</t>
        </is>
      </c>
      <c r="C793" s="63">
        <v>39000</v>
      </c>
      <c r="D793" s="63">
        <v>1964820</v>
      </c>
      <c t="inlineStr" r="E793">
        <is>
          <t xml:space="preserve">Greater St. Louis Area</t>
        </is>
      </c>
      <c r="F793" s="65">
        <v>0</v>
      </c>
      <c r="G793" s="63">
        <v>47832</v>
      </c>
      <c t="inlineStr" r="H793">
        <is>
          <t xml:space="preserve">Retail Trade</t>
        </is>
      </c>
      <c t="inlineStr" r="I793">
        <is>
          <t xml:space="preserve">Furniture and Home Furnishings Stores</t>
        </is>
      </c>
      <c t="inlineStr" r="L793">
        <is>
          <t xml:space="preserve">-----</t>
        </is>
      </c>
    </row>
    <row r="794">
      <c t="str" r="A794" s="4">
        <f>HYPERLINK("https://linkbusiness.com/businesses-for-sale/SL00282/Turn-Key-Hair-Salon-For-Sale","SL00282")</f>
      </c>
      <c t="inlineStr" r="B794">
        <is>
          <t xml:space="preserve">Turn Key Hair Salon For Sale</t>
        </is>
      </c>
      <c r="C794" s="63">
        <v>59000</v>
      </c>
      <c r="D794" s="63">
        <v>2972420</v>
      </c>
      <c t="inlineStr" r="E794">
        <is>
          <t xml:space="preserve">Greater St. Louis Area</t>
        </is>
      </c>
      <c r="F794" s="65">
        <v>0</v>
      </c>
      <c r="G794" s="63">
        <v>25083</v>
      </c>
      <c t="inlineStr" r="H794">
        <is>
          <t xml:space="preserve">Other Services (except public administration)</t>
        </is>
      </c>
      <c t="inlineStr" r="I794">
        <is>
          <t xml:space="preserve">Personal Care Services</t>
        </is>
      </c>
      <c t="inlineStr" r="J794">
        <is>
          <t xml:space="preserve">Howard Hughes III</t>
        </is>
      </c>
      <c t="inlineStr" r="L794">
        <is>
          <t xml:space="preserve">-----</t>
        </is>
      </c>
    </row>
    <row r="795">
      <c t="str" r="A795" s="4">
        <f>HYPERLINK("https://linkbusiness.com/businesses-for-sale/SL00288/Profitable-and-growing-manufacturing-firm-in-niche-industry","SL00288")</f>
      </c>
      <c t="inlineStr" r="B795">
        <is>
          <t xml:space="preserve">Profitable and growing manufacturing firm in niche industry</t>
        </is>
      </c>
      <c r="C795" s="63">
        <v>6000000</v>
      </c>
      <c r="D795" s="63">
        <v>302280000</v>
      </c>
      <c t="inlineStr" r="E795">
        <is>
          <t xml:space="preserve">Greater St. Louis Area</t>
        </is>
      </c>
      <c r="F795" s="65">
        <v>0</v>
      </c>
      <c r="G795" s="65">
        <v>0</v>
      </c>
      <c t="inlineStr" r="H795">
        <is>
          <t xml:space="preserve">Manufacturing</t>
        </is>
      </c>
      <c t="inlineStr" r="I795">
        <is>
          <t xml:space="preserve">Leather and Allied Product Manufacturing</t>
        </is>
      </c>
      <c t="inlineStr" r="L795">
        <is>
          <t xml:space="preserve">-----</t>
        </is>
      </c>
    </row>
    <row r="796">
      <c t="str" r="A796" s="4">
        <f>HYPERLINK("https://linkbusiness.com/businesses-for-sale/SL00292/Auto-Detailing-Business-and-Vehicle-Vinyl-Graphics-and-Wraps-Business-For-Sale","SL00292")</f>
      </c>
      <c t="inlineStr" r="B796">
        <is>
          <t xml:space="preserve">Auto Detailing Business and Vehicle Vinyl Graphics and Wraps Business For Sale</t>
        </is>
      </c>
      <c r="C796" s="63">
        <v>594000</v>
      </c>
      <c r="D796" s="63">
        <v>29925720</v>
      </c>
      <c t="inlineStr" r="E796">
        <is>
          <t xml:space="preserve">Greater St. Louis Area</t>
        </is>
      </c>
      <c r="F796" s="65">
        <v>0</v>
      </c>
      <c r="G796" s="63">
        <v>226771</v>
      </c>
      <c t="inlineStr" r="H796">
        <is>
          <t xml:space="preserve">Other Services (except public administration)</t>
        </is>
      </c>
      <c t="inlineStr" r="I796">
        <is>
          <t xml:space="preserve">Repair and Maintenance</t>
        </is>
      </c>
      <c t="inlineStr" r="J796">
        <is>
          <t xml:space="preserve">James Brinkmeyer</t>
        </is>
      </c>
      <c t="inlineStr" r="L796">
        <is>
          <t xml:space="preserve">-----</t>
        </is>
      </c>
    </row>
    <row r="797">
      <c t="str" r="A797" s="4">
        <f>HYPERLINK("https://linkbusiness.com/businesses-for-sale/SL00294/Relocatable","SL00294")</f>
      </c>
      <c t="inlineStr" r="B797">
        <is>
          <t xml:space="preserve">Relocatable</t>
        </is>
      </c>
      <c r="C797" s="63">
        <v>525000</v>
      </c>
      <c r="D797" s="63">
        <v>26449500</v>
      </c>
      <c t="inlineStr" r="E797">
        <is>
          <t xml:space="preserve">Greater St. Louis Area</t>
        </is>
      </c>
      <c r="F797" s="65">
        <v>0</v>
      </c>
      <c r="G797" s="63">
        <v>179893</v>
      </c>
      <c t="inlineStr" r="H797">
        <is>
          <t xml:space="preserve">Manufacturing</t>
        </is>
      </c>
      <c t="inlineStr" r="I797">
        <is>
          <t xml:space="preserve">Computer and Electronic Product Manufacturing</t>
        </is>
      </c>
      <c t="inlineStr" r="J797">
        <is>
          <t xml:space="preserve">James Brinkmeyer</t>
        </is>
      </c>
      <c t="inlineStr" r="L797">
        <is>
          <t xml:space="preserve">-----</t>
        </is>
      </c>
    </row>
    <row r="798">
      <c t="str" r="A798" s="4">
        <f>HYPERLINK("https://linkbusiness.com/businesses-for-sale/SL00295/PRICE-REDUCED-ON-MOBILE-CRYOTHERAPY-BUSINESS","SL00295")</f>
      </c>
      <c t="inlineStr" r="B798">
        <is>
          <t xml:space="preserve">PRICE REDUCED ON MOBILE CRYOTHERAPY BUSINESS</t>
        </is>
      </c>
      <c r="C798" s="63">
        <v>62000</v>
      </c>
      <c r="D798" s="63">
        <v>3123560</v>
      </c>
      <c t="inlineStr" r="E798">
        <is>
          <t xml:space="preserve">Greater St. Louis Area</t>
        </is>
      </c>
      <c r="F798" s="65">
        <v>0</v>
      </c>
      <c r="G798" s="65">
        <v>0</v>
      </c>
      <c t="inlineStr" r="H798">
        <is>
          <t xml:space="preserve">Health Care &amp; Social Assistance</t>
        </is>
      </c>
      <c t="inlineStr" r="I798">
        <is>
          <t xml:space="preserve">Ambulatory Health Care Services</t>
        </is>
      </c>
      <c t="inlineStr" r="J798">
        <is>
          <t xml:space="preserve">Kevin Washington</t>
        </is>
      </c>
      <c t="inlineStr" r="L798">
        <is>
          <t xml:space="preserve">-----</t>
        </is>
      </c>
    </row>
    <row r="799">
      <c t="str" r="A799" s="4">
        <f>HYPERLINK("https://linkbusiness.com/businesses-for-sale/SL00298/50-year-old-Auto-Salvage-Business","SL00298")</f>
      </c>
      <c t="inlineStr" r="B799">
        <is>
          <t xml:space="preserve">50 year old Auto Salvage Business</t>
        </is>
      </c>
      <c r="C799" s="63">
        <v>135000</v>
      </c>
      <c r="D799" s="63">
        <v>6801300</v>
      </c>
      <c t="inlineStr" r="E799">
        <is>
          <t xml:space="preserve">Greater St. Louis Area</t>
        </is>
      </c>
      <c r="F799" s="65">
        <v>0</v>
      </c>
      <c r="G799" s="65">
        <v>0</v>
      </c>
      <c t="inlineStr" r="H799">
        <is>
          <t xml:space="preserve">Wholesale Trade</t>
        </is>
      </c>
      <c t="inlineStr" r="I799">
        <is>
          <t xml:space="preserve">Merchant Wholesalers, Durable Goods</t>
        </is>
      </c>
      <c t="inlineStr" r="J799">
        <is>
          <t xml:space="preserve">Glenn Adams</t>
        </is>
      </c>
      <c t="inlineStr" r="L799">
        <is>
          <t xml:space="preserve">-----</t>
        </is>
      </c>
    </row>
    <row r="800">
      <c t="str" r="A800" s="4">
        <f>HYPERLINK("https://linkbusiness.com/businesses-for-sale/SL00299/Successful-Bridal-Shop","SL00299")</f>
      </c>
      <c t="inlineStr" r="B800">
        <is>
          <t xml:space="preserve">Successful Bridal Shop</t>
        </is>
      </c>
      <c r="C800" s="63">
        <v>85000</v>
      </c>
      <c r="D800" s="63">
        <v>4282300</v>
      </c>
      <c t="inlineStr" r="E800">
        <is>
          <t xml:space="preserve">Greater St. Louis Area</t>
        </is>
      </c>
      <c r="F800" s="65">
        <v>0</v>
      </c>
      <c r="G800" s="63">
        <v>29447</v>
      </c>
      <c t="inlineStr" r="H800">
        <is>
          <t xml:space="preserve">Retail Trade</t>
        </is>
      </c>
      <c t="inlineStr" r="I800">
        <is>
          <t xml:space="preserve">Clothing and Clothing Accessories Stores</t>
        </is>
      </c>
      <c t="inlineStr" r="J800">
        <is>
          <t xml:space="preserve">James Brinkmeyer</t>
        </is>
      </c>
      <c t="inlineStr" r="L800">
        <is>
          <t xml:space="preserve">-----</t>
        </is>
      </c>
    </row>
    <row r="801">
      <c t="str" r="A801" s="4">
        <f>HYPERLINK("https://linkbusiness.com/businesses-for-sale/SL00301/Successful-Cabinet-Refinishing-and-Home-Improvement-Company","SL00301")</f>
      </c>
      <c t="inlineStr" r="B801">
        <is>
          <t xml:space="preserve">Successful Cabinet Refinishing and Home Improvement Company</t>
        </is>
      </c>
      <c r="C801" s="63">
        <v>294000</v>
      </c>
      <c r="D801" s="63">
        <v>14811720</v>
      </c>
      <c t="inlineStr" r="E801">
        <is>
          <t xml:space="preserve">Greater St. Louis Area</t>
        </is>
      </c>
      <c r="F801" s="65">
        <v>0</v>
      </c>
      <c r="G801" s="63">
        <v>95500</v>
      </c>
      <c t="inlineStr" r="H801">
        <is>
          <t xml:space="preserve">Administrative &amp; Support &amp; Waste Management &amp; Remediation Services</t>
        </is>
      </c>
      <c t="inlineStr" r="I801">
        <is>
          <t xml:space="preserve">Administrative and Support Services</t>
        </is>
      </c>
      <c t="inlineStr" r="J801">
        <is>
          <t xml:space="preserve">James Brinkmeyer</t>
        </is>
      </c>
      <c t="inlineStr" r="L801">
        <is>
          <t xml:space="preserve">-----</t>
        </is>
      </c>
    </row>
    <row r="802">
      <c t="str" r="A802" s="4">
        <f>HYPERLINK("https://linkbusiness.com/businesses-for-sale/SL00303/RESTAURANT!!","SL00303")</f>
      </c>
      <c t="inlineStr" r="B802">
        <is>
          <t xml:space="preserve">RESTAURANT!!</t>
        </is>
      </c>
      <c r="C802" s="63">
        <v>40000</v>
      </c>
      <c r="D802" s="63">
        <v>2015200</v>
      </c>
      <c t="inlineStr" r="E802">
        <is>
          <t xml:space="preserve">Greater St. Louis Area</t>
        </is>
      </c>
      <c r="F802" s="65">
        <v>0</v>
      </c>
      <c r="G802" s="65">
        <v>0</v>
      </c>
      <c t="inlineStr" r="H802">
        <is>
          <t xml:space="preserve">Restaurant</t>
        </is>
      </c>
      <c t="inlineStr" r="I802">
        <is>
          <t xml:space="preserve">&lt;none&gt;</t>
        </is>
      </c>
      <c t="inlineStr" r="L802">
        <is>
          <t xml:space="preserve">-----</t>
        </is>
      </c>
    </row>
    <row r="803">
      <c t="str" r="A803" s="4">
        <f>HYPERLINK("https://linkbusiness.com/businesses-for-sale/SL00304/Profitable-Healthful-Snacks-and-Treats-Wholesaler","SL00304")</f>
      </c>
      <c t="inlineStr" r="B803">
        <is>
          <t xml:space="preserve">Profitable Healthful Snacks and Treats Wholesaler</t>
        </is>
      </c>
      <c r="C803" s="63">
        <v>75000</v>
      </c>
      <c r="D803" s="63">
        <v>3778500</v>
      </c>
      <c t="inlineStr" r="E803">
        <is>
          <t xml:space="preserve">Greater St. Louis Area</t>
        </is>
      </c>
      <c r="F803" s="65">
        <v>0</v>
      </c>
      <c r="G803" s="63">
        <v>61222</v>
      </c>
      <c t="inlineStr" r="H803">
        <is>
          <t xml:space="preserve">Wholesale Trade</t>
        </is>
      </c>
      <c t="inlineStr" r="I803">
        <is>
          <t xml:space="preserve">Merchant Wholesalers, Nondurable Goods</t>
        </is>
      </c>
      <c t="inlineStr" r="J803">
        <is>
          <t xml:space="preserve">James Brinkmeyer</t>
        </is>
      </c>
      <c t="inlineStr" r="L803">
        <is>
          <t xml:space="preserve">+ inventory</t>
        </is>
      </c>
    </row>
    <row r="804">
      <c t="str" r="A804" s="4">
        <f>HYPERLINK("https://linkbusiness.com/businesses-for-sale/SL00306/Profitable-Dance-Studio-Priced-to-Sell","SL00306")</f>
      </c>
      <c t="inlineStr" r="B804">
        <is>
          <t xml:space="preserve">Profitable Dance Studio Priced to Sell</t>
        </is>
      </c>
      <c r="C804" s="63">
        <v>45000</v>
      </c>
      <c r="D804" s="63">
        <v>2267100</v>
      </c>
      <c t="inlineStr" r="E804">
        <is>
          <t xml:space="preserve">Greater St. Louis Area</t>
        </is>
      </c>
      <c r="F804" s="65">
        <v>0</v>
      </c>
      <c r="G804" s="63">
        <v>91000</v>
      </c>
      <c t="inlineStr" r="H804">
        <is>
          <t xml:space="preserve">Arts, Entertainment &amp; Recreation</t>
        </is>
      </c>
      <c t="inlineStr" r="I804">
        <is>
          <t xml:space="preserve">Performing Arts, Spectator Sports, and Related Industries</t>
        </is>
      </c>
      <c t="inlineStr" r="J804">
        <is>
          <t xml:space="preserve">Julie Pumfrey</t>
        </is>
      </c>
      <c t="inlineStr" r="L804">
        <is>
          <t xml:space="preserve">-----</t>
        </is>
      </c>
    </row>
    <row r="805">
      <c t="str" r="A805" s="4">
        <f>HYPERLINK("https://linkbusiness.com/businesses-for-sale/SL00307/Reputable%2c-Relocatable%2c-Wholesale-Bakery","SL00307")</f>
      </c>
      <c t="inlineStr" r="B805">
        <is>
          <t xml:space="preserve">Reputable, Relocatable, Wholesale Bakery</t>
        </is>
      </c>
      <c r="C805" s="63">
        <v>89000</v>
      </c>
      <c r="D805" s="63">
        <v>4483820</v>
      </c>
      <c t="inlineStr" r="E805">
        <is>
          <t xml:space="preserve">Greater St. Louis Area</t>
        </is>
      </c>
      <c r="F805" s="65">
        <v>0</v>
      </c>
      <c r="G805" s="65">
        <v>0</v>
      </c>
      <c t="inlineStr" r="H805">
        <is>
          <t xml:space="preserve">Wholesale Trade</t>
        </is>
      </c>
      <c t="inlineStr" r="I805">
        <is>
          <t xml:space="preserve">Merchant Wholesalers, Nondurable Goods</t>
        </is>
      </c>
      <c t="inlineStr" r="J805">
        <is>
          <t xml:space="preserve">James Brinkmeyer</t>
        </is>
      </c>
      <c t="inlineStr" r="L805">
        <is>
          <t xml:space="preserve">-----</t>
        </is>
      </c>
    </row>
    <row r="806">
      <c t="str" r="A806" s="4">
        <f>HYPERLINK("https://linkbusiness.com/businesses-for-sale/SL00309/Profitable%2c-New-and-Used-Tire-Shop","SL00309")</f>
      </c>
      <c t="inlineStr" r="B806">
        <is>
          <t xml:space="preserve">Profitable, New and Used Tire Shop</t>
        </is>
      </c>
      <c r="C806" s="63">
        <v>115000</v>
      </c>
      <c r="D806" s="63">
        <v>5793700</v>
      </c>
      <c t="inlineStr" r="E806">
        <is>
          <t xml:space="preserve">Greater St. Louis Area</t>
        </is>
      </c>
      <c r="F806" s="65">
        <v>0</v>
      </c>
      <c r="G806" s="65">
        <v>0</v>
      </c>
      <c t="inlineStr" r="H806">
        <is>
          <t xml:space="preserve">Retail Trade</t>
        </is>
      </c>
      <c t="inlineStr" r="I806">
        <is>
          <t xml:space="preserve">Motor Vehicle and Parts Dealers</t>
        </is>
      </c>
      <c t="inlineStr" r="J806">
        <is>
          <t xml:space="preserve">Kevin Washington</t>
        </is>
      </c>
      <c t="inlineStr" r="L806">
        <is>
          <t xml:space="preserve">-----</t>
        </is>
      </c>
    </row>
    <row r="807">
      <c t="str" r="A807" s="4">
        <f>HYPERLINK("https://linkbusiness.com/businesses-for-sale/SL00311/Tanning-Salon-and-Boutique","SL00311")</f>
      </c>
      <c t="inlineStr" r="B807">
        <is>
          <t xml:space="preserve">Tanning Salon and Boutique</t>
        </is>
      </c>
      <c r="C807" s="63">
        <v>80000</v>
      </c>
      <c r="D807" s="63">
        <v>4030400</v>
      </c>
      <c t="inlineStr" r="E807">
        <is>
          <t xml:space="preserve">Greater St. Louis Area</t>
        </is>
      </c>
      <c r="F807" s="65">
        <v>0</v>
      </c>
      <c r="G807" s="63">
        <v>34672</v>
      </c>
      <c t="inlineStr" r="H807">
        <is>
          <t xml:space="preserve">Other Services (except public administration)</t>
        </is>
      </c>
      <c t="inlineStr" r="I807">
        <is>
          <t xml:space="preserve">Personal Care Services</t>
        </is>
      </c>
      <c t="inlineStr" r="J807">
        <is>
          <t xml:space="preserve">Jeff Wifa</t>
        </is>
      </c>
      <c t="inlineStr" r="K807">
        <is>
          <t xml:space="preserve">Julie Pumfrey</t>
        </is>
      </c>
      <c t="inlineStr" r="L807">
        <is>
          <t xml:space="preserve">-----</t>
        </is>
      </c>
    </row>
    <row r="808">
      <c t="str" r="A808" s="4">
        <f>HYPERLINK("https://linkbusiness.com/businesses-for-sale/SL00312/High-Profit-Flexible-Vending-Route","SL00312")</f>
      </c>
      <c t="inlineStr" r="B808">
        <is>
          <t xml:space="preserve">High Profit Flexible Vending Route</t>
        </is>
      </c>
      <c r="C808" s="63">
        <v>165900</v>
      </c>
      <c r="D808" s="63">
        <v>8358042</v>
      </c>
      <c t="inlineStr" r="E808">
        <is>
          <t xml:space="preserve">Greater St. Louis Area</t>
        </is>
      </c>
      <c r="F808" s="65">
        <v>0</v>
      </c>
      <c r="G808" s="63">
        <v>72014</v>
      </c>
      <c t="inlineStr" r="H808">
        <is>
          <t xml:space="preserve">Retail Trade</t>
        </is>
      </c>
      <c t="inlineStr" r="I808">
        <is>
          <t xml:space="preserve">Nonstore Retailers</t>
        </is>
      </c>
      <c t="inlineStr" r="L808">
        <is>
          <t xml:space="preserve">-----</t>
        </is>
      </c>
    </row>
    <row r="809">
      <c t="str" r="A809" s="4">
        <f>HYPERLINK("https://linkbusiness.com/businesses-for-sale/SL00313/Profitable-and-well-established-locksmith-company-located-in-St-Louis-that-covers-all-the-industry","SL00313")</f>
      </c>
      <c t="inlineStr" r="B809">
        <is>
          <t xml:space="preserve">Profitable and well established locksmith company located in St. Louis that covers all the industry</t>
        </is>
      </c>
      <c r="C809" s="63">
        <v>135000</v>
      </c>
      <c r="D809" s="63">
        <v>6801300</v>
      </c>
      <c t="inlineStr" r="E809">
        <is>
          <t xml:space="preserve">Greater St. Louis Area</t>
        </is>
      </c>
      <c r="F809" s="65">
        <v>0</v>
      </c>
      <c r="G809" s="65">
        <v>0</v>
      </c>
      <c t="inlineStr" r="H809">
        <is>
          <t xml:space="preserve">Administrative &amp; Support &amp; Waste Management &amp; Remediation Services</t>
        </is>
      </c>
      <c t="inlineStr" r="I809">
        <is>
          <t xml:space="preserve">&lt;none&gt;</t>
        </is>
      </c>
      <c t="inlineStr" r="J809">
        <is>
          <t xml:space="preserve">James Brinkmeyer</t>
        </is>
      </c>
      <c t="inlineStr" r="L809">
        <is>
          <t xml:space="preserve">-----</t>
        </is>
      </c>
    </row>
    <row r="810">
      <c t="str" r="A810" s="4">
        <f>HYPERLINK("https://linkbusiness.com/businesses-for-sale/SL00314/Want-To-Own-A-Distillery","SL00314")</f>
      </c>
      <c t="inlineStr" r="B810">
        <is>
          <t xml:space="preserve">Want To Own A Distillery?</t>
        </is>
      </c>
      <c r="C810" s="65">
        <v>0</v>
      </c>
      <c r="D810" s="65">
        <v>0</v>
      </c>
      <c t="inlineStr" r="E810">
        <is>
          <t xml:space="preserve">Midwest</t>
        </is>
      </c>
      <c r="F810" s="65">
        <v>0</v>
      </c>
      <c r="G810" s="65">
        <v>0</v>
      </c>
      <c t="inlineStr" r="H810">
        <is>
          <t xml:space="preserve">Manufacturing</t>
        </is>
      </c>
      <c t="inlineStr" r="I810">
        <is>
          <t xml:space="preserve">&lt;none&gt;</t>
        </is>
      </c>
      <c t="inlineStr" r="J810">
        <is>
          <t xml:space="preserve">James Brinkmeyer</t>
        </is>
      </c>
      <c t="inlineStr" r="L810">
        <is>
          <t xml:space="preserve">Refer to Broker</t>
        </is>
      </c>
    </row>
    <row r="811">
      <c t="str" r="A811" s="4">
        <f>HYPERLINK("https://linkbusiness.com/businesses-for-sale/SL00316/Hot-Dog-Restaurant!-World%27s-Largest-Hot-Dog-Cart","SL00316")</f>
      </c>
      <c t="inlineStr" r="B811">
        <is>
          <t xml:space="preserve">Hot Dog Restaurant! World's Largest Hot Dog Cart</t>
        </is>
      </c>
      <c r="C811" s="63">
        <v>85000</v>
      </c>
      <c r="D811" s="63">
        <v>4282300</v>
      </c>
      <c t="inlineStr" r="E811">
        <is>
          <t xml:space="preserve">Greater St. Louis Area</t>
        </is>
      </c>
      <c r="F811" s="65">
        <v>0</v>
      </c>
      <c r="G811" s="65">
        <v>0</v>
      </c>
      <c t="inlineStr" r="H811">
        <is>
          <t xml:space="preserve">Restaurant</t>
        </is>
      </c>
      <c t="inlineStr" r="I811">
        <is>
          <t xml:space="preserve">&lt;none&gt;</t>
        </is>
      </c>
      <c t="inlineStr" r="J811">
        <is>
          <t xml:space="preserve">Glenn Adams</t>
        </is>
      </c>
      <c t="inlineStr" r="L811">
        <is>
          <t xml:space="preserve">-----</t>
        </is>
      </c>
    </row>
    <row r="812">
      <c t="str" r="A812" s="4">
        <f>HYPERLINK("https://linkbusiness.com/businesses-for-sale/SL00317/Established-Bowling-and-Entertainment-Center-for-Sale-in-Midwest","SL00317")</f>
      </c>
      <c t="inlineStr" r="B812">
        <is>
          <t xml:space="preserve">Established Bowling and Entertainment Center for Sale in Midwest</t>
        </is>
      </c>
      <c r="C812" s="63">
        <v>450000</v>
      </c>
      <c r="D812" s="63">
        <v>22671000</v>
      </c>
      <c t="inlineStr" r="E812">
        <is>
          <t xml:space="preserve">Midwest</t>
        </is>
      </c>
      <c r="F812" s="65">
        <v>0</v>
      </c>
      <c r="G812" s="65">
        <v>0</v>
      </c>
      <c t="inlineStr" r="H812">
        <is>
          <t xml:space="preserve">Arts, Entertainment &amp; Recreation</t>
        </is>
      </c>
      <c t="inlineStr" r="I812">
        <is>
          <t xml:space="preserve">&lt;none&gt;</t>
        </is>
      </c>
      <c t="inlineStr" r="J812">
        <is>
          <t xml:space="preserve">Julie Pumfrey</t>
        </is>
      </c>
      <c t="inlineStr" r="L812">
        <is>
          <t xml:space="preserve">-----</t>
        </is>
      </c>
    </row>
    <row r="813">
      <c t="str" r="A813" s="4">
        <f>HYPERLINK("https://linkbusiness.com/businesses-for-sale/SL00318/RELOCATABLE-Nationwide-and-Worldwide-Business-Enterprise-Opportunity!","SL00318")</f>
      </c>
      <c t="inlineStr" r="B813">
        <is>
          <t xml:space="preserve">RELOCATABLE Nationwide and Worldwide Business Enterprise Opportunity!</t>
        </is>
      </c>
      <c r="C813" s="63">
        <v>15000000</v>
      </c>
      <c r="D813" s="63">
        <v>755700000</v>
      </c>
      <c t="inlineStr" r="E813">
        <is>
          <t xml:space="preserve">Greater St. Louis Area</t>
        </is>
      </c>
      <c r="F813" s="65">
        <v>0</v>
      </c>
      <c r="G813" s="65">
        <v>0</v>
      </c>
      <c t="inlineStr" r="H813">
        <is>
          <t xml:space="preserve">Educational Services</t>
        </is>
      </c>
      <c t="inlineStr" r="I813">
        <is>
          <t xml:space="preserve">Educational Services (Level 3)</t>
        </is>
      </c>
      <c t="inlineStr" r="J813">
        <is>
          <t xml:space="preserve">Julie Pumfrey</t>
        </is>
      </c>
      <c t="inlineStr" r="L813">
        <is>
          <t xml:space="preserve">-----</t>
        </is>
      </c>
    </row>
    <row r="814">
      <c t="str" r="A814" s="4">
        <f>HYPERLINK("https://linkbusiness.com/businesses-for-sale/SL0032/Pet-Grooming-Salon-for-Sale","SL0032")</f>
      </c>
      <c t="inlineStr" r="B814">
        <is>
          <t xml:space="preserve">Pet Grooming Salon for Sale</t>
        </is>
      </c>
      <c r="C814" s="63">
        <v>79995</v>
      </c>
      <c r="D814" s="63">
        <v>4030148</v>
      </c>
      <c t="inlineStr" r="E814">
        <is>
          <t xml:space="preserve">-----</t>
        </is>
      </c>
      <c r="F814" s="65">
        <v>0</v>
      </c>
      <c r="G814" s="65">
        <v>0</v>
      </c>
      <c t="inlineStr" r="H814">
        <is>
          <t xml:space="preserve">Other Services (except public administration)</t>
        </is>
      </c>
      <c t="inlineStr" r="I814">
        <is>
          <t xml:space="preserve">&lt;none&gt;</t>
        </is>
      </c>
      <c t="inlineStr" r="L814">
        <is>
          <t xml:space="preserve">-----</t>
        </is>
      </c>
    </row>
    <row r="815">
      <c t="str" r="A815" s="4">
        <f>HYPERLINK("https://linkbusiness.com/businesses-for-sale/SL00320/Profitable-Youth-Sports-Franchise","SL00320")</f>
      </c>
      <c t="inlineStr" r="B815">
        <is>
          <t xml:space="preserve">Profitable Youth Sports Franchise</t>
        </is>
      </c>
      <c r="C815" s="63">
        <v>185000</v>
      </c>
      <c r="D815" s="63">
        <v>9320300</v>
      </c>
      <c t="inlineStr" r="E815">
        <is>
          <t xml:space="preserve">Greater Chicago Area</t>
        </is>
      </c>
      <c r="F815" s="65">
        <v>0</v>
      </c>
      <c r="G815" s="65">
        <v>0</v>
      </c>
      <c t="inlineStr" r="H815">
        <is>
          <t xml:space="preserve">Arts, Entertainment &amp; Recreation</t>
        </is>
      </c>
      <c t="inlineStr" r="I815">
        <is>
          <t xml:space="preserve">&lt;none&gt;</t>
        </is>
      </c>
      <c t="inlineStr" r="J815">
        <is>
          <t xml:space="preserve">Glenn Adams</t>
        </is>
      </c>
      <c t="inlineStr" r="L815">
        <is>
          <t xml:space="preserve">-----</t>
        </is>
      </c>
    </row>
    <row r="816">
      <c t="str" r="A816" s="4">
        <f>HYPERLINK("https://linkbusiness.com/businesses-for-sale/SL00321/Turn-key-Commercial-Investment-Property","SL00321")</f>
      </c>
      <c t="inlineStr" r="B816">
        <is>
          <t xml:space="preserve">Turn key Commercial Investment Property</t>
        </is>
      </c>
      <c r="C816" s="63">
        <v>1300000</v>
      </c>
      <c r="D816" s="63">
        <v>65494000</v>
      </c>
      <c t="inlineStr" r="E816">
        <is>
          <t xml:space="preserve">Greater St. Louis Area</t>
        </is>
      </c>
      <c r="F816" s="65">
        <v>0</v>
      </c>
      <c r="G816" s="65">
        <v>0</v>
      </c>
      <c t="inlineStr" r="H816">
        <is>
          <t xml:space="preserve">Real Estate and Rental &amp; Leasing</t>
        </is>
      </c>
      <c t="inlineStr" r="I816">
        <is>
          <t xml:space="preserve">Real Estate</t>
        </is>
      </c>
      <c t="inlineStr" r="J816">
        <is>
          <t xml:space="preserve">Julie Pumfrey</t>
        </is>
      </c>
      <c t="inlineStr" r="L816">
        <is>
          <t xml:space="preserve">-----</t>
        </is>
      </c>
    </row>
    <row r="817">
      <c t="str" r="A817" s="4">
        <f>HYPERLINK("https://linkbusiness.com/businesses-for-sale/SL0049/Well-Established-Medical-Billing-Firm-for-Sale","SL0049")</f>
      </c>
      <c t="inlineStr" r="B817">
        <is>
          <t xml:space="preserve">Well-Established Medical Billing Firm for Sale</t>
        </is>
      </c>
      <c r="C817" s="63">
        <v>580000</v>
      </c>
      <c r="D817" s="63">
        <v>29220400</v>
      </c>
      <c t="inlineStr" r="E817">
        <is>
          <t xml:space="preserve">-----</t>
        </is>
      </c>
      <c r="F817" s="65">
        <v>0</v>
      </c>
      <c r="G817" s="65">
        <v>0</v>
      </c>
      <c t="inlineStr" r="H817">
        <is>
          <t xml:space="preserve">Other Services (except public administration)</t>
        </is>
      </c>
      <c t="inlineStr" r="I817">
        <is>
          <t xml:space="preserve">&lt;none&gt;</t>
        </is>
      </c>
      <c t="inlineStr" r="L817">
        <is>
          <t xml:space="preserve">-----</t>
        </is>
      </c>
    </row>
    <row r="818">
      <c t="str" r="A818" s="4">
        <f>HYPERLINK("https://linkbusiness.com/businesses-for-sale/SV00002/Profitable-RV-Rental-business-with-huge-growth-potential","SV00002")</f>
      </c>
      <c t="inlineStr" r="B818">
        <is>
          <t xml:space="preserve">Profitable RV Rental business with huge growth potential</t>
        </is>
      </c>
      <c r="C818" s="63">
        <v>660000</v>
      </c>
      <c r="D818" s="63">
        <v>33250800</v>
      </c>
      <c t="inlineStr" r="E818">
        <is>
          <t xml:space="preserve">Greater San Francisco Bay Area</t>
        </is>
      </c>
      <c r="F818" s="65">
        <v>0</v>
      </c>
      <c r="G818" s="63">
        <v>194755</v>
      </c>
      <c t="inlineStr" r="H818">
        <is>
          <t xml:space="preserve">Transportation &amp; Warehousing</t>
        </is>
      </c>
      <c t="inlineStr" r="I818">
        <is>
          <t xml:space="preserve">&lt;none&gt;</t>
        </is>
      </c>
      <c t="inlineStr" r="L818">
        <is>
          <t xml:space="preserve">-----</t>
        </is>
      </c>
    </row>
    <row r="819">
      <c t="str" r="A819" s="4">
        <f>HYPERLINK("https://linkbusiness.com/businesses-for-sale/SV00003/New-Franchise-Hair-Salon-(Absentee-Run)","SV00003")</f>
      </c>
      <c t="inlineStr" r="B819">
        <is>
          <t xml:space="preserve">New Franchise Hair Salon (Absentee Run)</t>
        </is>
      </c>
      <c r="C819" s="63">
        <v>45000</v>
      </c>
      <c r="D819" s="63">
        <v>2267100</v>
      </c>
      <c t="inlineStr" r="E819">
        <is>
          <t xml:space="preserve">Alameda County</t>
        </is>
      </c>
      <c r="F819" s="65">
        <v>0</v>
      </c>
      <c r="G819" s="65">
        <v>0</v>
      </c>
      <c t="inlineStr" r="H819">
        <is>
          <t xml:space="preserve">Franchises</t>
        </is>
      </c>
      <c t="inlineStr" r="I819">
        <is>
          <t xml:space="preserve">&lt;none&gt;</t>
        </is>
      </c>
      <c t="inlineStr" r="J819">
        <is>
          <t xml:space="preserve">Raj Sathyaseelan</t>
        </is>
      </c>
      <c t="inlineStr" r="L819">
        <is>
          <t xml:space="preserve">-----</t>
        </is>
      </c>
    </row>
    <row r="820">
      <c t="str" r="A820" s="4">
        <f>HYPERLINK("https://linkbusiness.com/businesses-for-sale/SV00004/Well-Established-and-profitable-Franchise-Hair-Salon-(Absentee-Run)","SV00004")</f>
      </c>
      <c t="inlineStr" r="B820">
        <is>
          <t xml:space="preserve">Well Established and profitable Franchise Hair Salon (Absentee Run)</t>
        </is>
      </c>
      <c r="C820" s="63">
        <v>45000</v>
      </c>
      <c r="D820" s="63">
        <v>2267100</v>
      </c>
      <c t="inlineStr" r="E820">
        <is>
          <t xml:space="preserve">Greater San Francisco Bay Area</t>
        </is>
      </c>
      <c r="F820" s="65">
        <v>0</v>
      </c>
      <c r="G820" s="65">
        <v>0</v>
      </c>
      <c t="inlineStr" r="H820">
        <is>
          <t xml:space="preserve">Franchises</t>
        </is>
      </c>
      <c t="inlineStr" r="I820">
        <is>
          <t xml:space="preserve">&lt;none&gt;</t>
        </is>
      </c>
      <c t="inlineStr" r="J820">
        <is>
          <t xml:space="preserve">Raj Sathyaseelan</t>
        </is>
      </c>
      <c t="inlineStr" r="L820">
        <is>
          <t xml:space="preserve">Includes Inventory</t>
        </is>
      </c>
    </row>
    <row r="821">
      <c t="str" r="A821" s="4">
        <f>HYPERLINK("https://linkbusiness.com/businesses-for-sale/SV00005/Growing-FEDEX-Route-Delivery-Business%2c-A%2b-Location%2c-Seller-Financing","SV00005")</f>
      </c>
      <c t="inlineStr" r="B821">
        <is>
          <t xml:space="preserve">Growing FEDEX Route Delivery Business, A+ Location, Seller Financing</t>
        </is>
      </c>
      <c r="C821" s="63">
        <v>1600000</v>
      </c>
      <c r="D821" s="63">
        <v>80608000</v>
      </c>
      <c t="inlineStr" r="E821">
        <is>
          <t xml:space="preserve">Greater San Francisco Bay Area</t>
        </is>
      </c>
      <c r="F821" s="65">
        <v>0</v>
      </c>
      <c r="G821" s="63">
        <v>350000</v>
      </c>
      <c t="inlineStr" r="H821">
        <is>
          <t xml:space="preserve">Transportation &amp; Warehousing</t>
        </is>
      </c>
      <c t="inlineStr" r="I821">
        <is>
          <t xml:space="preserve">Truck Transportation</t>
        </is>
      </c>
      <c t="inlineStr" r="L821">
        <is>
          <t xml:space="preserve">-----</t>
        </is>
      </c>
    </row>
    <row r="822">
      <c t="str" r="A822" s="4">
        <f>HYPERLINK("https://linkbusiness.com/businesses-for-sale/SV00007/Newly-Built-Ice-Cream-Franchise%2c-Great-Location","SV00007")</f>
      </c>
      <c t="inlineStr" r="B822">
        <is>
          <t xml:space="preserve">Newly Built Ice Cream Franchise, Great Location</t>
        </is>
      </c>
      <c r="C822" s="63">
        <v>15000</v>
      </c>
      <c r="D822" s="63">
        <v>755700</v>
      </c>
      <c t="inlineStr" r="E822">
        <is>
          <t xml:space="preserve">Alameda County</t>
        </is>
      </c>
      <c r="F822" s="65">
        <v>0</v>
      </c>
      <c r="G822" s="65">
        <v>0</v>
      </c>
      <c t="inlineStr" r="H822">
        <is>
          <t xml:space="preserve">Franchises</t>
        </is>
      </c>
      <c t="inlineStr" r="I822">
        <is>
          <t xml:space="preserve">&lt;none&gt;</t>
        </is>
      </c>
      <c t="inlineStr" r="J822">
        <is>
          <t xml:space="preserve">Antoinette Norris</t>
        </is>
      </c>
      <c t="inlineStr" r="K822">
        <is>
          <t xml:space="preserve">Raj Sathyaseelan</t>
        </is>
      </c>
      <c t="inlineStr" r="L822">
        <is>
          <t xml:space="preserve">-----</t>
        </is>
      </c>
    </row>
    <row r="823">
      <c t="str" r="A823" s="4">
        <f>HYPERLINK("https://linkbusiness.com/businesses-for-sale/SV00008/Profitable-Youth-Sports-Franchise-in-A%2b-Location%2c-Seller-Financing","SV00008")</f>
      </c>
      <c t="inlineStr" r="B823">
        <is>
          <t xml:space="preserve">Profitable Youth Sports Franchise in A+ Location, Seller Financing</t>
        </is>
      </c>
      <c r="C823" s="63">
        <v>120000</v>
      </c>
      <c r="D823" s="63">
        <v>6045600</v>
      </c>
      <c t="inlineStr" r="E823">
        <is>
          <t xml:space="preserve">Northern California</t>
        </is>
      </c>
      <c r="F823" s="65">
        <v>0</v>
      </c>
      <c r="G823" s="63">
        <v>36045</v>
      </c>
      <c t="inlineStr" r="H823">
        <is>
          <t xml:space="preserve">Educational Services</t>
        </is>
      </c>
      <c t="inlineStr" r="I823">
        <is>
          <t xml:space="preserve">Educational Services (Level 3)</t>
        </is>
      </c>
      <c t="inlineStr" r="L823">
        <is>
          <t xml:space="preserve">-----</t>
        </is>
      </c>
    </row>
    <row r="824">
      <c t="str" r="A824" s="4">
        <f>HYPERLINK("https://linkbusiness.com/businesses-for-sale/SV00009/Threading-%26-Nail-Salon%2c-Great-Location","SV00009")</f>
      </c>
      <c t="inlineStr" r="B824">
        <is>
          <t xml:space="preserve">Threading &amp; Nail Salon, Great Location</t>
        </is>
      </c>
      <c r="C824" s="63">
        <v>88000</v>
      </c>
      <c r="D824" s="63">
        <v>4433440</v>
      </c>
      <c t="inlineStr" r="E824">
        <is>
          <t xml:space="preserve">Greater San Francisco Bay Area</t>
        </is>
      </c>
      <c r="F824" s="65">
        <v>0</v>
      </c>
      <c r="G824" s="65">
        <v>0</v>
      </c>
      <c t="inlineStr" r="H824">
        <is>
          <t xml:space="preserve">Retail Trade</t>
        </is>
      </c>
      <c t="inlineStr" r="I824">
        <is>
          <t xml:space="preserve">Miscellaneous Store Retailers</t>
        </is>
      </c>
      <c t="inlineStr" r="J824">
        <is>
          <t xml:space="preserve">Diane Ho</t>
        </is>
      </c>
      <c t="inlineStr" r="K824">
        <is>
          <t xml:space="preserve">Raj Sathyaseelan</t>
        </is>
      </c>
      <c t="inlineStr" r="L824">
        <is>
          <t xml:space="preserve">-----</t>
        </is>
      </c>
    </row>
    <row r="825">
      <c t="str" r="A825" s="4">
        <f>HYPERLINK("https://linkbusiness.com/businesses-for-sale/SV00010/Indian-Grocery-Store%2c-Big-Space%2c-Low-Rent","SV00010")</f>
      </c>
      <c t="inlineStr" r="B825">
        <is>
          <t xml:space="preserve">Indian Grocery Store, Big Space, Low Rent</t>
        </is>
      </c>
      <c r="C825" s="63">
        <v>130000</v>
      </c>
      <c r="D825" s="63">
        <v>6549400</v>
      </c>
      <c t="inlineStr" r="E825">
        <is>
          <t xml:space="preserve">Greater San Francisco Bay Area</t>
        </is>
      </c>
      <c r="F825" s="65">
        <v>0</v>
      </c>
      <c r="G825" s="65">
        <v>0</v>
      </c>
      <c t="inlineStr" r="H825">
        <is>
          <t xml:space="preserve">Retail Trade</t>
        </is>
      </c>
      <c t="inlineStr" r="I825">
        <is>
          <t xml:space="preserve">Food and Beverage Stores</t>
        </is>
      </c>
      <c t="inlineStr" r="J825">
        <is>
          <t xml:space="preserve">Raj Sathyaseelan</t>
        </is>
      </c>
      <c t="inlineStr" r="L825">
        <is>
          <t xml:space="preserve">-----</t>
        </is>
      </c>
    </row>
    <row r="826">
      <c t="str" r="A826" s="4">
        <f>HYPERLINK("https://linkbusiness.com/businesses-for-sale/SV00011/Newly-Remodeled-Ice-Cream-Franchise%2c-Shopping-Mall-Location","SV00011")</f>
      </c>
      <c t="inlineStr" r="B826">
        <is>
          <t xml:space="preserve">Newly Remodeled Ice Cream Franchise, Shopping Mall Location</t>
        </is>
      </c>
      <c r="C826" s="63">
        <v>245000</v>
      </c>
      <c r="D826" s="63">
        <v>12343100</v>
      </c>
      <c t="inlineStr" r="E826">
        <is>
          <t xml:space="preserve">Greater San Francisco Bay Area</t>
        </is>
      </c>
      <c r="F826" s="65">
        <v>0</v>
      </c>
      <c r="G826" s="65">
        <v>0</v>
      </c>
      <c t="inlineStr" r="H826">
        <is>
          <t xml:space="preserve">Franchises</t>
        </is>
      </c>
      <c t="inlineStr" r="I826">
        <is>
          <t xml:space="preserve">&lt;none&gt;</t>
        </is>
      </c>
      <c t="inlineStr" r="L826">
        <is>
          <t xml:space="preserve">-----</t>
        </is>
      </c>
    </row>
    <row r="827">
      <c t="str" r="A827" s="4">
        <f>HYPERLINK("https://linkbusiness.com/businesses-for-sale/SV00012/Unique-and-Desirable-Medical-Transportation-Company-with-huge-growth-potential%2c-Seller-Financing","SV00012")</f>
      </c>
      <c t="inlineStr" r="B827">
        <is>
          <t xml:space="preserve">Unique and Desirable Medical Transportation Company with huge growth potential, Seller Financing</t>
        </is>
      </c>
      <c r="C827" s="63">
        <v>250000</v>
      </c>
      <c r="D827" s="63">
        <v>12595000</v>
      </c>
      <c t="inlineStr" r="E827">
        <is>
          <t xml:space="preserve">Greater San Francisco Bay Area</t>
        </is>
      </c>
      <c r="F827" s="65">
        <v>0</v>
      </c>
      <c r="G827" s="63">
        <v>120243</v>
      </c>
      <c t="inlineStr" r="H827">
        <is>
          <t xml:space="preserve">Transportation &amp; Warehousing</t>
        </is>
      </c>
      <c t="inlineStr" r="I827">
        <is>
          <t xml:space="preserve">Truck Transportation</t>
        </is>
      </c>
      <c t="inlineStr" r="J827">
        <is>
          <t xml:space="preserve">Raj Sathyaseelan</t>
        </is>
      </c>
      <c t="inlineStr" r="L827">
        <is>
          <t xml:space="preserve">-----</t>
        </is>
      </c>
    </row>
    <row r="828">
      <c t="str" r="A828" s="4">
        <f>HYPERLINK("https://linkbusiness.com/businesses-for-sale/SV00015/50-Year-Old-Sign-Manufacturing-Business","SV00015")</f>
      </c>
      <c t="inlineStr" r="B828">
        <is>
          <t xml:space="preserve">50 Year Old Sign Manufacturing Business</t>
        </is>
      </c>
      <c r="C828" s="63">
        <v>250000</v>
      </c>
      <c r="D828" s="63">
        <v>12595000</v>
      </c>
      <c t="inlineStr" r="E828">
        <is>
          <t xml:space="preserve">Greater San Francisco Bay Area</t>
        </is>
      </c>
      <c r="F828" s="65">
        <v>0</v>
      </c>
      <c r="G828" s="63">
        <v>134000</v>
      </c>
      <c t="inlineStr" r="H828">
        <is>
          <t xml:space="preserve">Manufacturing</t>
        </is>
      </c>
      <c t="inlineStr" r="I828">
        <is>
          <t xml:space="preserve">Machinery Manufacturing</t>
        </is>
      </c>
      <c t="inlineStr" r="L828">
        <is>
          <t xml:space="preserve">Include $36K Inventory</t>
        </is>
      </c>
    </row>
    <row r="829">
      <c t="str" r="A829" s="4">
        <f>HYPERLINK("https://linkbusiness.com/businesses-for-sale/SV00016/Turnkey-Wood-Refinishing-Business-with-trained-employees","SV00016")</f>
      </c>
      <c t="inlineStr" r="B829">
        <is>
          <t xml:space="preserve">Turnkey Wood Refinishing Business with trained employees</t>
        </is>
      </c>
      <c r="C829" s="63">
        <v>700000</v>
      </c>
      <c r="D829" s="63">
        <v>35266000</v>
      </c>
      <c t="inlineStr" r="E829">
        <is>
          <t xml:space="preserve">Greater San Francisco Bay Area</t>
        </is>
      </c>
      <c r="F829" s="65">
        <v>0</v>
      </c>
      <c r="G829" s="63">
        <v>162349</v>
      </c>
      <c t="inlineStr" r="H829">
        <is>
          <t xml:space="preserve">Construction</t>
        </is>
      </c>
      <c t="inlineStr" r="I829">
        <is>
          <t xml:space="preserve">Specialty Trade Contractors</t>
        </is>
      </c>
      <c t="inlineStr" r="J829">
        <is>
          <t xml:space="preserve">Antoinette Norris</t>
        </is>
      </c>
      <c t="inlineStr" r="L829">
        <is>
          <t xml:space="preserve">-----</t>
        </is>
      </c>
    </row>
    <row r="830">
      <c t="str" r="A830" s="4">
        <f>HYPERLINK("https://linkbusiness.com/businesses-for-sale/SV00020/Profitable-Dry-Cleaning-Business%2c-OmniChannel-Strategy%2c-Built-for-Growth","SV00020")</f>
      </c>
      <c t="inlineStr" r="B830">
        <is>
          <t xml:space="preserve">Profitable Dry Cleaning Business, OmniChannel Strategy, Built for Growth</t>
        </is>
      </c>
      <c r="C830" s="63">
        <v>1700000</v>
      </c>
      <c r="D830" s="63">
        <v>85646000</v>
      </c>
      <c t="inlineStr" r="E830">
        <is>
          <t xml:space="preserve">Greater San Francisco Bay Area</t>
        </is>
      </c>
      <c r="F830" s="65">
        <v>0</v>
      </c>
      <c r="G830" s="63">
        <v>426189</v>
      </c>
      <c t="inlineStr" r="H830">
        <is>
          <t xml:space="preserve">Retail Trade</t>
        </is>
      </c>
      <c t="inlineStr" r="I830">
        <is>
          <t xml:space="preserve">Miscellaneous Store Retailers</t>
        </is>
      </c>
      <c t="inlineStr" r="J830">
        <is>
          <t xml:space="preserve">Raj Sathyaseelan</t>
        </is>
      </c>
      <c t="inlineStr" r="L830">
        <is>
          <t xml:space="preserve">Includes $5K Inventory</t>
        </is>
      </c>
    </row>
    <row r="831">
      <c t="str" r="A831" s="4">
        <f>HYPERLINK("https://linkbusiness.com/businesses-for-sale/SV00021/Growing-Youth-Sports-Franchise%2c-Top-Performing-Territory","SV00021")</f>
      </c>
      <c t="inlineStr" r="B831">
        <is>
          <t xml:space="preserve">Growing Youth Sports Franchise, Top Performing Territory</t>
        </is>
      </c>
      <c r="C831" s="63">
        <v>550000</v>
      </c>
      <c r="D831" s="63">
        <v>27709000</v>
      </c>
      <c t="inlineStr" r="E831">
        <is>
          <t xml:space="preserve">Greater San Francisco Bay Area</t>
        </is>
      </c>
      <c r="F831" s="65">
        <v>0</v>
      </c>
      <c r="G831" s="63">
        <v>153933</v>
      </c>
      <c t="inlineStr" r="H831">
        <is>
          <t xml:space="preserve">Franchises</t>
        </is>
      </c>
      <c t="inlineStr" r="I831">
        <is>
          <t xml:space="preserve">&lt;none&gt;</t>
        </is>
      </c>
      <c t="inlineStr" r="L831">
        <is>
          <t xml:space="preserve">-----</t>
        </is>
      </c>
    </row>
    <row r="832">
      <c t="str" r="A832" s="4">
        <f>HYPERLINK("https://linkbusiness.com/businesses-for-sale/SV00022/Wonderful-and-Well-Established-Liquor-Store","SV00022")</f>
      </c>
      <c t="inlineStr" r="B832">
        <is>
          <t xml:space="preserve">Wonderful and Well Established Liquor Store</t>
        </is>
      </c>
      <c r="C832" s="63">
        <v>150000</v>
      </c>
      <c r="D832" s="63">
        <v>7557000</v>
      </c>
      <c t="inlineStr" r="E832">
        <is>
          <t xml:space="preserve">Greater San Francisco Bay Area</t>
        </is>
      </c>
      <c r="F832" s="65">
        <v>0</v>
      </c>
      <c r="G832" s="65">
        <v>0</v>
      </c>
      <c t="inlineStr" r="H832">
        <is>
          <t xml:space="preserve">Retail Trade</t>
        </is>
      </c>
      <c t="inlineStr" r="I832">
        <is>
          <t xml:space="preserve">General Merchandise Stores</t>
        </is>
      </c>
      <c t="inlineStr" r="J832">
        <is>
          <t xml:space="preserve">Diane Ho</t>
        </is>
      </c>
      <c t="inlineStr" r="L832">
        <is>
          <t xml:space="preserve">Plus $40K Inventory</t>
        </is>
      </c>
    </row>
    <row r="833">
      <c t="str" r="A833" s="4">
        <f>HYPERLINK("https://linkbusiness.com/businesses-for-sale/SV00023/Popular-Indian-Restaurant%2c-High-Volume%2c-Seller-Financing","SV00023")</f>
      </c>
      <c t="inlineStr" r="B833">
        <is>
          <t xml:space="preserve">Popular Indian Restaurant, High Volume, Seller Financing</t>
        </is>
      </c>
      <c r="C833" s="63">
        <v>800000</v>
      </c>
      <c r="D833" s="63">
        <v>40304000</v>
      </c>
      <c t="inlineStr" r="E833">
        <is>
          <t xml:space="preserve">Greater San Francisco Bay Area</t>
        </is>
      </c>
      <c r="F833" s="65">
        <v>0</v>
      </c>
      <c r="G833" s="65">
        <v>0</v>
      </c>
      <c t="inlineStr" r="H833">
        <is>
          <t xml:space="preserve">Restaurant</t>
        </is>
      </c>
      <c t="inlineStr" r="I833">
        <is>
          <t xml:space="preserve">&lt;none&gt;</t>
        </is>
      </c>
      <c t="inlineStr" r="J833">
        <is>
          <t xml:space="preserve">Diane Ho</t>
        </is>
      </c>
      <c t="inlineStr" r="L833">
        <is>
          <t xml:space="preserve">-----</t>
        </is>
      </c>
    </row>
    <row r="834">
      <c t="str" r="A834" s="4">
        <f>HYPERLINK("https://linkbusiness.com/businesses-for-sale/SV00024/Profitable-Franchise-Gyms%2c-Two-Locations-New-Price!!","SV00024")</f>
      </c>
      <c t="inlineStr" r="B834">
        <is>
          <t xml:space="preserve">Profitable Franchise Gyms, Two Locations New Price!!</t>
        </is>
      </c>
      <c r="C834" s="63">
        <v>440000</v>
      </c>
      <c r="D834" s="63">
        <v>22167200</v>
      </c>
      <c t="inlineStr" r="E834">
        <is>
          <t xml:space="preserve">Greater San Francisco Bay Area</t>
        </is>
      </c>
      <c r="F834" s="65">
        <v>0</v>
      </c>
      <c r="G834" s="63">
        <v>138801</v>
      </c>
      <c t="inlineStr" r="H834">
        <is>
          <t xml:space="preserve">Franchises</t>
        </is>
      </c>
      <c t="inlineStr" r="I834">
        <is>
          <t xml:space="preserve">&lt;none&gt;</t>
        </is>
      </c>
      <c t="inlineStr" r="J834">
        <is>
          <t xml:space="preserve">Antoinette Norris</t>
        </is>
      </c>
      <c t="inlineStr" r="L834">
        <is>
          <t xml:space="preserve">-----</t>
        </is>
      </c>
    </row>
    <row r="835">
      <c t="str" r="A835" s="4">
        <f>HYPERLINK("https://linkbusiness.com/businesses-for-sale/SV00025/Liquor-store-with-lotto-sales%2c-Busy-Location","SV00025")</f>
      </c>
      <c t="inlineStr" r="B835">
        <is>
          <t xml:space="preserve">Liquor store with lotto sales, Busy Location</t>
        </is>
      </c>
      <c r="C835" s="63">
        <v>200000</v>
      </c>
      <c r="D835" s="63">
        <v>10076000</v>
      </c>
      <c t="inlineStr" r="E835">
        <is>
          <t xml:space="preserve">Greater San Francisco Bay Area</t>
        </is>
      </c>
      <c r="F835" s="65">
        <v>0</v>
      </c>
      <c r="G835" s="65">
        <v>0</v>
      </c>
      <c t="inlineStr" r="H835">
        <is>
          <t xml:space="preserve">Retail Trade</t>
        </is>
      </c>
      <c t="inlineStr" r="I835">
        <is>
          <t xml:space="preserve">&lt;none&gt;</t>
        </is>
      </c>
      <c t="inlineStr" r="J835">
        <is>
          <t xml:space="preserve">Diane Ho</t>
        </is>
      </c>
      <c t="inlineStr" r="L835">
        <is>
          <t xml:space="preserve">Plus Inventory</t>
        </is>
      </c>
    </row>
    <row r="836">
      <c t="str" r="A836" s="4">
        <f>HYPERLINK("https://linkbusiness.com/businesses-for-sale/SV00026/Profitable-Nail-Salon%2c-Turnkey-Operation","SV00026")</f>
      </c>
      <c t="inlineStr" r="B836">
        <is>
          <t xml:space="preserve">Profitable Nail Salon, Turnkey Operation</t>
        </is>
      </c>
      <c r="C836" s="63">
        <v>132000</v>
      </c>
      <c r="D836" s="63">
        <v>6650160</v>
      </c>
      <c t="inlineStr" r="E836">
        <is>
          <t xml:space="preserve">Greater San Francisco Bay Area</t>
        </is>
      </c>
      <c r="F836" s="65">
        <v>0</v>
      </c>
      <c r="G836" s="65">
        <v>0</v>
      </c>
      <c t="inlineStr" r="H836">
        <is>
          <t xml:space="preserve">Retail Trade</t>
        </is>
      </c>
      <c t="inlineStr" r="I836">
        <is>
          <t xml:space="preserve">&lt;none&gt;</t>
        </is>
      </c>
      <c t="inlineStr" r="J836">
        <is>
          <t xml:space="preserve">Diane Ho</t>
        </is>
      </c>
      <c t="inlineStr" r="L836">
        <is>
          <t xml:space="preserve">-----</t>
        </is>
      </c>
    </row>
    <row r="837">
      <c t="str" r="A837" s="4">
        <f>HYPERLINK("https://linkbusiness.com/businesses-for-sale/SV00027/Top-Performing-Cookie-Franchise-SBA-Pre-Approved!","SV00027")</f>
      </c>
      <c t="inlineStr" r="B837">
        <is>
          <t xml:space="preserve">Top Performing Cookie Franchise SBA Pre Approved!</t>
        </is>
      </c>
      <c r="C837" s="63">
        <v>288000</v>
      </c>
      <c r="D837" s="63">
        <v>14509440</v>
      </c>
      <c t="inlineStr" r="E837">
        <is>
          <t xml:space="preserve">Greater San Francisco Bay Area</t>
        </is>
      </c>
      <c r="F837" s="65">
        <v>0</v>
      </c>
      <c r="G837" s="63">
        <v>129499</v>
      </c>
      <c t="inlineStr" r="H837">
        <is>
          <t xml:space="preserve">Franchises</t>
        </is>
      </c>
      <c t="inlineStr" r="I837">
        <is>
          <t xml:space="preserve">&lt;none&gt;</t>
        </is>
      </c>
      <c t="inlineStr" r="J837">
        <is>
          <t xml:space="preserve">Antoinette Norris</t>
        </is>
      </c>
      <c t="inlineStr" r="L837">
        <is>
          <t xml:space="preserve">-----</t>
        </is>
      </c>
    </row>
    <row r="838">
      <c t="str" r="A838" s="4">
        <f>HYPERLINK("https://linkbusiness.com/businesses-for-sale/SV00028/New-and-Growing-Youth-Sports-Franchise-opportunity","SV00028")</f>
      </c>
      <c t="inlineStr" r="B838">
        <is>
          <t xml:space="preserve">New and Growing Youth Sports Franchise opportunity</t>
        </is>
      </c>
      <c r="C838" s="63">
        <v>100000</v>
      </c>
      <c r="D838" s="63">
        <v>5038000</v>
      </c>
      <c t="inlineStr" r="E838">
        <is>
          <t xml:space="preserve">Greater Sacramento Area</t>
        </is>
      </c>
      <c r="F838" s="65">
        <v>0</v>
      </c>
      <c r="G838" s="63">
        <v>26736</v>
      </c>
      <c t="inlineStr" r="H838">
        <is>
          <t xml:space="preserve">Franchises</t>
        </is>
      </c>
      <c t="inlineStr" r="I838">
        <is>
          <t xml:space="preserve">&lt;none&gt;</t>
        </is>
      </c>
      <c t="inlineStr" r="J838">
        <is>
          <t xml:space="preserve">Raj Sathyaseelan</t>
        </is>
      </c>
      <c t="inlineStr" r="L838">
        <is>
          <t xml:space="preserve">-----</t>
        </is>
      </c>
    </row>
    <row r="839">
      <c t="str" r="A839" s="4">
        <f>HYPERLINK("https://linkbusiness.com/businesses-for-sale/SV00029/Profitable%2c-Established-Auto-Repair-Service-with-Part-Time-Owner-and-Monday-thru-Friday-Hours","SV00029")</f>
      </c>
      <c t="inlineStr" r="B839">
        <is>
          <t xml:space="preserve">Profitable, Established Auto Repair Service with Part Time Owner and Monday thru Friday Hours</t>
        </is>
      </c>
      <c r="C839" s="63">
        <v>240000</v>
      </c>
      <c r="D839" s="63">
        <v>12091200</v>
      </c>
      <c t="inlineStr" r="E839">
        <is>
          <t xml:space="preserve">Greater San Francisco Bay Area</t>
        </is>
      </c>
      <c r="F839" s="65">
        <v>0</v>
      </c>
      <c r="G839" s="63">
        <v>121838</v>
      </c>
      <c t="inlineStr" r="H839">
        <is>
          <t xml:space="preserve">Other Services (except public administration)</t>
        </is>
      </c>
      <c t="inlineStr" r="I839">
        <is>
          <t xml:space="preserve">&lt;none&gt;</t>
        </is>
      </c>
      <c t="inlineStr" r="J839">
        <is>
          <t xml:space="preserve">Antoinette Norris</t>
        </is>
      </c>
      <c t="inlineStr" r="L839">
        <is>
          <t xml:space="preserve">Includes $5K Inventory</t>
        </is>
      </c>
    </row>
    <row r="840">
      <c t="str" r="A840" s="4">
        <f>HYPERLINK("https://linkbusiness.com/businesses-for-sale/SV00030/Profitable-Ice-Cream-Franchise%2c-Absentee-Ownership","SV00030")</f>
      </c>
      <c t="inlineStr" r="B840">
        <is>
          <t xml:space="preserve">Profitable Ice Cream Franchise, Absentee Ownership</t>
        </is>
      </c>
      <c r="C840" s="63">
        <v>230000</v>
      </c>
      <c r="D840" s="63">
        <v>11587400</v>
      </c>
      <c t="inlineStr" r="E840">
        <is>
          <t xml:space="preserve">Greater San Francisco Bay Area</t>
        </is>
      </c>
      <c r="F840" s="65">
        <v>0</v>
      </c>
      <c r="G840" s="63">
        <v>71989</v>
      </c>
      <c t="inlineStr" r="H840">
        <is>
          <t xml:space="preserve">Franchises</t>
        </is>
      </c>
      <c t="inlineStr" r="I840">
        <is>
          <t xml:space="preserve">&lt;none&gt;</t>
        </is>
      </c>
      <c t="inlineStr" r="L840">
        <is>
          <t xml:space="preserve">-----</t>
        </is>
      </c>
    </row>
    <row r="841">
      <c t="str" r="A841" s="4">
        <f>HYPERLINK("https://linkbusiness.com/businesses-for-sale/SV00031/New-Youth-Sports-Franchise-Opportunity","SV00031")</f>
      </c>
      <c t="inlineStr" r="B841">
        <is>
          <t xml:space="preserve">New Youth Sports Franchise Opportunity</t>
        </is>
      </c>
      <c r="C841" s="63">
        <v>56000</v>
      </c>
      <c r="D841" s="63">
        <v>2821280</v>
      </c>
      <c t="inlineStr" r="E841">
        <is>
          <t xml:space="preserve">Santa Clara County</t>
        </is>
      </c>
      <c r="F841" s="65">
        <v>0</v>
      </c>
      <c r="G841" s="63">
        <v>6398</v>
      </c>
      <c t="inlineStr" r="H841">
        <is>
          <t xml:space="preserve">Franchises</t>
        </is>
      </c>
      <c t="inlineStr" r="I841">
        <is>
          <t xml:space="preserve">&lt;none&gt;</t>
        </is>
      </c>
      <c t="inlineStr" r="J841">
        <is>
          <t xml:space="preserve">Raj Sathyaseelan</t>
        </is>
      </c>
      <c t="inlineStr" r="L841">
        <is>
          <t xml:space="preserve">-----</t>
        </is>
      </c>
    </row>
    <row r="842">
      <c t="str" r="A842" s="4">
        <f>HYPERLINK("https://linkbusiness.com/businesses-for-sale/SV00032/Turnkey-Car-Ride-Service-Business","SV00032")</f>
      </c>
      <c t="inlineStr" r="B842">
        <is>
          <t xml:space="preserve">Turnkey Car Ride Service Business</t>
        </is>
      </c>
      <c r="C842" s="63">
        <v>140000</v>
      </c>
      <c r="D842" s="63">
        <v>7053200</v>
      </c>
      <c t="inlineStr" r="E842">
        <is>
          <t xml:space="preserve">Greater San Francisco Bay Area</t>
        </is>
      </c>
      <c r="F842" s="65">
        <v>0</v>
      </c>
      <c r="G842" s="63">
        <v>59425</v>
      </c>
      <c t="inlineStr" r="H842">
        <is>
          <t xml:space="preserve">Transportation &amp; Warehousing</t>
        </is>
      </c>
      <c t="inlineStr" r="I842">
        <is>
          <t xml:space="preserve">&lt;none&gt;</t>
        </is>
      </c>
      <c t="inlineStr" r="J842">
        <is>
          <t xml:space="preserve">Raj Sathyaseelan</t>
        </is>
      </c>
      <c t="inlineStr" r="L842">
        <is>
          <t xml:space="preserve">-----</t>
        </is>
      </c>
    </row>
    <row r="843">
      <c t="str" r="A843" s="4">
        <f>HYPERLINK("https://linkbusiness.com/businesses-for-sale/SV00033/Fast-Growing%2c-Profitable-Youth-Sports-Franchise","SV00033")</f>
      </c>
      <c t="inlineStr" r="B843">
        <is>
          <t xml:space="preserve">Fast Growing, Profitable Youth Sports Franchise</t>
        </is>
      </c>
      <c r="C843" s="63">
        <v>500000</v>
      </c>
      <c r="D843" s="63">
        <v>25190000</v>
      </c>
      <c t="inlineStr" r="E843">
        <is>
          <t xml:space="preserve">Orange County</t>
        </is>
      </c>
      <c r="F843" s="65">
        <v>0</v>
      </c>
      <c r="G843" s="63">
        <v>172846</v>
      </c>
      <c t="inlineStr" r="H843">
        <is>
          <t xml:space="preserve">Franchises</t>
        </is>
      </c>
      <c t="inlineStr" r="I843">
        <is>
          <t xml:space="preserve">&lt;none&gt;</t>
        </is>
      </c>
      <c t="inlineStr" r="J843">
        <is>
          <t xml:space="preserve">Raj Sathyaseelan</t>
        </is>
      </c>
      <c t="inlineStr" r="L843">
        <is>
          <t xml:space="preserve">-----</t>
        </is>
      </c>
    </row>
    <row r="844">
      <c t="str" r="A844" s="4">
        <f>HYPERLINK("https://linkbusiness.com/businesses-for-sale/SV00034/Fast-growing-Ice-Cream-Franchise%2c-Great-Location","SV00034")</f>
      </c>
      <c t="inlineStr" r="B844">
        <is>
          <t xml:space="preserve">Fast growing Ice Cream Franchise, Great Location</t>
        </is>
      </c>
      <c r="C844" s="63">
        <v>228000</v>
      </c>
      <c r="D844" s="63">
        <v>11486640</v>
      </c>
      <c t="inlineStr" r="E844">
        <is>
          <t xml:space="preserve">Greater San Francisco Bay Area</t>
        </is>
      </c>
      <c r="F844" s="65">
        <v>0</v>
      </c>
      <c r="G844" s="63">
        <v>48580</v>
      </c>
      <c t="inlineStr" r="H844">
        <is>
          <t xml:space="preserve">Franchises</t>
        </is>
      </c>
      <c t="inlineStr" r="I844">
        <is>
          <t xml:space="preserve">&lt;none&gt;</t>
        </is>
      </c>
      <c t="inlineStr" r="J844">
        <is>
          <t xml:space="preserve">Raj Sathyaseelan</t>
        </is>
      </c>
      <c t="inlineStr" r="L844">
        <is>
          <t xml:space="preserve">Includes $8K Inventory</t>
        </is>
      </c>
    </row>
    <row r="845">
      <c t="str" r="A845" s="4">
        <f>HYPERLINK("https://linkbusiness.com/businesses-for-sale/SV00035/Established-Liquor-Store%2c-Low-Rent","SV00035")</f>
      </c>
      <c t="inlineStr" r="B845">
        <is>
          <t xml:space="preserve">Established Liquor Store, Low Rent</t>
        </is>
      </c>
      <c r="C845" s="63">
        <v>70000</v>
      </c>
      <c r="D845" s="63">
        <v>3526600</v>
      </c>
      <c t="inlineStr" r="E845">
        <is>
          <t xml:space="preserve">Greater San Francisco Bay Area</t>
        </is>
      </c>
      <c r="F845" s="65">
        <v>0</v>
      </c>
      <c r="G845" s="65">
        <v>0</v>
      </c>
      <c t="inlineStr" r="H845">
        <is>
          <t xml:space="preserve">Retail Trade</t>
        </is>
      </c>
      <c t="inlineStr" r="I845">
        <is>
          <t xml:space="preserve">&lt;none&gt;</t>
        </is>
      </c>
      <c t="inlineStr" r="J845">
        <is>
          <t xml:space="preserve">Diane Ho</t>
        </is>
      </c>
      <c t="inlineStr" r="L845">
        <is>
          <t xml:space="preserve">Plus Inventory</t>
        </is>
      </c>
    </row>
    <row r="846">
      <c t="str" r="A846" s="4">
        <f>HYPERLINK("https://linkbusiness.com/businesses-for-sale/SV00036/Established-Indian-Restaurant%2c-Trained-Employees%2c-Seller-Financing","SV00036")</f>
      </c>
      <c t="inlineStr" r="B846">
        <is>
          <t xml:space="preserve">Established Indian Restaurant, Trained Employees, Seller Financing</t>
        </is>
      </c>
      <c r="C846" s="63">
        <v>405000</v>
      </c>
      <c r="D846" s="63">
        <v>20403900</v>
      </c>
      <c t="inlineStr" r="E846">
        <is>
          <t xml:space="preserve">Greater San Francisco Bay Area</t>
        </is>
      </c>
      <c r="F846" s="65">
        <v>0</v>
      </c>
      <c r="G846" s="65">
        <v>0</v>
      </c>
      <c t="inlineStr" r="H846">
        <is>
          <t xml:space="preserve">Restaurant</t>
        </is>
      </c>
      <c t="inlineStr" r="I846">
        <is>
          <t xml:space="preserve">Food Services and Drinking Places</t>
        </is>
      </c>
      <c t="inlineStr" r="J846">
        <is>
          <t xml:space="preserve">Diane Ho</t>
        </is>
      </c>
      <c t="inlineStr" r="L846">
        <is>
          <t xml:space="preserve">Includes $5K Inventory</t>
        </is>
      </c>
    </row>
    <row r="847">
      <c t="str" r="A847" s="4">
        <f>HYPERLINK("https://linkbusiness.com/businesses-for-sale/SV00037/Boutique-HealthCare-IT-Services-Company%2c-Onsite-and-Offshore-Delivery%2c-Growth-Potential","SV00037")</f>
      </c>
      <c t="inlineStr" r="B847">
        <is>
          <t xml:space="preserve">Boutique HealthCare IT Services Company, Onsite and Offshore Delivery, Growth Potential</t>
        </is>
      </c>
      <c r="C847" s="63">
        <v>1800000</v>
      </c>
      <c r="D847" s="63">
        <v>90684000</v>
      </c>
      <c t="inlineStr" r="E847">
        <is>
          <t xml:space="preserve">Greater San Francisco Bay Area</t>
        </is>
      </c>
      <c r="F847" s="65">
        <v>0</v>
      </c>
      <c r="G847" s="63">
        <v>393901</v>
      </c>
      <c t="inlineStr" r="H847">
        <is>
          <t xml:space="preserve">Professional, Scientific and Technical Services</t>
        </is>
      </c>
      <c t="inlineStr" r="I847">
        <is>
          <t xml:space="preserve">&lt;none&gt;</t>
        </is>
      </c>
      <c t="inlineStr" r="J847">
        <is>
          <t xml:space="preserve">Raj Sathyaseelan</t>
        </is>
      </c>
      <c t="inlineStr" r="L847">
        <is>
          <t xml:space="preserve">-----</t>
        </is>
      </c>
    </row>
    <row r="848">
      <c t="str" r="A848" s="4">
        <f>HYPERLINK("https://linkbusiness.com/businesses-for-sale/SV00038/Profitable-Laundromat-with-Real-Estate%2c-Next-to-Top-Public-School","SV00038")</f>
      </c>
      <c t="inlineStr" r="B848">
        <is>
          <t xml:space="preserve">Profitable Laundromat with Real Estate, Next to Top Public School</t>
        </is>
      </c>
      <c r="C848" s="63">
        <v>2700000</v>
      </c>
      <c r="D848" s="63">
        <v>136026000</v>
      </c>
      <c t="inlineStr" r="E848">
        <is>
          <t xml:space="preserve">Greater San Francisco Bay Area</t>
        </is>
      </c>
      <c r="F848" s="65">
        <v>0</v>
      </c>
      <c r="G848" s="65">
        <v>0</v>
      </c>
      <c t="inlineStr" r="H848">
        <is>
          <t xml:space="preserve">Real Estate and Rental &amp; Leasing</t>
        </is>
      </c>
      <c t="inlineStr" r="I848">
        <is>
          <t xml:space="preserve">&lt;none&gt;</t>
        </is>
      </c>
      <c t="inlineStr" r="J848">
        <is>
          <t xml:space="preserve">Antoinette Norris</t>
        </is>
      </c>
      <c t="inlineStr" r="K848">
        <is>
          <t xml:space="preserve">Diane Ho</t>
        </is>
      </c>
      <c t="inlineStr" r="L848">
        <is>
          <t xml:space="preserve">-----</t>
        </is>
      </c>
    </row>
    <row r="849">
      <c t="str" r="A849" s="4">
        <f>HYPERLINK("https://linkbusiness.com/businesses-for-sale/SV00039/High-Volume-Liquor-store-with-Lottery-Sales","SV00039")</f>
      </c>
      <c t="inlineStr" r="B849">
        <is>
          <t xml:space="preserve">High Volume Liquor store with Lottery Sales</t>
        </is>
      </c>
      <c r="C849" s="63">
        <v>350000</v>
      </c>
      <c r="D849" s="63">
        <v>17633000</v>
      </c>
      <c t="inlineStr" r="E849">
        <is>
          <t xml:space="preserve">Greater San Francisco Bay Area</t>
        </is>
      </c>
      <c r="F849" s="65">
        <v>0</v>
      </c>
      <c r="G849" s="65">
        <v>0</v>
      </c>
      <c t="inlineStr" r="H849">
        <is>
          <t xml:space="preserve">Retail Trade</t>
        </is>
      </c>
      <c t="inlineStr" r="I849">
        <is>
          <t xml:space="preserve">&lt;none&gt;</t>
        </is>
      </c>
      <c t="inlineStr" r="L849">
        <is>
          <t xml:space="preserve">Plus Inventory</t>
        </is>
      </c>
    </row>
    <row r="850">
      <c t="str" r="A850" s="4">
        <f>HYPERLINK("https://linkbusiness.com/businesses-for-sale/SV00040/Two-dry-cleaning-business-for-one-price%2c-30-years-of-history","SV00040")</f>
      </c>
      <c t="inlineStr" r="B850">
        <is>
          <t xml:space="preserve">Two dry cleaning business for one price, 30 years of history</t>
        </is>
      </c>
      <c r="C850" s="63">
        <v>380000</v>
      </c>
      <c r="D850" s="63">
        <v>19144400</v>
      </c>
      <c t="inlineStr" r="E850">
        <is>
          <t xml:space="preserve">Greater San Francisco Bay Area</t>
        </is>
      </c>
      <c r="F850" s="65">
        <v>0</v>
      </c>
      <c r="G850" s="65">
        <v>0</v>
      </c>
      <c t="inlineStr" r="H850">
        <is>
          <t xml:space="preserve">Other Services (except public administration)</t>
        </is>
      </c>
      <c t="inlineStr" r="I850">
        <is>
          <t xml:space="preserve">&lt;none&gt;</t>
        </is>
      </c>
      <c t="inlineStr" r="J850">
        <is>
          <t xml:space="preserve">Diane Ho</t>
        </is>
      </c>
      <c t="inlineStr" r="L850">
        <is>
          <t xml:space="preserve">-----</t>
        </is>
      </c>
    </row>
    <row r="851">
      <c t="str" r="A851" s="4">
        <f>HYPERLINK("https://linkbusiness.com/businesses-for-sale/SV00041/Nicely-Decorated-Japanese-Restaurant-with-Party-Hall","SV00041")</f>
      </c>
      <c t="inlineStr" r="B851">
        <is>
          <t xml:space="preserve">Nicely Decorated Japanese Restaurant with Party Hall</t>
        </is>
      </c>
      <c r="C851" s="63">
        <v>875000</v>
      </c>
      <c r="D851" s="63">
        <v>44082500</v>
      </c>
      <c t="inlineStr" r="E851">
        <is>
          <t xml:space="preserve">Greater San Francisco Bay Area</t>
        </is>
      </c>
      <c r="F851" s="65">
        <v>0</v>
      </c>
      <c r="G851" s="65">
        <v>0</v>
      </c>
      <c t="inlineStr" r="H851">
        <is>
          <t xml:space="preserve">Restaurant</t>
        </is>
      </c>
      <c t="inlineStr" r="I851">
        <is>
          <t xml:space="preserve">Food Services and Drinking Places</t>
        </is>
      </c>
      <c t="inlineStr" r="J851">
        <is>
          <t xml:space="preserve">Diane Ho</t>
        </is>
      </c>
      <c t="inlineStr" r="L851">
        <is>
          <t xml:space="preserve">-----</t>
        </is>
      </c>
    </row>
    <row r="852">
      <c t="str" r="A852" s="4">
        <f>HYPERLINK("https://linkbusiness.com/businesses-for-sale/SV00042/Authentic-Indian-Restaurant%2c-Beautifully-Designed%2c-Rare-Find","SV00042")</f>
      </c>
      <c t="inlineStr" r="B852">
        <is>
          <t xml:space="preserve">Authentic Indian Restaurant, Beautifully Designed, Rare Find</t>
        </is>
      </c>
      <c r="C852" s="63">
        <v>410000</v>
      </c>
      <c r="D852" s="63">
        <v>20655800</v>
      </c>
      <c t="inlineStr" r="E852">
        <is>
          <t xml:space="preserve">Greater San Francisco Bay Area</t>
        </is>
      </c>
      <c r="F852" s="65">
        <v>0</v>
      </c>
      <c r="G852" s="65">
        <v>0</v>
      </c>
      <c t="inlineStr" r="H852">
        <is>
          <t xml:space="preserve">Restaurant</t>
        </is>
      </c>
      <c t="inlineStr" r="I852">
        <is>
          <t xml:space="preserve">Food Services and Drinking Places</t>
        </is>
      </c>
      <c t="inlineStr" r="J852">
        <is>
          <t xml:space="preserve">Raj Sathyaseelan</t>
        </is>
      </c>
      <c t="inlineStr" r="L852">
        <is>
          <t xml:space="preserve">-----</t>
        </is>
      </c>
    </row>
    <row r="853">
      <c t="str" r="A853" s="4">
        <f>HYPERLINK("https://linkbusiness.com/businesses-for-sale/SV00043/Transportation-Service-Business-with-growth-potential","SV00043")</f>
      </c>
      <c t="inlineStr" r="B853">
        <is>
          <t xml:space="preserve">Transportation Service Business with growth potential</t>
        </is>
      </c>
      <c r="C853" s="63">
        <v>305000</v>
      </c>
      <c r="D853" s="63">
        <v>15365900</v>
      </c>
      <c t="inlineStr" r="E853">
        <is>
          <t xml:space="preserve">Greater San Francisco Bay Area</t>
        </is>
      </c>
      <c r="F853" s="65">
        <v>0</v>
      </c>
      <c r="G853" s="63">
        <v>185638</v>
      </c>
      <c t="inlineStr" r="H853">
        <is>
          <t xml:space="preserve">Transportation &amp; Warehousing</t>
        </is>
      </c>
      <c t="inlineStr" r="I853">
        <is>
          <t xml:space="preserve">Transit and Ground Passenger Transportation</t>
        </is>
      </c>
      <c t="inlineStr" r="J853">
        <is>
          <t xml:space="preserve">Raj Sathyaseelan</t>
        </is>
      </c>
      <c t="inlineStr" r="L853">
        <is>
          <t xml:space="preserve">-----</t>
        </is>
      </c>
    </row>
    <row r="854">
      <c t="str" r="A854" s="4">
        <f>HYPERLINK("https://linkbusiness.com/businesses-for-sale/SV00044/Profitable-Liquor-Store-with-Breakfast-Deli","SV00044")</f>
      </c>
      <c t="inlineStr" r="B854">
        <is>
          <t xml:space="preserve">Profitable Liquor Store with Breakfast Deli</t>
        </is>
      </c>
      <c r="C854" s="63">
        <v>400000</v>
      </c>
      <c r="D854" s="63">
        <v>20152000</v>
      </c>
      <c t="inlineStr" r="E854">
        <is>
          <t xml:space="preserve">Greater San Francisco Bay Area</t>
        </is>
      </c>
      <c r="F854" s="65">
        <v>0</v>
      </c>
      <c r="G854" s="65">
        <v>0</v>
      </c>
      <c t="inlineStr" r="H854">
        <is>
          <t xml:space="preserve">Retail Trade</t>
        </is>
      </c>
      <c t="inlineStr" r="I854">
        <is>
          <t xml:space="preserve">&lt;none&gt;</t>
        </is>
      </c>
      <c t="inlineStr" r="J854">
        <is>
          <t xml:space="preserve">Diane Ho</t>
        </is>
      </c>
      <c t="inlineStr" r="L854">
        <is>
          <t xml:space="preserve">-----</t>
        </is>
      </c>
    </row>
    <row r="855">
      <c t="str" r="A855" s="4">
        <f>HYPERLINK("https://linkbusiness.com/businesses-for-sale/SV00045/Spring-Manufacturing-Company-in-heart-of-Silicon-Valley%2c-Nationwide-Reach","SV00045")</f>
      </c>
      <c t="inlineStr" r="B855">
        <is>
          <t xml:space="preserve">Spring Manufacturing Company in heart of Silicon Valley, Nationwide Reach</t>
        </is>
      </c>
      <c r="C855" s="63">
        <v>350000</v>
      </c>
      <c r="D855" s="63">
        <v>17633000</v>
      </c>
      <c t="inlineStr" r="E855">
        <is>
          <t xml:space="preserve">Greater San Francisco Bay Area</t>
        </is>
      </c>
      <c r="F855" s="65">
        <v>0</v>
      </c>
      <c r="G855" s="63">
        <v>155601</v>
      </c>
      <c t="inlineStr" r="H855">
        <is>
          <t xml:space="preserve">Manufacturing</t>
        </is>
      </c>
      <c t="inlineStr" r="I855">
        <is>
          <t xml:space="preserve">Machinery Manufacturing</t>
        </is>
      </c>
      <c t="inlineStr" r="L855">
        <is>
          <t xml:space="preserve">Includes Inventory &amp; AR</t>
        </is>
      </c>
    </row>
    <row r="856">
      <c t="str" r="A856" s="4">
        <f>HYPERLINK("https://linkbusiness.com/businesses-for-sale/SV00046/Authentic-South-Indian-Vegetarian-Restaurant%2c-Amazing-Location","SV00046")</f>
      </c>
      <c t="inlineStr" r="B856">
        <is>
          <t xml:space="preserve">Authentic South Indian Vegetarian Restaurant, Amazing Location</t>
        </is>
      </c>
      <c r="C856" s="63">
        <v>300000</v>
      </c>
      <c r="D856" s="63">
        <v>15114000</v>
      </c>
      <c t="inlineStr" r="E856">
        <is>
          <t xml:space="preserve">Greater San Francisco Bay Area</t>
        </is>
      </c>
      <c r="F856" s="65">
        <v>0</v>
      </c>
      <c r="G856" s="63">
        <v>40000</v>
      </c>
      <c t="inlineStr" r="H856">
        <is>
          <t xml:space="preserve">Restaurant</t>
        </is>
      </c>
      <c t="inlineStr" r="I856">
        <is>
          <t xml:space="preserve">&lt;none&gt;</t>
        </is>
      </c>
      <c t="inlineStr" r="J856">
        <is>
          <t xml:space="preserve">Diane Ho</t>
        </is>
      </c>
      <c t="inlineStr" r="L856">
        <is>
          <t xml:space="preserve">-----</t>
        </is>
      </c>
    </row>
    <row r="857">
      <c t="str" r="A857" s="4">
        <f>HYPERLINK("https://linkbusiness.com/businesses-for-sale/SV00047/Cookie-and-Ice-Cream-Franchise%2c-Brand-New-Store","SV00047")</f>
      </c>
      <c t="inlineStr" r="B857">
        <is>
          <t xml:space="preserve">Cookie and Ice Cream Franchise, Brand New Store</t>
        </is>
      </c>
      <c r="C857" s="63">
        <v>275000</v>
      </c>
      <c r="D857" s="63">
        <v>13854500</v>
      </c>
      <c t="inlineStr" r="E857">
        <is>
          <t xml:space="preserve">Greater San Francisco Bay Area</t>
        </is>
      </c>
      <c r="F857" s="65">
        <v>0</v>
      </c>
      <c r="G857" s="65">
        <v>0</v>
      </c>
      <c t="inlineStr" r="H857">
        <is>
          <t xml:space="preserve">Franchises</t>
        </is>
      </c>
      <c t="inlineStr" r="I857">
        <is>
          <t xml:space="preserve">&lt;none&gt;</t>
        </is>
      </c>
      <c t="inlineStr" r="J857">
        <is>
          <t xml:space="preserve">Diane Ho</t>
        </is>
      </c>
      <c t="inlineStr" r="L857">
        <is>
          <t xml:space="preserve">-----</t>
        </is>
      </c>
    </row>
    <row r="858">
      <c t="str" r="A858" s="4">
        <f>HYPERLINK("https://linkbusiness.com/businesses-for-sale/SV00048/Upscale-Liquore-Store%2c-Major-Intersection","SV00048")</f>
      </c>
      <c t="inlineStr" r="B858">
        <is>
          <t xml:space="preserve">Upscale Liquore Store, Major Intersection</t>
        </is>
      </c>
      <c r="C858" s="63">
        <v>400000</v>
      </c>
      <c r="D858" s="63">
        <v>20152000</v>
      </c>
      <c t="inlineStr" r="E858">
        <is>
          <t xml:space="preserve">Greater San Francisco Bay Area</t>
        </is>
      </c>
      <c r="F858" s="65">
        <v>0</v>
      </c>
      <c r="G858" s="63">
        <v>65000</v>
      </c>
      <c t="inlineStr" r="H858">
        <is>
          <t xml:space="preserve">Retail Trade</t>
        </is>
      </c>
      <c t="inlineStr" r="I858">
        <is>
          <t xml:space="preserve">Food and Beverage Stores</t>
        </is>
      </c>
      <c t="inlineStr" r="J858">
        <is>
          <t xml:space="preserve">Diane Ho</t>
        </is>
      </c>
      <c t="inlineStr" r="L858">
        <is>
          <t xml:space="preserve">Includes Inventory</t>
        </is>
      </c>
    </row>
    <row r="859">
      <c t="str" r="A859" s="4">
        <f>HYPERLINK("https://linkbusiness.com/businesses-for-sale/SV00049/Fast-Growing-Highly-Profitable-Luxury-Furniture-Business","SV00049")</f>
      </c>
      <c t="inlineStr" r="B859">
        <is>
          <t xml:space="preserve">Fast Growing Highly Profitable Luxury Furniture Business</t>
        </is>
      </c>
      <c r="C859" s="63">
        <v>2750000</v>
      </c>
      <c r="D859" s="63">
        <v>138545000</v>
      </c>
      <c t="inlineStr" r="E859">
        <is>
          <t xml:space="preserve">California</t>
        </is>
      </c>
      <c r="F859" s="65">
        <v>0</v>
      </c>
      <c r="G859" s="63">
        <v>433648</v>
      </c>
      <c t="inlineStr" r="H859">
        <is>
          <t xml:space="preserve">Retail Trade</t>
        </is>
      </c>
      <c t="inlineStr" r="I859">
        <is>
          <t xml:space="preserve">Furniture and Home Furnishings Stores</t>
        </is>
      </c>
      <c t="inlineStr" r="J859">
        <is>
          <t xml:space="preserve">Raj Sathyaseelan</t>
        </is>
      </c>
      <c t="inlineStr" r="L859">
        <is>
          <t xml:space="preserve">Includes 750K Inventory</t>
        </is>
      </c>
    </row>
    <row r="860">
      <c t="str" r="A860" s="4">
        <f>HYPERLINK("https://linkbusiness.com/businesses-for-sale/SV00050/Well-Known-Cookie-Franchise%2c-30%2b-years-of-history","SV00050")</f>
      </c>
      <c t="inlineStr" r="B860">
        <is>
          <t xml:space="preserve">Well Known Cookie Franchise, 30+ years of history</t>
        </is>
      </c>
      <c r="C860" s="63">
        <v>150000</v>
      </c>
      <c r="D860" s="63">
        <v>7557000</v>
      </c>
      <c t="inlineStr" r="E860">
        <is>
          <t xml:space="preserve">Greater San Francisco Bay Area</t>
        </is>
      </c>
      <c r="F860" s="65">
        <v>0</v>
      </c>
      <c r="G860" s="63">
        <v>60000</v>
      </c>
      <c t="inlineStr" r="H860">
        <is>
          <t xml:space="preserve">Franchises</t>
        </is>
      </c>
      <c t="inlineStr" r="I860">
        <is>
          <t xml:space="preserve">&lt;none&gt;</t>
        </is>
      </c>
      <c t="inlineStr" r="L860">
        <is>
          <t xml:space="preserve">-----</t>
        </is>
      </c>
    </row>
    <row r="861">
      <c t="str" r="A861" s="4">
        <f>HYPERLINK("https://linkbusiness.com/businesses-for-sale/SV00051/High-volume-Liquor-store%2c-Seller-financing","SV00051")</f>
      </c>
      <c t="inlineStr" r="B861">
        <is>
          <t xml:space="preserve">High volume Liquor store, Seller financing</t>
        </is>
      </c>
      <c r="C861" s="63">
        <v>350000</v>
      </c>
      <c r="D861" s="63">
        <v>17633000</v>
      </c>
      <c t="inlineStr" r="E861">
        <is>
          <t xml:space="preserve">Greater San Francisco Bay Area</t>
        </is>
      </c>
      <c r="F861" s="65">
        <v>0</v>
      </c>
      <c r="G861" s="63">
        <v>158000</v>
      </c>
      <c t="inlineStr" r="H861">
        <is>
          <t xml:space="preserve">Retail Trade</t>
        </is>
      </c>
      <c t="inlineStr" r="I861">
        <is>
          <t xml:space="preserve">&lt;none&gt;</t>
        </is>
      </c>
      <c t="inlineStr" r="J861">
        <is>
          <t xml:space="preserve">Diane Ho</t>
        </is>
      </c>
      <c t="inlineStr" r="L861">
        <is>
          <t xml:space="preserve">-----</t>
        </is>
      </c>
    </row>
    <row r="862">
      <c t="str" r="A862" s="4">
        <f>HYPERLINK("https://linkbusiness.com/businesses-for-sale/SV00052/Profitable-2-Bay-Auto-Repair%2c-Low-Rent","SV00052")</f>
      </c>
      <c t="inlineStr" r="B862">
        <is>
          <t xml:space="preserve">Profitable 2 Bay Auto Repair, Low Rent</t>
        </is>
      </c>
      <c r="C862" s="63">
        <v>75000</v>
      </c>
      <c r="D862" s="63">
        <v>3778500</v>
      </c>
      <c t="inlineStr" r="E862">
        <is>
          <t xml:space="preserve">Greater San Francisco Bay Area</t>
        </is>
      </c>
      <c r="F862" s="65">
        <v>0</v>
      </c>
      <c r="G862" s="65">
        <v>0</v>
      </c>
      <c t="inlineStr" r="H862">
        <is>
          <t xml:space="preserve">Other Services (except public administration)</t>
        </is>
      </c>
      <c t="inlineStr" r="I862">
        <is>
          <t xml:space="preserve">&lt;none&gt;</t>
        </is>
      </c>
      <c t="inlineStr" r="J862">
        <is>
          <t xml:space="preserve">David Jacobs</t>
        </is>
      </c>
      <c t="inlineStr" r="L862">
        <is>
          <t xml:space="preserve">-----</t>
        </is>
      </c>
    </row>
    <row r="863">
      <c t="str" r="A863" s="4">
        <f>HYPERLINK("https://linkbusiness.com/businesses-for-sale/SV00054/Growing-After-School-Education-Program%2c-Highly-Profitable","SV00054")</f>
      </c>
      <c t="inlineStr" r="B863">
        <is>
          <t xml:space="preserve">Growing After School Education Program, Highly Profitable</t>
        </is>
      </c>
      <c r="C863" s="63">
        <v>370000</v>
      </c>
      <c r="D863" s="63">
        <v>18640600</v>
      </c>
      <c t="inlineStr" r="E863">
        <is>
          <t xml:space="preserve">Greater San Francisco Bay Area</t>
        </is>
      </c>
      <c r="F863" s="65">
        <v>0</v>
      </c>
      <c r="G863" s="63">
        <v>165000</v>
      </c>
      <c t="inlineStr" r="H863">
        <is>
          <t xml:space="preserve">Franchises</t>
        </is>
      </c>
      <c t="inlineStr" r="I863">
        <is>
          <t xml:space="preserve">&lt;none&gt;</t>
        </is>
      </c>
      <c t="inlineStr" r="L863">
        <is>
          <t xml:space="preserve">-----</t>
        </is>
      </c>
    </row>
    <row r="864">
      <c t="str" r="A864" s="4">
        <f>HYPERLINK("https://linkbusiness.com/businesses-for-sale/SV00055/Profitable-Youth-Sports-Franchise%2c-SBA-Qualified","SV00055")</f>
      </c>
      <c t="inlineStr" r="B864">
        <is>
          <t xml:space="preserve">Profitable Youth Sports Franchise, SBA Qualified</t>
        </is>
      </c>
      <c r="C864" s="63">
        <v>160000</v>
      </c>
      <c r="D864" s="63">
        <v>8060800</v>
      </c>
      <c t="inlineStr" r="E864">
        <is>
          <t xml:space="preserve">Greater San Francisco Bay Area</t>
        </is>
      </c>
      <c r="F864" s="65">
        <v>0</v>
      </c>
      <c r="G864" s="63">
        <v>53150</v>
      </c>
      <c t="inlineStr" r="H864">
        <is>
          <t xml:space="preserve">Franchises</t>
        </is>
      </c>
      <c t="inlineStr" r="I864">
        <is>
          <t xml:space="preserve">&lt;none&gt;</t>
        </is>
      </c>
      <c t="inlineStr" r="L864">
        <is>
          <t xml:space="preserve">-----</t>
        </is>
      </c>
    </row>
    <row r="865">
      <c t="str" r="A865" s="4">
        <f>HYPERLINK("https://linkbusiness.com/businesses-for-sale/SV00056/Silicon-Valley-Machine-Shop-with-Fortune-500-Customers","SV00056")</f>
      </c>
      <c t="inlineStr" r="B865">
        <is>
          <t xml:space="preserve">Silicon Valley Machine Shop with Fortune 500 Customers</t>
        </is>
      </c>
      <c r="C865" s="63">
        <v>1250000</v>
      </c>
      <c r="D865" s="63">
        <v>62975000</v>
      </c>
      <c t="inlineStr" r="E865">
        <is>
          <t xml:space="preserve">Greater San Francisco Bay Area</t>
        </is>
      </c>
      <c r="F865" s="65">
        <v>0</v>
      </c>
      <c r="G865" s="63">
        <v>70000</v>
      </c>
      <c t="inlineStr" r="H865">
        <is>
          <t xml:space="preserve">Manufacturing</t>
        </is>
      </c>
      <c t="inlineStr" r="I865">
        <is>
          <t xml:space="preserve">Machinery Manufacturing</t>
        </is>
      </c>
      <c t="inlineStr" r="J865">
        <is>
          <t xml:space="preserve">David Jacobs</t>
        </is>
      </c>
      <c t="inlineStr" r="L865">
        <is>
          <t xml:space="preserve">Includes $200K Receivables</t>
        </is>
      </c>
    </row>
    <row r="866">
      <c t="str" r="A866" s="4">
        <f>HYPERLINK("https://linkbusiness.com/businesses-for-sale/SV00057/Established%2c-Profitable-Pizza-and-Pasta-Restaurant","SV00057")</f>
      </c>
      <c t="inlineStr" r="B866">
        <is>
          <t xml:space="preserve">Established, Profitable Pizza and Pasta Restaurant</t>
        </is>
      </c>
      <c r="C866" s="63">
        <v>200000</v>
      </c>
      <c r="D866" s="63">
        <v>10076000</v>
      </c>
      <c t="inlineStr" r="E866">
        <is>
          <t xml:space="preserve">Greater San Francisco Bay Area</t>
        </is>
      </c>
      <c r="F866" s="65">
        <v>0</v>
      </c>
      <c r="G866" s="63">
        <v>134000</v>
      </c>
      <c t="inlineStr" r="H866">
        <is>
          <t xml:space="preserve">Restaurant</t>
        </is>
      </c>
      <c t="inlineStr" r="I866">
        <is>
          <t xml:space="preserve">Food Services and Drinking Places</t>
        </is>
      </c>
      <c t="inlineStr" r="J866">
        <is>
          <t xml:space="preserve">Antoinette Norris</t>
        </is>
      </c>
      <c t="inlineStr" r="L866">
        <is>
          <t xml:space="preserve">-----</t>
        </is>
      </c>
    </row>
    <row r="867">
      <c t="str" r="A867" s="4">
        <f>HYPERLINK("https://linkbusiness.com/businesses-for-sale/SV00058/Well-Established-IT-Staffing-Business-with-major-clientele","SV00058")</f>
      </c>
      <c t="inlineStr" r="B867">
        <is>
          <t xml:space="preserve">Well Established IT Staffing Business with major clientele</t>
        </is>
      </c>
      <c r="C867" s="63">
        <v>3250000</v>
      </c>
      <c r="D867" s="63">
        <v>163735000</v>
      </c>
      <c t="inlineStr" r="E867">
        <is>
          <t xml:space="preserve">Greater San Francisco Bay Area</t>
        </is>
      </c>
      <c r="F867" s="65">
        <v>0</v>
      </c>
      <c r="G867" s="63">
        <v>1048183</v>
      </c>
      <c t="inlineStr" r="H867">
        <is>
          <t xml:space="preserve">Information</t>
        </is>
      </c>
      <c t="inlineStr" r="I867">
        <is>
          <t xml:space="preserve">Other Information Services</t>
        </is>
      </c>
      <c t="inlineStr" r="J867">
        <is>
          <t xml:space="preserve">Raj Sathyaseelan</t>
        </is>
      </c>
      <c t="inlineStr" r="L867">
        <is>
          <t xml:space="preserve">-----</t>
        </is>
      </c>
    </row>
    <row r="868">
      <c t="str" r="A868" s="4">
        <f>HYPERLINK("https://linkbusiness.com/businesses-for-sale/SV00059/Indian-Restaurant%2c-Downtown-Location","SV00059")</f>
      </c>
      <c t="inlineStr" r="B868">
        <is>
          <t xml:space="preserve">Indian Restaurant, Downtown Location</t>
        </is>
      </c>
      <c r="C868" s="63">
        <v>250000</v>
      </c>
      <c r="D868" s="63">
        <v>12595000</v>
      </c>
      <c t="inlineStr" r="E868">
        <is>
          <t xml:space="preserve">Greater San Francisco Bay Area</t>
        </is>
      </c>
      <c r="F868" s="65">
        <v>0</v>
      </c>
      <c r="G868" s="63">
        <v>94718</v>
      </c>
      <c t="inlineStr" r="H868">
        <is>
          <t xml:space="preserve">Restaurant</t>
        </is>
      </c>
      <c t="inlineStr" r="I868">
        <is>
          <t xml:space="preserve">Food Services and Drinking Places</t>
        </is>
      </c>
      <c t="inlineStr" r="J868">
        <is>
          <t xml:space="preserve">Antoinette Norris</t>
        </is>
      </c>
      <c t="inlineStr" r="L868">
        <is>
          <t xml:space="preserve">-----</t>
        </is>
      </c>
    </row>
    <row r="869">
      <c t="str" r="A869" s="4">
        <f>HYPERLINK("https://linkbusiness.com/businesses-for-sale/SV00060/Newly-Built-Dental-Practice%2c-Low-Rent","SV00060")</f>
      </c>
      <c t="inlineStr" r="B869">
        <is>
          <t xml:space="preserve">Newly Built Dental Practice, Low Rent</t>
        </is>
      </c>
      <c r="C869" s="63">
        <v>615000</v>
      </c>
      <c r="D869" s="63">
        <v>30983700</v>
      </c>
      <c t="inlineStr" r="E869">
        <is>
          <t xml:space="preserve">Greater San Francisco Bay Area</t>
        </is>
      </c>
      <c r="F869" s="65">
        <v>0</v>
      </c>
      <c r="G869" s="65">
        <v>0</v>
      </c>
      <c t="inlineStr" r="H869">
        <is>
          <t xml:space="preserve">Health Care &amp; Social Assistance</t>
        </is>
      </c>
      <c t="inlineStr" r="I869">
        <is>
          <t xml:space="preserve">&lt;none&gt;</t>
        </is>
      </c>
      <c t="inlineStr" r="J869">
        <is>
          <t xml:space="preserve">Diane Ho</t>
        </is>
      </c>
      <c t="inlineStr" r="K869">
        <is>
          <t xml:space="preserve">Raj Sathyaseelan</t>
        </is>
      </c>
      <c t="inlineStr" r="L869">
        <is>
          <t xml:space="preserve">-----</t>
        </is>
      </c>
    </row>
    <row r="870">
      <c t="str" r="A870" s="4">
        <f>HYPERLINK("https://linkbusiness.com/businesses-for-sale/SV00062/FEDEX-Routes-Business%2c-Fast-Growing","SV00062")</f>
      </c>
      <c t="inlineStr" r="B870">
        <is>
          <t xml:space="preserve">FEDEX Routes Business, Fast Growing</t>
        </is>
      </c>
      <c r="C870" s="63">
        <v>1200000</v>
      </c>
      <c r="D870" s="63">
        <v>60456000</v>
      </c>
      <c t="inlineStr" r="E870">
        <is>
          <t xml:space="preserve">Greater San Francisco Bay Area</t>
        </is>
      </c>
      <c r="F870" s="65">
        <v>0</v>
      </c>
      <c r="G870" s="65">
        <v>0</v>
      </c>
      <c t="inlineStr" r="H870">
        <is>
          <t xml:space="preserve">Transportation &amp; Warehousing</t>
        </is>
      </c>
      <c t="inlineStr" r="I870">
        <is>
          <t xml:space="preserve">&lt;none&gt;</t>
        </is>
      </c>
      <c t="inlineStr" r="L870">
        <is>
          <t xml:space="preserve">-----</t>
        </is>
      </c>
    </row>
    <row r="871">
      <c t="str" r="A871" s="4">
        <f>HYPERLINK("https://linkbusiness.com/businesses-for-sale/SV00063/Newly-Redesigned-Italian-Pub-Over-%241M-in-Sales","SV00063")</f>
      </c>
      <c t="inlineStr" r="B871">
        <is>
          <t xml:space="preserve">Newly Redesigned Italian Pub Over $1M in Sales</t>
        </is>
      </c>
      <c r="C871" s="63">
        <v>199000</v>
      </c>
      <c r="D871" s="63">
        <v>10025620</v>
      </c>
      <c t="inlineStr" r="E871">
        <is>
          <t xml:space="preserve">Greater San Francisco Bay Area</t>
        </is>
      </c>
      <c r="F871" s="65">
        <v>0</v>
      </c>
      <c r="G871" s="63">
        <v>233684</v>
      </c>
      <c t="inlineStr" r="H871">
        <is>
          <t xml:space="preserve">Restaurant</t>
        </is>
      </c>
      <c t="inlineStr" r="I871">
        <is>
          <t xml:space="preserve">&lt;none&gt;</t>
        </is>
      </c>
      <c t="inlineStr" r="J871">
        <is>
          <t xml:space="preserve">Antoinette Norris</t>
        </is>
      </c>
      <c t="inlineStr" r="L871">
        <is>
          <t xml:space="preserve">-----</t>
        </is>
      </c>
    </row>
    <row r="872">
      <c t="str" r="A872" s="4">
        <f>HYPERLINK("https://linkbusiness.com/businesses-for-sale/SV00064/Beautiful-Burger-Restaurant-and-Bar%2c-Prime-Location","SV00064")</f>
      </c>
      <c t="inlineStr" r="B872">
        <is>
          <t xml:space="preserve">Beautiful Burger Restaurant and Bar, Prime Location</t>
        </is>
      </c>
      <c r="C872" s="63">
        <v>995000</v>
      </c>
      <c r="D872" s="63">
        <v>50128100</v>
      </c>
      <c t="inlineStr" r="E872">
        <is>
          <t xml:space="preserve">Greater San Francisco Bay Area</t>
        </is>
      </c>
      <c r="F872" s="65">
        <v>0</v>
      </c>
      <c r="G872" s="63">
        <v>352588</v>
      </c>
      <c t="inlineStr" r="H872">
        <is>
          <t xml:space="preserve">Restaurant</t>
        </is>
      </c>
      <c t="inlineStr" r="I872">
        <is>
          <t xml:space="preserve">Food Services and Drinking Places</t>
        </is>
      </c>
      <c t="inlineStr" r="J872">
        <is>
          <t xml:space="preserve">Diane Ho</t>
        </is>
      </c>
      <c t="inlineStr" r="L872">
        <is>
          <t xml:space="preserve">-----</t>
        </is>
      </c>
    </row>
    <row r="873">
      <c t="str" r="A873" s="4">
        <f>HYPERLINK("https://linkbusiness.com/businesses-for-sale/SV00065/Three-Profitable-Subway-Restaurants%2cAbsentee-Owner%2c-SBA-Qualified","SV00065")</f>
      </c>
      <c t="inlineStr" r="B873">
        <is>
          <t xml:space="preserve">Three Profitable Subway Restaurants,Absentee Owner, SBA Qualified</t>
        </is>
      </c>
      <c r="C873" s="63">
        <v>250000</v>
      </c>
      <c r="D873" s="63">
        <v>12595000</v>
      </c>
      <c t="inlineStr" r="E873">
        <is>
          <t xml:space="preserve">Greater San Francisco Bay Area</t>
        </is>
      </c>
      <c r="F873" s="65">
        <v>0</v>
      </c>
      <c r="G873" s="63">
        <v>108000</v>
      </c>
      <c t="inlineStr" r="H873">
        <is>
          <t xml:space="preserve">Franchises</t>
        </is>
      </c>
      <c t="inlineStr" r="I873">
        <is>
          <t xml:space="preserve">&lt;none&gt;</t>
        </is>
      </c>
      <c t="inlineStr" r="J873">
        <is>
          <t xml:space="preserve">Diane Ho</t>
        </is>
      </c>
      <c t="inlineStr" r="L873">
        <is>
          <t xml:space="preserve">-----</t>
        </is>
      </c>
    </row>
    <row r="874">
      <c t="str" r="A874" s="4">
        <f>HYPERLINK("https://linkbusiness.com/businesses-for-sale/SV00066/Family-Owned-Profitable-Towing-Business-with-Real-Estate","SV00066")</f>
      </c>
      <c t="inlineStr" r="B874">
        <is>
          <t xml:space="preserve">Family Owned Profitable Towing Business with Real Estate</t>
        </is>
      </c>
      <c r="C874" s="63">
        <v>2550000</v>
      </c>
      <c r="D874" s="63">
        <v>128469000</v>
      </c>
      <c t="inlineStr" r="E874">
        <is>
          <t xml:space="preserve">Greater San Francisco Bay Area</t>
        </is>
      </c>
      <c r="F874" s="65">
        <v>0</v>
      </c>
      <c r="G874" s="63">
        <v>335430</v>
      </c>
      <c t="inlineStr" r="H874">
        <is>
          <t xml:space="preserve">Transportation &amp; Warehousing</t>
        </is>
      </c>
      <c t="inlineStr" r="I874">
        <is>
          <t xml:space="preserve">&lt;none&gt;</t>
        </is>
      </c>
      <c t="inlineStr" r="L874">
        <is>
          <t xml:space="preserve">Includes $1.75M Real Estate</t>
        </is>
      </c>
    </row>
    <row r="875">
      <c t="str" r="A875" s="4">
        <f>HYPERLINK("https://linkbusiness.com/businesses-for-sale/SV00067/New-Youth-Sports-Franchise%2c-Los-Angeles-County","SV00067")</f>
      </c>
      <c t="inlineStr" r="B875">
        <is>
          <t xml:space="preserve">New Youth Sports Franchise, Los Angeles County</t>
        </is>
      </c>
      <c r="C875" s="63">
        <v>40000</v>
      </c>
      <c r="D875" s="63">
        <v>2015200</v>
      </c>
      <c t="inlineStr" r="E875">
        <is>
          <t xml:space="preserve">Los Angeles County</t>
        </is>
      </c>
      <c r="F875" s="65">
        <v>0</v>
      </c>
      <c r="G875" s="65">
        <v>0</v>
      </c>
      <c t="inlineStr" r="H875">
        <is>
          <t xml:space="preserve">Franchises</t>
        </is>
      </c>
      <c t="inlineStr" r="I875">
        <is>
          <t xml:space="preserve">&lt;none&gt;</t>
        </is>
      </c>
      <c t="inlineStr" r="J875">
        <is>
          <t xml:space="preserve">Raj Sathyaseelan</t>
        </is>
      </c>
      <c t="inlineStr" r="L875">
        <is>
          <t xml:space="preserve">-----</t>
        </is>
      </c>
    </row>
    <row r="876">
      <c t="str" r="A876" s="4">
        <f>HYPERLINK("https://linkbusiness.com/businesses-for-sale/SV00068/Profitable-Beautiful-Salon-and-Spa","SV00068")</f>
      </c>
      <c t="inlineStr" r="B876">
        <is>
          <t xml:space="preserve">Profitable Beautiful Salon and Spa</t>
        </is>
      </c>
      <c r="C876" s="63">
        <v>169000</v>
      </c>
      <c r="D876" s="63">
        <v>8514220</v>
      </c>
      <c t="inlineStr" r="E876">
        <is>
          <t xml:space="preserve">Greater San Francisco Bay Area</t>
        </is>
      </c>
      <c r="F876" s="65">
        <v>0</v>
      </c>
      <c r="G876" s="63">
        <v>51167</v>
      </c>
      <c t="inlineStr" r="H876">
        <is>
          <t xml:space="preserve">Retail Trade</t>
        </is>
      </c>
      <c t="inlineStr" r="I876">
        <is>
          <t xml:space="preserve">Miscellaneous Store Retailers</t>
        </is>
      </c>
      <c t="inlineStr" r="J876">
        <is>
          <t xml:space="preserve">Diane Ho</t>
        </is>
      </c>
      <c t="inlineStr" r="L876">
        <is>
          <t xml:space="preserve">-----</t>
        </is>
      </c>
    </row>
    <row r="877">
      <c t="str" r="A877" s="4">
        <f>HYPERLINK("https://linkbusiness.com/businesses-for-sale/SV00069/FEDEX-Delivery-Business%2c-Growth-Potential","SV00069")</f>
      </c>
      <c t="inlineStr" r="B877">
        <is>
          <t xml:space="preserve">FEDEX Delivery Business, Growth Potential</t>
        </is>
      </c>
      <c r="C877" s="63">
        <v>1050000</v>
      </c>
      <c r="D877" s="63">
        <v>52899000</v>
      </c>
      <c t="inlineStr" r="E877">
        <is>
          <t xml:space="preserve">Greater Sacramento Area</t>
        </is>
      </c>
      <c r="F877" s="65">
        <v>0</v>
      </c>
      <c r="G877" s="63">
        <v>194913</v>
      </c>
      <c t="inlineStr" r="H877">
        <is>
          <t xml:space="preserve">Transportation &amp; Warehousing</t>
        </is>
      </c>
      <c t="inlineStr" r="I877">
        <is>
          <t xml:space="preserve">&lt;none&gt;</t>
        </is>
      </c>
      <c t="inlineStr" r="J877">
        <is>
          <t xml:space="preserve">Fady Aldaghma</t>
        </is>
      </c>
      <c t="inlineStr" r="K877">
        <is>
          <t xml:space="preserve">Raj Sathyaseelan</t>
        </is>
      </c>
      <c t="inlineStr" r="L877">
        <is>
          <t xml:space="preserve">-----</t>
        </is>
      </c>
    </row>
    <row r="878">
      <c t="str" r="A878" s="4">
        <f>HYPERLINK("https://linkbusiness.com/businesses-for-sale/SV00071/Liquor-Store%2c-Upscale-Neighborhood","SV00071")</f>
      </c>
      <c t="inlineStr" r="B878">
        <is>
          <t xml:space="preserve">Liquor Store, Upscale Neighborhood</t>
        </is>
      </c>
      <c r="C878" s="63">
        <v>80000</v>
      </c>
      <c r="D878" s="63">
        <v>4030400</v>
      </c>
      <c t="inlineStr" r="E878">
        <is>
          <t xml:space="preserve">Greater San Francisco Bay Area</t>
        </is>
      </c>
      <c r="F878" s="65">
        <v>0</v>
      </c>
      <c r="G878" s="65">
        <v>0</v>
      </c>
      <c t="inlineStr" r="H878">
        <is>
          <t xml:space="preserve">Retail Trade</t>
        </is>
      </c>
      <c t="inlineStr" r="I878">
        <is>
          <t xml:space="preserve">Food and Beverage Stores</t>
        </is>
      </c>
      <c t="inlineStr" r="J878">
        <is>
          <t xml:space="preserve">Diane Ho</t>
        </is>
      </c>
      <c t="inlineStr" r="L878">
        <is>
          <t xml:space="preserve">-----</t>
        </is>
      </c>
    </row>
    <row r="879">
      <c t="str" r="A879" s="4">
        <f>HYPERLINK("https://linkbusiness.com/businesses-for-sale/SV00072/Casino-Party-Company-for-Events-Celebration","SV00072")</f>
      </c>
      <c t="inlineStr" r="B879">
        <is>
          <t xml:space="preserve">Casino Party Company for Events Celebration</t>
        </is>
      </c>
      <c r="C879" s="63">
        <v>165000</v>
      </c>
      <c r="D879" s="63">
        <v>8312700</v>
      </c>
      <c t="inlineStr" r="E879">
        <is>
          <t xml:space="preserve">Greater San Francisco Bay Area</t>
        </is>
      </c>
      <c r="F879" s="65">
        <v>0</v>
      </c>
      <c r="G879" s="63">
        <v>60000</v>
      </c>
      <c t="inlineStr" r="H879">
        <is>
          <t xml:space="preserve">Arts, Entertainment &amp; Recreation</t>
        </is>
      </c>
      <c t="inlineStr" r="I879">
        <is>
          <t xml:space="preserve">Amusement, Gambling, and Recreation Industries</t>
        </is>
      </c>
      <c t="inlineStr" r="J879">
        <is>
          <t xml:space="preserve">Raj Sathyaseelan</t>
        </is>
      </c>
      <c t="inlineStr" r="L879">
        <is>
          <t xml:space="preserve">-----</t>
        </is>
      </c>
    </row>
    <row r="880">
      <c t="str" r="A880" s="4">
        <f>HYPERLINK("https://linkbusiness.com/businesses-for-sale/SV00073/Iconic-Transportation-Business-with-Corporate-Clients","SV00073")</f>
      </c>
      <c t="inlineStr" r="B880">
        <is>
          <t xml:space="preserve">Iconic Transportation Business with Corporate Clients</t>
        </is>
      </c>
      <c r="C880" s="63">
        <v>2300000</v>
      </c>
      <c r="D880" s="63">
        <v>115874000</v>
      </c>
      <c t="inlineStr" r="E880">
        <is>
          <t xml:space="preserve">Greater San Francisco Bay Area</t>
        </is>
      </c>
      <c r="F880" s="65">
        <v>0</v>
      </c>
      <c r="G880" s="63">
        <v>448109</v>
      </c>
      <c t="inlineStr" r="H880">
        <is>
          <t xml:space="preserve">Transportation &amp; Warehousing</t>
        </is>
      </c>
      <c t="inlineStr" r="I880">
        <is>
          <t xml:space="preserve">&lt;none&gt;</t>
        </is>
      </c>
      <c t="inlineStr" r="J880">
        <is>
          <t xml:space="preserve">Antoinette Norris</t>
        </is>
      </c>
      <c t="inlineStr" r="K880">
        <is>
          <t xml:space="preserve">Raj Sathyaseelan</t>
        </is>
      </c>
      <c t="inlineStr" r="L880">
        <is>
          <t xml:space="preserve">-----</t>
        </is>
      </c>
    </row>
    <row r="881">
      <c t="str" r="A881" s="4">
        <f>HYPERLINK("https://linkbusiness.com/businesses-for-sale/SV00075/Data-Migration-Company-with-Fortune-500-Clients","SV00075")</f>
      </c>
      <c t="inlineStr" r="B881">
        <is>
          <t xml:space="preserve">Data Migration Company with Fortune 500 Clients</t>
        </is>
      </c>
      <c r="C881" s="63">
        <v>7500000</v>
      </c>
      <c r="D881" s="63">
        <v>377850000</v>
      </c>
      <c t="inlineStr" r="E881">
        <is>
          <t xml:space="preserve">Greater San Francisco Bay Area</t>
        </is>
      </c>
      <c r="F881" s="65">
        <v>0</v>
      </c>
      <c r="G881" s="65">
        <v>0</v>
      </c>
      <c t="inlineStr" r="H881">
        <is>
          <t xml:space="preserve">Information</t>
        </is>
      </c>
      <c t="inlineStr" r="I881">
        <is>
          <t xml:space="preserve">&lt;none&gt;</t>
        </is>
      </c>
      <c t="inlineStr" r="J881">
        <is>
          <t xml:space="preserve">David Jacobs</t>
        </is>
      </c>
      <c t="inlineStr" r="L881">
        <is>
          <t xml:space="preserve">-----</t>
        </is>
      </c>
    </row>
    <row r="882">
      <c t="str" r="A882" s="4">
        <f>HYPERLINK("https://linkbusiness.com/businesses-for-sale/SV00076/Profitable-Hotel-Franchise-with-Real-Estate","SV00076")</f>
      </c>
      <c t="inlineStr" r="B882">
        <is>
          <t xml:space="preserve">Profitable Hotel Franchise with Real Estate</t>
        </is>
      </c>
      <c r="C882" s="63">
        <v>6700000</v>
      </c>
      <c r="D882" s="63">
        <v>337546000</v>
      </c>
      <c t="inlineStr" r="E882">
        <is>
          <t xml:space="preserve">San Benito County</t>
        </is>
      </c>
      <c r="F882" s="65">
        <v>0</v>
      </c>
      <c r="G882" s="63">
        <v>400000</v>
      </c>
      <c t="inlineStr" r="H882">
        <is>
          <t xml:space="preserve">Real Estate and Rental &amp; Leasing</t>
        </is>
      </c>
      <c t="inlineStr" r="I882">
        <is>
          <t xml:space="preserve">Rental and Leasing Services</t>
        </is>
      </c>
      <c t="inlineStr" r="J882">
        <is>
          <t xml:space="preserve">Diane Ho</t>
        </is>
      </c>
      <c t="inlineStr" r="L882">
        <is>
          <t xml:space="preserve">-----</t>
        </is>
      </c>
    </row>
    <row r="883">
      <c t="str" r="A883" s="4">
        <f>HYPERLINK("https://linkbusiness.com/businesses-for-sale/SV00077/New-Burger-Franchise%2c-Fast-Casual-Restaurant","SV00077")</f>
      </c>
      <c t="inlineStr" r="B883">
        <is>
          <t xml:space="preserve">New Burger Franchise, Fast Casual Restaurant</t>
        </is>
      </c>
      <c r="C883" s="63">
        <v>200000</v>
      </c>
      <c r="D883" s="63">
        <v>10076000</v>
      </c>
      <c t="inlineStr" r="E883">
        <is>
          <t xml:space="preserve">Northern California</t>
        </is>
      </c>
      <c r="F883" s="65">
        <v>0</v>
      </c>
      <c r="G883" s="63">
        <v>75000</v>
      </c>
      <c t="inlineStr" r="H883">
        <is>
          <t xml:space="preserve">Franchises</t>
        </is>
      </c>
      <c t="inlineStr" r="I883">
        <is>
          <t xml:space="preserve">&lt;none&gt;</t>
        </is>
      </c>
      <c t="inlineStr" r="J883">
        <is>
          <t xml:space="preserve">Diane Ho</t>
        </is>
      </c>
      <c t="inlineStr" r="L883">
        <is>
          <t xml:space="preserve">Includes $3K Inventory</t>
        </is>
      </c>
    </row>
    <row r="884">
      <c t="str" r="A884" s="4">
        <f>HYPERLINK("https://linkbusiness.com/businesses-for-sale/SV00078/Profitable-Japanese-Sushi-Restaurant%2c-Healthy-Food","SV00078")</f>
      </c>
      <c t="inlineStr" r="B884">
        <is>
          <t xml:space="preserve">Profitable Japanese Sushi Restaurant, Healthy Food</t>
        </is>
      </c>
      <c r="C884" s="63">
        <v>199000</v>
      </c>
      <c r="D884" s="63">
        <v>10025620</v>
      </c>
      <c t="inlineStr" r="E884">
        <is>
          <t xml:space="preserve">Greater San Francisco Bay Area</t>
        </is>
      </c>
      <c r="F884" s="65">
        <v>0</v>
      </c>
      <c r="G884" s="63">
        <v>120000</v>
      </c>
      <c t="inlineStr" r="H884">
        <is>
          <t xml:space="preserve">Restaurant</t>
        </is>
      </c>
      <c t="inlineStr" r="I884">
        <is>
          <t xml:space="preserve">&lt;none&gt;</t>
        </is>
      </c>
      <c t="inlineStr" r="J884">
        <is>
          <t xml:space="preserve">Diane Ho</t>
        </is>
      </c>
      <c t="inlineStr" r="L884">
        <is>
          <t xml:space="preserve">-----</t>
        </is>
      </c>
    </row>
    <row r="885">
      <c t="str" r="A885" s="4">
        <f>HYPERLINK("https://linkbusiness.com/businesses-for-sale/SV00079/Pizza-Restaurant-Located-in-High-Traffic-Location","SV00079")</f>
      </c>
      <c t="inlineStr" r="B885">
        <is>
          <t xml:space="preserve">Pizza Restaurant Located in High Traffic Location</t>
        </is>
      </c>
      <c r="C885" s="63">
        <v>70000</v>
      </c>
      <c r="D885" s="63">
        <v>3526600</v>
      </c>
      <c t="inlineStr" r="E885">
        <is>
          <t xml:space="preserve">San Joaquin County</t>
        </is>
      </c>
      <c r="F885" s="65">
        <v>0</v>
      </c>
      <c r="G885" s="65">
        <v>0</v>
      </c>
      <c t="inlineStr" r="H885">
        <is>
          <t xml:space="preserve">Restaurant</t>
        </is>
      </c>
      <c t="inlineStr" r="I885">
        <is>
          <t xml:space="preserve">&lt;none&gt;</t>
        </is>
      </c>
      <c t="inlineStr" r="J885">
        <is>
          <t xml:space="preserve">Fady Aldaghma</t>
        </is>
      </c>
      <c t="inlineStr" r="L885">
        <is>
          <t xml:space="preserve">-----</t>
        </is>
      </c>
    </row>
    <row r="886">
      <c t="str" r="A886" s="4">
        <f>HYPERLINK("https://linkbusiness.com/businesses-for-sale/SV00080/Non-Emergency-Transportation-with-exclusive-contracts","SV00080")</f>
      </c>
      <c t="inlineStr" r="B886">
        <is>
          <t xml:space="preserve">Non Emergency Transportation with exclusive contracts</t>
        </is>
      </c>
      <c r="C886" s="63">
        <v>175000</v>
      </c>
      <c r="D886" s="63">
        <v>8816500</v>
      </c>
      <c t="inlineStr" r="E886">
        <is>
          <t xml:space="preserve">Greater San Francisco Bay Area</t>
        </is>
      </c>
      <c r="F886" s="65">
        <v>0</v>
      </c>
      <c r="G886" s="63">
        <v>99176</v>
      </c>
      <c t="inlineStr" r="H886">
        <is>
          <t xml:space="preserve">Transportation &amp; Warehousing</t>
        </is>
      </c>
      <c t="inlineStr" r="I886">
        <is>
          <t xml:space="preserve">&lt;none&gt;</t>
        </is>
      </c>
      <c t="inlineStr" r="J886">
        <is>
          <t xml:space="preserve">David Jacobs</t>
        </is>
      </c>
      <c t="inlineStr" r="L886">
        <is>
          <t xml:space="preserve">-----</t>
        </is>
      </c>
    </row>
    <row r="887">
      <c t="str" r="A887" s="4">
        <f>HYPERLINK("https://linkbusiness.com/businesses-for-sale/SV00081/Video-Communication-SaaS-Platform%2c-High-Growth-Startup","SV00081")</f>
      </c>
      <c t="inlineStr" r="B887">
        <is>
          <t xml:space="preserve">Video Communication SaaS Platform, High Growth Startup</t>
        </is>
      </c>
      <c r="C887" s="65">
        <v>0</v>
      </c>
      <c r="D887" s="65">
        <v>0</v>
      </c>
      <c t="inlineStr" r="E887">
        <is>
          <t xml:space="preserve">Alameda County</t>
        </is>
      </c>
      <c r="F887" s="65">
        <v>0</v>
      </c>
      <c r="G887" s="65">
        <v>0</v>
      </c>
      <c t="inlineStr" r="H887">
        <is>
          <t xml:space="preserve">Information</t>
        </is>
      </c>
      <c t="inlineStr" r="I887">
        <is>
          <t xml:space="preserve">Internet</t>
        </is>
      </c>
      <c t="inlineStr" r="J887">
        <is>
          <t xml:space="preserve">David Jacobs</t>
        </is>
      </c>
      <c t="inlineStr" r="L887">
        <is>
          <t xml:space="preserve">Refer to Broker</t>
        </is>
      </c>
    </row>
    <row r="888">
      <c t="str" r="A888" s="4">
        <f>HYPERLINK("https://linkbusiness.com/businesses-for-sale/SV00082/Family-Owned-Fundraising-%26-Event-Management-Company","SV00082")</f>
      </c>
      <c t="inlineStr" r="B888">
        <is>
          <t xml:space="preserve">Family Owned Fundraising &amp; Event Management Company</t>
        </is>
      </c>
      <c r="C888" s="65">
        <v>0</v>
      </c>
      <c r="D888" s="65">
        <v>0</v>
      </c>
      <c t="inlineStr" r="E888">
        <is>
          <t xml:space="preserve">California</t>
        </is>
      </c>
      <c r="F888" s="65">
        <v>0</v>
      </c>
      <c r="G888" s="63">
        <v>451986</v>
      </c>
      <c t="inlineStr" r="H888">
        <is>
          <t xml:space="preserve">Other Services (except public administration)</t>
        </is>
      </c>
      <c t="inlineStr" r="I888">
        <is>
          <t xml:space="preserve">&lt;none&gt;</t>
        </is>
      </c>
      <c t="inlineStr" r="J888">
        <is>
          <t xml:space="preserve">Raj Sathyaseelan</t>
        </is>
      </c>
      <c t="inlineStr" r="L888">
        <is>
          <t xml:space="preserve">Refer to Broker</t>
        </is>
      </c>
    </row>
    <row r="889">
      <c t="str" r="A889" s="4">
        <f>HYPERLINK("https://linkbusiness.com/businesses-for-sale/SV00083/New-Boba%252fBubble-Tea-Concept-in-Downtown-Location","SV00083")</f>
      </c>
      <c t="inlineStr" r="B889">
        <is>
          <t xml:space="preserve">New Boba/Bubble Tea Concept in Downtown Location</t>
        </is>
      </c>
      <c r="C889" s="63">
        <v>170000</v>
      </c>
      <c r="D889" s="63">
        <v>8564600</v>
      </c>
      <c t="inlineStr" r="E889">
        <is>
          <t xml:space="preserve">Greater San Francisco Bay Area</t>
        </is>
      </c>
      <c r="F889" s="65">
        <v>0</v>
      </c>
      <c r="G889" s="63">
        <v>60000</v>
      </c>
      <c t="inlineStr" r="H889">
        <is>
          <t xml:space="preserve">Franchises</t>
        </is>
      </c>
      <c t="inlineStr" r="I889">
        <is>
          <t xml:space="preserve">&lt;none&gt;</t>
        </is>
      </c>
      <c t="inlineStr" r="J889">
        <is>
          <t xml:space="preserve">Antoinette Norris</t>
        </is>
      </c>
      <c t="inlineStr" r="L889">
        <is>
          <t xml:space="preserve">-----</t>
        </is>
      </c>
    </row>
    <row r="890">
      <c t="str" r="A890" s="4">
        <f>HYPERLINK("https://linkbusiness.com/businesses-for-sale/SV00084/Promotional-Branding-Company%2c-Corporate-Clients","SV00084")</f>
      </c>
      <c t="inlineStr" r="B890">
        <is>
          <t xml:space="preserve">Promotional Branding Company, Corporate Clients</t>
        </is>
      </c>
      <c r="C890" s="63">
        <v>395000</v>
      </c>
      <c r="D890" s="63">
        <v>19900100</v>
      </c>
      <c t="inlineStr" r="E890">
        <is>
          <t xml:space="preserve">Greater San Francisco Bay Area</t>
        </is>
      </c>
      <c r="F890" s="65">
        <v>0</v>
      </c>
      <c r="G890" s="63">
        <v>138412</v>
      </c>
      <c t="inlineStr" r="H890">
        <is>
          <t xml:space="preserve">Wholesale Trade</t>
        </is>
      </c>
      <c t="inlineStr" r="I890">
        <is>
          <t xml:space="preserve">&lt;none&gt;</t>
        </is>
      </c>
      <c t="inlineStr" r="J890">
        <is>
          <t xml:space="preserve">Raj Sathyaseelan</t>
        </is>
      </c>
      <c t="inlineStr" r="L890">
        <is>
          <t xml:space="preserve">-----</t>
        </is>
      </c>
    </row>
    <row r="891">
      <c t="str" r="A891" s="4">
        <f>HYPERLINK("https://linkbusiness.com/businesses-for-sale/SV00085/FEDEX-Routes-with-Newer-Trucks","SV00085")</f>
      </c>
      <c t="inlineStr" r="B891">
        <is>
          <t xml:space="preserve">FEDEX Routes with Newer Trucks</t>
        </is>
      </c>
      <c r="C891" s="63">
        <v>1000000</v>
      </c>
      <c r="D891" s="63">
        <v>50380000</v>
      </c>
      <c t="inlineStr" r="E891">
        <is>
          <t xml:space="preserve">Greater San Francisco Bay Area</t>
        </is>
      </c>
      <c r="F891" s="65">
        <v>0</v>
      </c>
      <c r="G891" s="63">
        <v>350000</v>
      </c>
      <c t="inlineStr" r="H891">
        <is>
          <t xml:space="preserve">Transportation &amp; Warehousing</t>
        </is>
      </c>
      <c t="inlineStr" r="I891">
        <is>
          <t xml:space="preserve">Truck Transportation</t>
        </is>
      </c>
      <c t="inlineStr" r="J891">
        <is>
          <t xml:space="preserve">Raj Sathyaseelan</t>
        </is>
      </c>
      <c t="inlineStr" r="L891">
        <is>
          <t xml:space="preserve">includes all assets</t>
        </is>
      </c>
    </row>
    <row r="892">
      <c t="str" r="A892" s="4">
        <f>HYPERLINK("https://linkbusiness.com/businesses-for-sale/SV00086/Ice-Cream-Franchise%2c-Absentee-Run%2c-Low-Rent","SV00086")</f>
      </c>
      <c t="inlineStr" r="B892">
        <is>
          <t xml:space="preserve">Ice Cream Franchise, Absentee Run, Low Rent</t>
        </is>
      </c>
      <c r="C892" s="63">
        <v>250000</v>
      </c>
      <c r="D892" s="63">
        <v>12595000</v>
      </c>
      <c t="inlineStr" r="E892">
        <is>
          <t xml:space="preserve">Greater San Francisco Bay Area</t>
        </is>
      </c>
      <c r="F892" s="65">
        <v>0</v>
      </c>
      <c r="G892" s="63">
        <v>85000</v>
      </c>
      <c t="inlineStr" r="H892">
        <is>
          <t xml:space="preserve">Franchises</t>
        </is>
      </c>
      <c t="inlineStr" r="I892">
        <is>
          <t xml:space="preserve">&lt;none&gt;</t>
        </is>
      </c>
      <c t="inlineStr" r="J892">
        <is>
          <t xml:space="preserve">Antoinette Norris</t>
        </is>
      </c>
      <c t="inlineStr" r="L892">
        <is>
          <t xml:space="preserve">-----</t>
        </is>
      </c>
    </row>
    <row r="893">
      <c t="str" r="A893" s="4">
        <f>HYPERLINK("https://linkbusiness.com/businesses-for-sale/SV00087/Laundromat-with-Corporate-Accounts-and-Trained-Employees","SV00087")</f>
      </c>
      <c t="inlineStr" r="B893">
        <is>
          <t xml:space="preserve">Laundromat with Corporate Accounts and Trained Employees</t>
        </is>
      </c>
      <c r="C893" s="63">
        <v>516000</v>
      </c>
      <c r="D893" s="63">
        <v>25996080</v>
      </c>
      <c t="inlineStr" r="E893">
        <is>
          <t xml:space="preserve">Greater San Francisco Bay Area</t>
        </is>
      </c>
      <c r="F893" s="65">
        <v>0</v>
      </c>
      <c r="G893" s="63">
        <v>134879</v>
      </c>
      <c t="inlineStr" r="H893">
        <is>
          <t xml:space="preserve">Retail Trade</t>
        </is>
      </c>
      <c t="inlineStr" r="I893">
        <is>
          <t xml:space="preserve">Miscellaneous Store Retailers</t>
        </is>
      </c>
      <c t="inlineStr" r="J893">
        <is>
          <t xml:space="preserve">Antoinette Norris</t>
        </is>
      </c>
      <c t="inlineStr" r="L893">
        <is>
          <t xml:space="preserve">-----</t>
        </is>
      </c>
    </row>
    <row r="894">
      <c t="str" r="A894" s="4">
        <f>HYPERLINK("https://linkbusiness.com/businesses-for-sale/SV00088/Authentic-Italian-Cuisine-with-Bar%2c-30%2b-years-of-History","SV00088")</f>
      </c>
      <c t="inlineStr" r="B894">
        <is>
          <t xml:space="preserve">Authentic Italian Cuisine with Bar, 30+ years of History</t>
        </is>
      </c>
      <c r="C894" s="63">
        <v>500000</v>
      </c>
      <c r="D894" s="63">
        <v>25190000</v>
      </c>
      <c t="inlineStr" r="E894">
        <is>
          <t xml:space="preserve">Greater San Francisco Bay Area</t>
        </is>
      </c>
      <c r="F894" s="65">
        <v>0</v>
      </c>
      <c r="G894" s="65">
        <v>0</v>
      </c>
      <c t="inlineStr" r="H894">
        <is>
          <t xml:space="preserve">Restaurant</t>
        </is>
      </c>
      <c t="inlineStr" r="I894">
        <is>
          <t xml:space="preserve">&lt;none&gt;</t>
        </is>
      </c>
      <c t="inlineStr" r="J894">
        <is>
          <t xml:space="preserve">Diane Ho</t>
        </is>
      </c>
      <c t="inlineStr" r="L894">
        <is>
          <t xml:space="preserve">-----</t>
        </is>
      </c>
    </row>
    <row r="895">
      <c t="str" r="A895" s="4">
        <f>HYPERLINK("https://linkbusiness.com/businesses-for-sale/SV00090/Innovative-SMS-Marketing-Platform-with-Patented-Technology","SV00090")</f>
      </c>
      <c t="inlineStr" r="B895">
        <is>
          <t xml:space="preserve">Innovative SMS Marketing Platform with Patented Technology</t>
        </is>
      </c>
      <c r="C895" s="65">
        <v>0</v>
      </c>
      <c r="D895" s="65">
        <v>0</v>
      </c>
      <c t="inlineStr" r="E895">
        <is>
          <t xml:space="preserve">Greater San Francisco Bay Area</t>
        </is>
      </c>
      <c r="F895" s="65">
        <v>0</v>
      </c>
      <c r="G895" s="65">
        <v>0</v>
      </c>
      <c t="inlineStr" r="H895">
        <is>
          <t xml:space="preserve">Information</t>
        </is>
      </c>
      <c t="inlineStr" r="I895">
        <is>
          <t xml:space="preserve">Internet</t>
        </is>
      </c>
      <c t="inlineStr" r="J895">
        <is>
          <t xml:space="preserve">David Jacobs</t>
        </is>
      </c>
      <c t="inlineStr" r="L895">
        <is>
          <t xml:space="preserve">Refer to Broker</t>
        </is>
      </c>
    </row>
    <row r="896">
      <c t="str" r="A896" s="4">
        <f>HYPERLINK("https://linkbusiness.com/businesses-for-sale/SV00091/Threading%2c-Hair-Cut-and-Nail-Salon-in-Busy-Shopping-Center","SV00091")</f>
      </c>
      <c t="inlineStr" r="B896">
        <is>
          <t xml:space="preserve">Threading, Hair Cut and Nail Salon in Busy Shopping Center</t>
        </is>
      </c>
      <c r="C896" s="63">
        <v>120000</v>
      </c>
      <c r="D896" s="63">
        <v>6045600</v>
      </c>
      <c t="inlineStr" r="E896">
        <is>
          <t xml:space="preserve">Greater San Francisco Bay Area</t>
        </is>
      </c>
      <c r="F896" s="65">
        <v>0</v>
      </c>
      <c r="G896" s="65">
        <v>0</v>
      </c>
      <c t="inlineStr" r="H896">
        <is>
          <t xml:space="preserve">Retail Trade</t>
        </is>
      </c>
      <c t="inlineStr" r="I896">
        <is>
          <t xml:space="preserve">&lt;none&gt;</t>
        </is>
      </c>
      <c t="inlineStr" r="J896">
        <is>
          <t xml:space="preserve">Diane Ho</t>
        </is>
      </c>
      <c t="inlineStr" r="L896">
        <is>
          <t xml:space="preserve">-----</t>
        </is>
      </c>
    </row>
    <row r="897">
      <c t="str" r="A897" s="4">
        <f>HYPERLINK("https://linkbusiness.com/businesses-for-sale/SV00092/Newly-Renovated-Hotel-near-Corporate-Headquarters","SV00092")</f>
      </c>
      <c t="inlineStr" r="B897">
        <is>
          <t xml:space="preserve">Newly Renovated Hotel near Corporate Headquarters</t>
        </is>
      </c>
      <c r="C897" s="63">
        <v>4000000</v>
      </c>
      <c r="D897" s="63">
        <v>201520000</v>
      </c>
      <c t="inlineStr" r="E897">
        <is>
          <t xml:space="preserve">Other States</t>
        </is>
      </c>
      <c r="F897" s="65">
        <v>0</v>
      </c>
      <c r="G897" s="65">
        <v>0</v>
      </c>
      <c t="inlineStr" r="H897">
        <is>
          <t xml:space="preserve">Real Estate and Rental &amp; Leasing</t>
        </is>
      </c>
      <c t="inlineStr" r="I897">
        <is>
          <t xml:space="preserve">&lt;none&gt;</t>
        </is>
      </c>
      <c t="inlineStr" r="J897">
        <is>
          <t xml:space="preserve">Diane Ho</t>
        </is>
      </c>
      <c t="inlineStr" r="L897">
        <is>
          <t xml:space="preserve">-----</t>
        </is>
      </c>
    </row>
    <row r="898">
      <c t="str" r="A898" s="4">
        <f>HYPERLINK("https://linkbusiness.com/businesses-for-sale/SV00093/Dental-Practice-and-Orthodontics%2c-Semi-Absentee-Run","SV00093")</f>
      </c>
      <c t="inlineStr" r="B898">
        <is>
          <t xml:space="preserve">Dental Practice and Orthodontics, Semi Absentee Run</t>
        </is>
      </c>
      <c r="C898" s="63">
        <v>550000</v>
      </c>
      <c r="D898" s="63">
        <v>27709000</v>
      </c>
      <c t="inlineStr" r="E898">
        <is>
          <t xml:space="preserve">Greater San Francisco Bay Area</t>
        </is>
      </c>
      <c r="F898" s="65">
        <v>0</v>
      </c>
      <c r="G898" s="65">
        <v>0</v>
      </c>
      <c t="inlineStr" r="H898">
        <is>
          <t xml:space="preserve">Health Care &amp; Social Assistance</t>
        </is>
      </c>
      <c t="inlineStr" r="I898">
        <is>
          <t xml:space="preserve">&lt;none&gt;</t>
        </is>
      </c>
      <c t="inlineStr" r="J898">
        <is>
          <t xml:space="preserve">Antoinette Norris</t>
        </is>
      </c>
      <c t="inlineStr" r="L898">
        <is>
          <t xml:space="preserve">-----</t>
        </is>
      </c>
    </row>
    <row r="899">
      <c t="str" r="A899" s="4">
        <f>HYPERLINK("https://linkbusiness.com/businesses-for-sale/SV00094/Growing-Sports-Franchise-Retailer%2c-Loyal-Customers","SV00094")</f>
      </c>
      <c t="inlineStr" r="B899">
        <is>
          <t xml:space="preserve">Growing Sports Franchise Retailer, Loyal Customers</t>
        </is>
      </c>
      <c r="C899" s="63">
        <v>440000</v>
      </c>
      <c r="D899" s="63">
        <v>22167200</v>
      </c>
      <c t="inlineStr" r="E899">
        <is>
          <t xml:space="preserve">Greater San Francisco Bay Area</t>
        </is>
      </c>
      <c r="F899" s="65">
        <v>0</v>
      </c>
      <c r="G899" s="63">
        <v>123054</v>
      </c>
      <c t="inlineStr" r="H899">
        <is>
          <t xml:space="preserve">Franchises</t>
        </is>
      </c>
      <c t="inlineStr" r="I899">
        <is>
          <t xml:space="preserve">&lt;none&gt;</t>
        </is>
      </c>
      <c t="inlineStr" r="J899">
        <is>
          <t xml:space="preserve">Raj Sathyaseelan</t>
        </is>
      </c>
      <c t="inlineStr" r="L899">
        <is>
          <t xml:space="preserve">-----</t>
        </is>
      </c>
    </row>
    <row r="900">
      <c t="str" r="A900" s="4">
        <f>HYPERLINK("https://linkbusiness.com/businesses-for-sale/SV00095/Profitable-Party-Rental-Business%2c-30%2b-years-of-history","SV00095")</f>
      </c>
      <c t="inlineStr" r="B900">
        <is>
          <t xml:space="preserve">Profitable Party Rental Business, 30+ years of history</t>
        </is>
      </c>
      <c r="C900" s="63">
        <v>750000</v>
      </c>
      <c r="D900" s="63">
        <v>37785000</v>
      </c>
      <c t="inlineStr" r="E900">
        <is>
          <t xml:space="preserve">Greater San Francisco Bay Area</t>
        </is>
      </c>
      <c r="F900" s="65">
        <v>0</v>
      </c>
      <c r="G900" s="63">
        <v>208318</v>
      </c>
      <c t="inlineStr" r="H900">
        <is>
          <t xml:space="preserve">Other Services (except public administration)</t>
        </is>
      </c>
      <c t="inlineStr" r="I900">
        <is>
          <t xml:space="preserve">Other Personal Services</t>
        </is>
      </c>
      <c t="inlineStr" r="J900">
        <is>
          <t xml:space="preserve">Antoinette Norris</t>
        </is>
      </c>
      <c t="inlineStr" r="L900">
        <is>
          <t xml:space="preserve">-----</t>
        </is>
      </c>
    </row>
    <row r="901">
      <c t="str" r="A901" s="4">
        <f>HYPERLINK("https://linkbusiness.com/businesses-for-sale/SV00096/Profitable-Laundromat-with-Real-Estate-and-Retail-Tenants%2c-Investment-Opportunity","SV00096")</f>
      </c>
      <c t="inlineStr" r="B901">
        <is>
          <t xml:space="preserve">Profitable Laundromat with Real Estate and Retail Tenants, Investment Opportunity</t>
        </is>
      </c>
      <c r="C901" s="63">
        <v>3100000</v>
      </c>
      <c r="D901" s="63">
        <v>156178000</v>
      </c>
      <c t="inlineStr" r="E901">
        <is>
          <t xml:space="preserve">Napa County</t>
        </is>
      </c>
      <c r="F901" s="65">
        <v>0</v>
      </c>
      <c r="G901" s="65">
        <v>0</v>
      </c>
      <c t="inlineStr" r="H901">
        <is>
          <t xml:space="preserve">Retail Trade</t>
        </is>
      </c>
      <c t="inlineStr" r="I901">
        <is>
          <t xml:space="preserve">Miscellaneous Store Retailers</t>
        </is>
      </c>
      <c t="inlineStr" r="J901">
        <is>
          <t xml:space="preserve">Antoinette Norris</t>
        </is>
      </c>
      <c t="inlineStr" r="L901">
        <is>
          <t xml:space="preserve">-----</t>
        </is>
      </c>
    </row>
    <row r="902">
      <c t="str" r="A902" s="4">
        <f>HYPERLINK("https://linkbusiness.com/businesses-for-sale/SV00097/Established-Non-Emergency-Medical-Transportation%2c-Poised-for-Growth","SV00097")</f>
      </c>
      <c t="inlineStr" r="B902">
        <is>
          <t xml:space="preserve">Established Non Emergency Medical Transportation, Poised for Growth</t>
        </is>
      </c>
      <c r="C902" s="63">
        <v>560000</v>
      </c>
      <c r="D902" s="63">
        <v>28212800</v>
      </c>
      <c t="inlineStr" r="E902">
        <is>
          <t xml:space="preserve">Greater San Francisco Bay Area</t>
        </is>
      </c>
      <c r="F902" s="65">
        <v>0</v>
      </c>
      <c r="G902" s="65">
        <v>0</v>
      </c>
      <c t="inlineStr" r="H902">
        <is>
          <t xml:space="preserve">Transportation &amp; Warehousing</t>
        </is>
      </c>
      <c t="inlineStr" r="I902">
        <is>
          <t xml:space="preserve">Truck Transportation</t>
        </is>
      </c>
      <c t="inlineStr" r="J902">
        <is>
          <t xml:space="preserve">Antoinette Norris</t>
        </is>
      </c>
      <c t="inlineStr" r="L902">
        <is>
          <t xml:space="preserve">-----</t>
        </is>
      </c>
    </row>
    <row r="903">
      <c t="str" r="A903" s="4">
        <f>HYPERLINK("https://linkbusiness.com/businesses-for-sale/SV00098/Profitable-Window-Distribution-and-Installation-Business","SV00098")</f>
      </c>
      <c t="inlineStr" r="B903">
        <is>
          <t xml:space="preserve">Profitable Window Distribution and Installation Business</t>
        </is>
      </c>
      <c r="C903" s="63">
        <v>390000</v>
      </c>
      <c r="D903" s="63">
        <v>19648200</v>
      </c>
      <c t="inlineStr" r="E903">
        <is>
          <t xml:space="preserve">Greater San Francisco Bay Area</t>
        </is>
      </c>
      <c r="F903" s="65">
        <v>0</v>
      </c>
      <c r="G903" s="63">
        <v>162000</v>
      </c>
      <c t="inlineStr" r="H903">
        <is>
          <t xml:space="preserve">Wholesale Trade</t>
        </is>
      </c>
      <c t="inlineStr" r="I903">
        <is>
          <t xml:space="preserve">Merchant Wholesalers, Durable Goods</t>
        </is>
      </c>
      <c t="inlineStr" r="J903">
        <is>
          <t xml:space="preserve">Antoinette Norris</t>
        </is>
      </c>
      <c t="inlineStr" r="L903">
        <is>
          <t xml:space="preserve">-----</t>
        </is>
      </c>
    </row>
  </sheetData>
  <mergeCells count="1">
    <mergeCell ref="A1:L1"/>
  </mergeCells>
</worksheet>
</file>