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queryTables/queryTable1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arevalo/Documents/Th/Rw/"/>
    </mc:Choice>
  </mc:AlternateContent>
  <xr:revisionPtr revIDLastSave="0" documentId="13_ncr:1_{8D9CB4DB-0B5E-9347-9AEC-9412621F8BE0}" xr6:coauthVersionLast="47" xr6:coauthVersionMax="47" xr10:uidLastSave="{00000000-0000-0000-0000-000000000000}"/>
  <bookViews>
    <workbookView xWindow="0" yWindow="500" windowWidth="29920" windowHeight="16480" activeTab="6" xr2:uid="{092B3A95-2655-49EC-9D83-8B408F731290}"/>
  </bookViews>
  <sheets>
    <sheet name="var_1" sheetId="2" r:id="rId1"/>
    <sheet name="var_2" sheetId="8" r:id="rId2"/>
    <sheet name="bulk_den" sheetId="6" r:id="rId3"/>
    <sheet name="AC_cal" sheetId="4" r:id="rId4"/>
    <sheet name="Cylinder_weight_bulk" sheetId="5" r:id="rId5"/>
    <sheet name="Texture2" sheetId="7" r:id="rId6"/>
    <sheet name="cec_cal" sheetId="9" r:id="rId7"/>
    <sheet name="Texture" sheetId="3" r:id="rId8"/>
  </sheets>
  <definedNames>
    <definedName name="_xlnm._FilterDatabase" localSheetId="2" hidden="1">bulk_den!$B$1:$L$121</definedName>
    <definedName name="_xlnm._FilterDatabase" localSheetId="0" hidden="1">var_1!$A$1:$T$1</definedName>
    <definedName name="_xlnm._FilterDatabase" localSheetId="1" hidden="1">var_2!$A$1:$W$1</definedName>
    <definedName name="Default_Dataset" localSheetId="6">cec_cal!$A$3:$A$6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9" l="1"/>
  <c r="C6" i="9" s="1"/>
  <c r="B5" i="9"/>
  <c r="C5" i="9" s="1"/>
  <c r="B4" i="9"/>
  <c r="C4" i="9" s="1"/>
  <c r="B3" i="9"/>
  <c r="C3" i="9" s="1"/>
  <c r="H2" i="6"/>
  <c r="A3" i="6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A63" i="6"/>
  <c r="A64" i="6"/>
  <c r="A65" i="6"/>
  <c r="A66" i="6"/>
  <c r="A67" i="6"/>
  <c r="A68" i="6"/>
  <c r="A69" i="6"/>
  <c r="A70" i="6"/>
  <c r="A71" i="6"/>
  <c r="A72" i="6"/>
  <c r="A73" i="6"/>
  <c r="A74" i="6"/>
  <c r="A75" i="6"/>
  <c r="A76" i="6"/>
  <c r="A77" i="6"/>
  <c r="A78" i="6"/>
  <c r="A79" i="6"/>
  <c r="A80" i="6"/>
  <c r="A81" i="6"/>
  <c r="A82" i="6"/>
  <c r="A83" i="6"/>
  <c r="A84" i="6"/>
  <c r="A85" i="6"/>
  <c r="A86" i="6"/>
  <c r="A87" i="6"/>
  <c r="A88" i="6"/>
  <c r="A89" i="6"/>
  <c r="A90" i="6"/>
  <c r="A91" i="6"/>
  <c r="A92" i="6"/>
  <c r="A93" i="6"/>
  <c r="A94" i="6"/>
  <c r="A95" i="6"/>
  <c r="A96" i="6"/>
  <c r="A97" i="6"/>
  <c r="A98" i="6"/>
  <c r="A99" i="6"/>
  <c r="A100" i="6"/>
  <c r="A101" i="6"/>
  <c r="A102" i="6"/>
  <c r="A103" i="6"/>
  <c r="A104" i="6"/>
  <c r="A105" i="6"/>
  <c r="A106" i="6"/>
  <c r="A107" i="6"/>
  <c r="A108" i="6"/>
  <c r="A109" i="6"/>
  <c r="A110" i="6"/>
  <c r="A111" i="6"/>
  <c r="A112" i="6"/>
  <c r="A113" i="6"/>
  <c r="A114" i="6"/>
  <c r="A115" i="6"/>
  <c r="A116" i="6"/>
  <c r="A117" i="6"/>
  <c r="A118" i="6"/>
  <c r="A119" i="6"/>
  <c r="A120" i="6"/>
  <c r="A121" i="6"/>
  <c r="A2" i="6"/>
  <c r="H20" i="6"/>
  <c r="H62" i="6"/>
  <c r="B2" i="2"/>
  <c r="M2" i="2"/>
  <c r="N2" i="2"/>
  <c r="Q2" i="2"/>
  <c r="R2" i="2"/>
  <c r="S2" i="2" s="1"/>
  <c r="B3" i="2"/>
  <c r="M3" i="2"/>
  <c r="O3" i="2" s="1"/>
  <c r="Q3" i="2"/>
  <c r="R3" i="2"/>
  <c r="B4" i="2"/>
  <c r="M4" i="2"/>
  <c r="N4" i="2"/>
  <c r="Q4" i="2"/>
  <c r="S4" i="2" s="1"/>
  <c r="B5" i="2"/>
  <c r="M5" i="2"/>
  <c r="N5" i="2"/>
  <c r="Q5" i="2"/>
  <c r="R5" i="2"/>
  <c r="B6" i="2"/>
  <c r="M6" i="2"/>
  <c r="N6" i="2"/>
  <c r="Q6" i="2"/>
  <c r="R6" i="2"/>
  <c r="B7" i="2"/>
  <c r="M7" i="2"/>
  <c r="O7" i="2" s="1"/>
  <c r="Q7" i="2"/>
  <c r="S7" i="2" s="1"/>
  <c r="B8" i="2"/>
  <c r="M8" i="2"/>
  <c r="N8" i="2"/>
  <c r="O8" i="2" s="1"/>
  <c r="Q8" i="2"/>
  <c r="R8" i="2"/>
  <c r="B9" i="2"/>
  <c r="M9" i="2"/>
  <c r="O9" i="2" s="1"/>
  <c r="Q9" i="2"/>
  <c r="S9" i="2" s="1"/>
  <c r="B10" i="2"/>
  <c r="M10" i="2"/>
  <c r="N10" i="2"/>
  <c r="Q10" i="2"/>
  <c r="R10" i="2"/>
  <c r="S10" i="2" s="1"/>
  <c r="B11" i="2"/>
  <c r="M11" i="2"/>
  <c r="O11" i="2" s="1"/>
  <c r="Q11" i="2"/>
  <c r="S11" i="2" s="1"/>
  <c r="B12" i="2"/>
  <c r="M12" i="2"/>
  <c r="N12" i="2"/>
  <c r="O12" i="2" s="1"/>
  <c r="Q12" i="2"/>
  <c r="R12" i="2"/>
  <c r="B13" i="2"/>
  <c r="M13" i="2"/>
  <c r="O13" i="2" s="1"/>
  <c r="Q13" i="2"/>
  <c r="S13" i="2" s="1"/>
  <c r="B14" i="2"/>
  <c r="M14" i="2"/>
  <c r="N14" i="2"/>
  <c r="Q14" i="2"/>
  <c r="S14" i="2" s="1"/>
  <c r="B15" i="2"/>
  <c r="M15" i="2"/>
  <c r="N15" i="2"/>
  <c r="Q15" i="2"/>
  <c r="R15" i="2"/>
  <c r="B16" i="2"/>
  <c r="M16" i="2"/>
  <c r="O16" i="2"/>
  <c r="Q16" i="2"/>
  <c r="S16" i="2" s="1"/>
  <c r="B17" i="2"/>
  <c r="M17" i="2"/>
  <c r="N17" i="2"/>
  <c r="Q17" i="2"/>
  <c r="R17" i="2"/>
  <c r="B18" i="2"/>
  <c r="M18" i="2"/>
  <c r="O18" i="2" s="1"/>
  <c r="Q18" i="2"/>
  <c r="S18" i="2" s="1"/>
  <c r="B19" i="2"/>
  <c r="M19" i="2"/>
  <c r="O19" i="2" s="1"/>
  <c r="Q19" i="2"/>
  <c r="R19" i="2"/>
  <c r="B20" i="2"/>
  <c r="M20" i="2"/>
  <c r="N20" i="2"/>
  <c r="Q20" i="2"/>
  <c r="R20" i="2"/>
  <c r="B21" i="2"/>
  <c r="M21" i="2"/>
  <c r="O21" i="2" s="1"/>
  <c r="Q21" i="2"/>
  <c r="S21" i="2" s="1"/>
  <c r="B22" i="2"/>
  <c r="M22" i="2"/>
  <c r="O22" i="2" s="1"/>
  <c r="Q22" i="2"/>
  <c r="S22" i="2" s="1"/>
  <c r="B23" i="2"/>
  <c r="M23" i="2"/>
  <c r="N23" i="2"/>
  <c r="Q23" i="2"/>
  <c r="R23" i="2"/>
  <c r="B24" i="2"/>
  <c r="M24" i="2"/>
  <c r="N24" i="2"/>
  <c r="Q24" i="2"/>
  <c r="R24" i="2"/>
  <c r="B25" i="2"/>
  <c r="M25" i="2"/>
  <c r="N25" i="2"/>
  <c r="Q25" i="2"/>
  <c r="S25" i="2" s="1"/>
  <c r="B26" i="2"/>
  <c r="M26" i="2"/>
  <c r="O26" i="2" s="1"/>
  <c r="Q26" i="2"/>
  <c r="S26" i="2" s="1"/>
  <c r="B27" i="2"/>
  <c r="M27" i="2"/>
  <c r="N27" i="2"/>
  <c r="O27" i="2"/>
  <c r="Q27" i="2"/>
  <c r="R27" i="2"/>
  <c r="B28" i="2"/>
  <c r="M28" i="2"/>
  <c r="O28" i="2" s="1"/>
  <c r="Q28" i="2"/>
  <c r="R28" i="2"/>
  <c r="B29" i="2"/>
  <c r="M29" i="2"/>
  <c r="N29" i="2"/>
  <c r="Q29" i="2"/>
  <c r="R29" i="2"/>
  <c r="B30" i="2"/>
  <c r="M30" i="2"/>
  <c r="O30" i="2" s="1"/>
  <c r="Q30" i="2"/>
  <c r="S30" i="2" s="1"/>
  <c r="B31" i="2"/>
  <c r="M31" i="2"/>
  <c r="N31" i="2"/>
  <c r="Q31" i="2"/>
  <c r="R31" i="2"/>
  <c r="B32" i="2"/>
  <c r="M32" i="2"/>
  <c r="O32" i="2" s="1"/>
  <c r="Q32" i="2"/>
  <c r="S32" i="2" s="1"/>
  <c r="B33" i="2"/>
  <c r="M33" i="2"/>
  <c r="N33" i="2"/>
  <c r="Q33" i="2"/>
  <c r="R33" i="2"/>
  <c r="S33" i="2" s="1"/>
  <c r="B34" i="2"/>
  <c r="M34" i="2"/>
  <c r="N34" i="2"/>
  <c r="Q34" i="2"/>
  <c r="R34" i="2"/>
  <c r="S34" i="2" s="1"/>
  <c r="B35" i="2"/>
  <c r="M35" i="2"/>
  <c r="O35" i="2" s="1"/>
  <c r="Q35" i="2"/>
  <c r="R35" i="2"/>
  <c r="B36" i="2"/>
  <c r="M36" i="2"/>
  <c r="N36" i="2"/>
  <c r="Q36" i="2"/>
  <c r="S36" i="2" s="1"/>
  <c r="R36" i="2"/>
  <c r="B37" i="2"/>
  <c r="M37" i="2"/>
  <c r="O37" i="2" s="1"/>
  <c r="Q37" i="2"/>
  <c r="S37" i="2" s="1"/>
  <c r="B38" i="2"/>
  <c r="M38" i="2"/>
  <c r="N38" i="2"/>
  <c r="Q38" i="2"/>
  <c r="R38" i="2"/>
  <c r="B39" i="2"/>
  <c r="M39" i="2"/>
  <c r="O39" i="2" s="1"/>
  <c r="Q39" i="2"/>
  <c r="S39" i="2"/>
  <c r="B40" i="2"/>
  <c r="M40" i="2"/>
  <c r="N40" i="2"/>
  <c r="O40" i="2" s="1"/>
  <c r="Q40" i="2"/>
  <c r="R40" i="2"/>
  <c r="B41" i="2"/>
  <c r="M41" i="2"/>
  <c r="O41" i="2" s="1"/>
  <c r="Q41" i="2"/>
  <c r="S41" i="2" s="1"/>
  <c r="O4" i="8"/>
  <c r="L6" i="8"/>
  <c r="O9" i="8"/>
  <c r="O35" i="8"/>
  <c r="R35" i="8" s="1"/>
  <c r="O37" i="8"/>
  <c r="O21" i="8"/>
  <c r="L23" i="8"/>
  <c r="O25" i="8"/>
  <c r="R25" i="8" s="1"/>
  <c r="L27" i="8"/>
  <c r="O27" i="8"/>
  <c r="R27" i="8" s="1"/>
  <c r="L26" i="8"/>
  <c r="L30" i="8"/>
  <c r="R30" i="8" s="1"/>
  <c r="L38" i="8"/>
  <c r="R38" i="8" s="1"/>
  <c r="L39" i="8"/>
  <c r="O8" i="8"/>
  <c r="L8" i="8"/>
  <c r="O26" i="8"/>
  <c r="I26" i="8"/>
  <c r="O39" i="8"/>
  <c r="O30" i="8"/>
  <c r="O24" i="8"/>
  <c r="L24" i="8"/>
  <c r="L4" i="8"/>
  <c r="R4" i="8" s="1"/>
  <c r="L25" i="8"/>
  <c r="O38" i="8"/>
  <c r="L9" i="8"/>
  <c r="R9" i="8" s="1"/>
  <c r="O33" i="8"/>
  <c r="L33" i="8"/>
  <c r="L37" i="8"/>
  <c r="O23" i="8"/>
  <c r="R23" i="8"/>
  <c r="L22" i="8"/>
  <c r="O22" i="8"/>
  <c r="R22" i="8" s="1"/>
  <c r="L21" i="8"/>
  <c r="O41" i="8"/>
  <c r="L41" i="8"/>
  <c r="R41" i="8" s="1"/>
  <c r="L35" i="8"/>
  <c r="O29" i="8"/>
  <c r="L29" i="8"/>
  <c r="O31" i="8"/>
  <c r="L31" i="8"/>
  <c r="O19" i="8"/>
  <c r="R19" i="8" s="1"/>
  <c r="L19" i="8"/>
  <c r="O28" i="8"/>
  <c r="R28" i="8" s="1"/>
  <c r="L28" i="8"/>
  <c r="O7" i="8"/>
  <c r="L7" i="8"/>
  <c r="O6" i="8"/>
  <c r="O18" i="8"/>
  <c r="O15" i="8"/>
  <c r="L15" i="8"/>
  <c r="R15" i="8" s="1"/>
  <c r="P18" i="8"/>
  <c r="L18" i="8"/>
  <c r="P13" i="8"/>
  <c r="Q13" i="8"/>
  <c r="R13" i="8"/>
  <c r="P16" i="8"/>
  <c r="Q16" i="8"/>
  <c r="R16" i="8"/>
  <c r="P17" i="8"/>
  <c r="Q17" i="8"/>
  <c r="R17" i="8"/>
  <c r="P3" i="8"/>
  <c r="Q3" i="8"/>
  <c r="R3" i="8"/>
  <c r="P11" i="8"/>
  <c r="Q11" i="8"/>
  <c r="R11" i="8"/>
  <c r="P5" i="8"/>
  <c r="Q5" i="8"/>
  <c r="R5" i="8"/>
  <c r="P34" i="8"/>
  <c r="Q34" i="8"/>
  <c r="R34" i="8"/>
  <c r="P20" i="8"/>
  <c r="Q20" i="8"/>
  <c r="R20" i="8"/>
  <c r="P10" i="8"/>
  <c r="Q10" i="8"/>
  <c r="R10" i="8"/>
  <c r="P14" i="8"/>
  <c r="Q14" i="8"/>
  <c r="R14" i="8"/>
  <c r="P36" i="8"/>
  <c r="Q36" i="8"/>
  <c r="R36" i="8"/>
  <c r="P12" i="8"/>
  <c r="Q12" i="8"/>
  <c r="R12" i="8"/>
  <c r="P2" i="8"/>
  <c r="Q2" i="8"/>
  <c r="R2" i="8"/>
  <c r="P32" i="8"/>
  <c r="Q32" i="8"/>
  <c r="R32" i="8"/>
  <c r="Q18" i="8"/>
  <c r="P15" i="8"/>
  <c r="Q15" i="8"/>
  <c r="P6" i="8"/>
  <c r="Q6" i="8"/>
  <c r="P7" i="8"/>
  <c r="Q7" i="8"/>
  <c r="P28" i="8"/>
  <c r="Q28" i="8"/>
  <c r="P19" i="8"/>
  <c r="Q19" i="8"/>
  <c r="P31" i="8"/>
  <c r="Q31" i="8"/>
  <c r="P29" i="8"/>
  <c r="Q29" i="8"/>
  <c r="P35" i="8"/>
  <c r="Q35" i="8"/>
  <c r="P41" i="8"/>
  <c r="Q41" i="8"/>
  <c r="P21" i="8"/>
  <c r="Q21" i="8"/>
  <c r="P22" i="8"/>
  <c r="Q22" i="8"/>
  <c r="P23" i="8"/>
  <c r="Q23" i="8"/>
  <c r="P37" i="8"/>
  <c r="Q37" i="8"/>
  <c r="P33" i="8"/>
  <c r="Q33" i="8"/>
  <c r="R33" i="8"/>
  <c r="P27" i="8"/>
  <c r="Q27" i="8"/>
  <c r="P9" i="8"/>
  <c r="Q9" i="8"/>
  <c r="P38" i="8"/>
  <c r="Q38" i="8"/>
  <c r="P25" i="8"/>
  <c r="Q25" i="8"/>
  <c r="P4" i="8"/>
  <c r="Q4" i="8"/>
  <c r="P24" i="8"/>
  <c r="Q24" i="8"/>
  <c r="P30" i="8"/>
  <c r="Q30" i="8"/>
  <c r="P39" i="8"/>
  <c r="Q39" i="8"/>
  <c r="P26" i="8"/>
  <c r="Q26" i="8"/>
  <c r="R26" i="8"/>
  <c r="P8" i="8"/>
  <c r="Q8" i="8"/>
  <c r="R40" i="8"/>
  <c r="Q40" i="8"/>
  <c r="P40" i="8"/>
  <c r="B8" i="8"/>
  <c r="B5" i="8"/>
  <c r="B4" i="8"/>
  <c r="B7" i="8"/>
  <c r="B6" i="8"/>
  <c r="B3" i="8"/>
  <c r="B2" i="8"/>
  <c r="B17" i="8"/>
  <c r="B16" i="8"/>
  <c r="B13" i="8"/>
  <c r="B12" i="8"/>
  <c r="B15" i="8"/>
  <c r="B14" i="8"/>
  <c r="B11" i="8"/>
  <c r="B10" i="8"/>
  <c r="B25" i="8"/>
  <c r="B24" i="8"/>
  <c r="B21" i="8"/>
  <c r="B20" i="8"/>
  <c r="B23" i="8"/>
  <c r="B22" i="8"/>
  <c r="B19" i="8"/>
  <c r="B18" i="8"/>
  <c r="B33" i="8"/>
  <c r="B32" i="8"/>
  <c r="B29" i="8"/>
  <c r="B28" i="8"/>
  <c r="B31" i="8"/>
  <c r="B30" i="8"/>
  <c r="B27" i="8"/>
  <c r="B26" i="8"/>
  <c r="B41" i="8"/>
  <c r="B40" i="8"/>
  <c r="B37" i="8"/>
  <c r="B36" i="8"/>
  <c r="B39" i="8"/>
  <c r="B38" i="8"/>
  <c r="B35" i="8"/>
  <c r="B34" i="8"/>
  <c r="B9" i="8"/>
  <c r="H38" i="6"/>
  <c r="H36" i="6"/>
  <c r="H52" i="6"/>
  <c r="H74" i="6"/>
  <c r="H60" i="6"/>
  <c r="H67" i="6"/>
  <c r="H68" i="6"/>
  <c r="H83" i="6"/>
  <c r="H101" i="6"/>
  <c r="H98" i="6"/>
  <c r="H99" i="6"/>
  <c r="H113" i="6"/>
  <c r="H15" i="6"/>
  <c r="H23" i="6"/>
  <c r="H24" i="6"/>
  <c r="H25" i="6"/>
  <c r="H33" i="6"/>
  <c r="H39" i="6"/>
  <c r="H43" i="6"/>
  <c r="H47" i="6"/>
  <c r="H48" i="6"/>
  <c r="H49" i="6"/>
  <c r="H69" i="6"/>
  <c r="H70" i="6"/>
  <c r="H50" i="6"/>
  <c r="H57" i="6"/>
  <c r="H61" i="6"/>
  <c r="H71" i="6"/>
  <c r="H72" i="6"/>
  <c r="H73" i="6"/>
  <c r="H91" i="6"/>
  <c r="H80" i="6"/>
  <c r="H84" i="6"/>
  <c r="H88" i="6"/>
  <c r="H89" i="6"/>
  <c r="H95" i="6"/>
  <c r="H96" i="6"/>
  <c r="H97" i="6"/>
  <c r="H120" i="6"/>
  <c r="H118" i="6"/>
  <c r="H102" i="6"/>
  <c r="H112" i="6"/>
  <c r="H108" i="6"/>
  <c r="H115" i="6"/>
  <c r="H121" i="6"/>
  <c r="H119" i="6"/>
  <c r="H32" i="6"/>
  <c r="H59" i="6"/>
  <c r="H16" i="6"/>
  <c r="H75" i="6"/>
  <c r="H9" i="6"/>
  <c r="H37" i="6"/>
  <c r="H31" i="6"/>
  <c r="H26" i="6"/>
  <c r="H11" i="6"/>
  <c r="H13" i="6"/>
  <c r="H14" i="6"/>
  <c r="H85" i="6"/>
  <c r="H3" i="6"/>
  <c r="H104" i="6"/>
  <c r="H109" i="6"/>
  <c r="H110" i="6"/>
  <c r="H106" i="6"/>
  <c r="H100" i="6"/>
  <c r="H111" i="6"/>
  <c r="H103" i="6"/>
  <c r="H107" i="6"/>
  <c r="H94" i="6"/>
  <c r="H93" i="6"/>
  <c r="H92" i="6"/>
  <c r="H82" i="6"/>
  <c r="H87" i="6"/>
  <c r="H90" i="6"/>
  <c r="H86" i="6"/>
  <c r="H79" i="6"/>
  <c r="H66" i="6"/>
  <c r="H65" i="6"/>
  <c r="H64" i="6"/>
  <c r="H51" i="6"/>
  <c r="H56" i="6"/>
  <c r="H54" i="6"/>
  <c r="H63" i="6"/>
  <c r="H46" i="6"/>
  <c r="H45" i="6"/>
  <c r="H44" i="6"/>
  <c r="H41" i="6"/>
  <c r="H40" i="6"/>
  <c r="H42" i="6"/>
  <c r="H34" i="6"/>
  <c r="H30" i="6"/>
  <c r="H35" i="6"/>
  <c r="H29" i="6"/>
  <c r="H22" i="6"/>
  <c r="H21" i="6"/>
  <c r="H18" i="6"/>
  <c r="H19" i="6"/>
  <c r="H17" i="6"/>
  <c r="H10" i="6"/>
  <c r="H8" i="6"/>
  <c r="H12" i="6"/>
  <c r="H5" i="6"/>
  <c r="H4" i="6"/>
  <c r="H117" i="6"/>
  <c r="H105" i="6"/>
  <c r="H114" i="6"/>
  <c r="H116" i="6"/>
  <c r="H81" i="6"/>
  <c r="H78" i="6"/>
  <c r="H58" i="6"/>
  <c r="H27" i="6"/>
  <c r="H53" i="6"/>
  <c r="H55" i="6"/>
  <c r="H28" i="6"/>
  <c r="H77" i="6"/>
  <c r="H76" i="6"/>
  <c r="H6" i="6"/>
  <c r="H7" i="6"/>
  <c r="V4" i="8" l="1"/>
  <c r="W26" i="8"/>
  <c r="U19" i="8"/>
  <c r="V32" i="8"/>
  <c r="V26" i="8"/>
  <c r="U30" i="8"/>
  <c r="V22" i="8"/>
  <c r="W25" i="8"/>
  <c r="W5" i="8"/>
  <c r="V23" i="8"/>
  <c r="U16" i="8"/>
  <c r="W33" i="8"/>
  <c r="W9" i="8"/>
  <c r="R39" i="8"/>
  <c r="S35" i="2"/>
  <c r="T35" i="2" s="1"/>
  <c r="S6" i="2"/>
  <c r="O2" i="2"/>
  <c r="S23" i="2"/>
  <c r="T23" i="2" s="1"/>
  <c r="S8" i="2"/>
  <c r="R8" i="8"/>
  <c r="S29" i="2"/>
  <c r="S17" i="2"/>
  <c r="S15" i="2"/>
  <c r="T15" i="2" s="1"/>
  <c r="R31" i="8"/>
  <c r="R24" i="8"/>
  <c r="S31" i="2"/>
  <c r="O29" i="2"/>
  <c r="T29" i="2" s="1"/>
  <c r="O17" i="2"/>
  <c r="T17" i="2" s="1"/>
  <c r="O10" i="2"/>
  <c r="R29" i="8"/>
  <c r="R37" i="8"/>
  <c r="R6" i="8"/>
  <c r="O31" i="2"/>
  <c r="T31" i="2" s="1"/>
  <c r="T13" i="2"/>
  <c r="T11" i="2"/>
  <c r="T8" i="2"/>
  <c r="S40" i="2"/>
  <c r="S27" i="2"/>
  <c r="O23" i="2"/>
  <c r="S20" i="2"/>
  <c r="S5" i="2"/>
  <c r="O20" i="2"/>
  <c r="T20" i="2" s="1"/>
  <c r="O5" i="2"/>
  <c r="T5" i="2" s="1"/>
  <c r="O36" i="2"/>
  <c r="T36" i="2" s="1"/>
  <c r="S24" i="2"/>
  <c r="O15" i="2"/>
  <c r="O24" i="2"/>
  <c r="S28" i="2"/>
  <c r="T28" i="2" s="1"/>
  <c r="T16" i="2"/>
  <c r="O38" i="2"/>
  <c r="T38" i="2" s="1"/>
  <c r="S12" i="2"/>
  <c r="T12" i="2" s="1"/>
  <c r="O34" i="2"/>
  <c r="T39" i="2"/>
  <c r="S19" i="2"/>
  <c r="T19" i="2" s="1"/>
  <c r="O25" i="2"/>
  <c r="T25" i="2" s="1"/>
  <c r="O6" i="2"/>
  <c r="S38" i="2"/>
  <c r="O33" i="2"/>
  <c r="T33" i="2" s="1"/>
  <c r="S3" i="2"/>
  <c r="T30" i="2"/>
  <c r="T26" i="2"/>
  <c r="T40" i="2"/>
  <c r="T22" i="2"/>
  <c r="T7" i="2"/>
  <c r="T32" i="2"/>
  <c r="T21" i="2"/>
  <c r="T37" i="2"/>
  <c r="T2" i="2"/>
  <c r="T9" i="2"/>
  <c r="T10" i="2"/>
  <c r="T27" i="2"/>
  <c r="T4" i="2"/>
  <c r="T41" i="2"/>
  <c r="T18" i="2"/>
  <c r="T14" i="2"/>
  <c r="U36" i="8"/>
  <c r="T41" i="8"/>
  <c r="V41" i="8" s="1"/>
  <c r="T15" i="8"/>
  <c r="T4" i="8"/>
  <c r="W4" i="8" s="1"/>
  <c r="T6" i="8"/>
  <c r="R21" i="8"/>
  <c r="T20" i="8"/>
  <c r="W20" i="8" s="1"/>
  <c r="S23" i="8"/>
  <c r="T38" i="8"/>
  <c r="V38" i="8" s="1"/>
  <c r="T29" i="8"/>
  <c r="U29" i="8" s="1"/>
  <c r="T10" i="8"/>
  <c r="U10" i="8" s="1"/>
  <c r="T13" i="8"/>
  <c r="V13" i="8" s="1"/>
  <c r="T30" i="8"/>
  <c r="T33" i="8"/>
  <c r="V33" i="8" s="1"/>
  <c r="T32" i="8"/>
  <c r="U32" i="8" s="1"/>
  <c r="T5" i="8"/>
  <c r="T26" i="8"/>
  <c r="U26" i="8" s="1"/>
  <c r="T27" i="8"/>
  <c r="W27" i="8" s="1"/>
  <c r="T23" i="8"/>
  <c r="W23" i="8" s="1"/>
  <c r="T35" i="8"/>
  <c r="V35" i="8" s="1"/>
  <c r="T2" i="8"/>
  <c r="U2" i="8" s="1"/>
  <c r="T34" i="8"/>
  <c r="W34" i="8" s="1"/>
  <c r="T11" i="8"/>
  <c r="U11" i="8" s="1"/>
  <c r="T19" i="8"/>
  <c r="V19" i="8" s="1"/>
  <c r="T14" i="8"/>
  <c r="T16" i="8"/>
  <c r="V16" i="8" s="1"/>
  <c r="T40" i="8"/>
  <c r="T25" i="8"/>
  <c r="V25" i="8" s="1"/>
  <c r="T22" i="8"/>
  <c r="U22" i="8" s="1"/>
  <c r="T28" i="8"/>
  <c r="V28" i="8" s="1"/>
  <c r="T12" i="8"/>
  <c r="T3" i="8"/>
  <c r="V3" i="8" s="1"/>
  <c r="T9" i="8"/>
  <c r="T36" i="8"/>
  <c r="T17" i="8"/>
  <c r="V17" i="8" s="1"/>
  <c r="S40" i="8"/>
  <c r="S26" i="8"/>
  <c r="S27" i="8"/>
  <c r="S35" i="8"/>
  <c r="S29" i="8"/>
  <c r="R7" i="8"/>
  <c r="R18" i="8"/>
  <c r="S33" i="8"/>
  <c r="S38" i="8"/>
  <c r="S4" i="8"/>
  <c r="S22" i="8"/>
  <c r="S41" i="8"/>
  <c r="S8" i="8"/>
  <c r="S9" i="8"/>
  <c r="S15" i="8"/>
  <c r="S30" i="8"/>
  <c r="S19" i="8"/>
  <c r="S25" i="8"/>
  <c r="S28" i="8"/>
  <c r="S6" i="8"/>
  <c r="S13" i="8"/>
  <c r="S32" i="8"/>
  <c r="S2" i="8"/>
  <c r="S12" i="8"/>
  <c r="S36" i="8"/>
  <c r="S14" i="8"/>
  <c r="S10" i="8"/>
  <c r="S20" i="8"/>
  <c r="S34" i="8"/>
  <c r="S5" i="8"/>
  <c r="S11" i="8"/>
  <c r="S3" i="8"/>
  <c r="S17" i="8"/>
  <c r="S16" i="8"/>
  <c r="U6" i="8" l="1"/>
  <c r="V6" i="8"/>
  <c r="V10" i="8"/>
  <c r="V34" i="8"/>
  <c r="W35" i="8"/>
  <c r="U23" i="8"/>
  <c r="W6" i="8"/>
  <c r="U35" i="8"/>
  <c r="W16" i="8"/>
  <c r="V29" i="8"/>
  <c r="V2" i="8"/>
  <c r="W13" i="8"/>
  <c r="U34" i="8"/>
  <c r="W2" i="8"/>
  <c r="W19" i="8"/>
  <c r="U5" i="8"/>
  <c r="V5" i="8"/>
  <c r="W29" i="8"/>
  <c r="U25" i="8"/>
  <c r="W22" i="8"/>
  <c r="V20" i="8"/>
  <c r="U33" i="8"/>
  <c r="U13" i="8"/>
  <c r="U4" i="8"/>
  <c r="U12" i="8"/>
  <c r="V12" i="8"/>
  <c r="W12" i="8"/>
  <c r="U28" i="8"/>
  <c r="W28" i="8"/>
  <c r="W10" i="8"/>
  <c r="W3" i="8"/>
  <c r="T39" i="8"/>
  <c r="W39" i="8" s="1"/>
  <c r="T24" i="8"/>
  <c r="U27" i="8"/>
  <c r="V27" i="8"/>
  <c r="S39" i="8"/>
  <c r="S37" i="8"/>
  <c r="S31" i="8"/>
  <c r="U17" i="8"/>
  <c r="W17" i="8"/>
  <c r="S24" i="8"/>
  <c r="T31" i="8"/>
  <c r="T37" i="8"/>
  <c r="W37" i="8" s="1"/>
  <c r="U9" i="8"/>
  <c r="V9" i="8"/>
  <c r="W11" i="8"/>
  <c r="V11" i="8"/>
  <c r="W30" i="8"/>
  <c r="V30" i="8"/>
  <c r="T8" i="8"/>
  <c r="T24" i="2"/>
  <c r="U20" i="8"/>
  <c r="W32" i="8"/>
  <c r="U3" i="8"/>
  <c r="T34" i="2"/>
  <c r="T6" i="2"/>
  <c r="T3" i="2"/>
  <c r="V36" i="8"/>
  <c r="W36" i="8"/>
  <c r="U38" i="8"/>
  <c r="W38" i="8"/>
  <c r="V40" i="8"/>
  <c r="W40" i="8"/>
  <c r="U40" i="8"/>
  <c r="U41" i="8"/>
  <c r="W41" i="8"/>
  <c r="U14" i="8"/>
  <c r="V14" i="8"/>
  <c r="W14" i="8"/>
  <c r="V15" i="8"/>
  <c r="W15" i="8"/>
  <c r="U15" i="8"/>
  <c r="T18" i="8"/>
  <c r="T7" i="8"/>
  <c r="S18" i="8"/>
  <c r="T21" i="8"/>
  <c r="W21" i="8" s="1"/>
  <c r="S21" i="8"/>
  <c r="S7" i="8"/>
  <c r="V8" i="8" l="1"/>
  <c r="U8" i="8"/>
  <c r="U24" i="8"/>
  <c r="V24" i="8"/>
  <c r="V7" i="8"/>
  <c r="U7" i="8"/>
  <c r="V37" i="8"/>
  <c r="U37" i="8"/>
  <c r="U31" i="8"/>
  <c r="V31" i="8"/>
  <c r="U39" i="8"/>
  <c r="V39" i="8"/>
  <c r="W24" i="8"/>
  <c r="V21" i="8"/>
  <c r="U21" i="8"/>
  <c r="W31" i="8"/>
  <c r="W8" i="8"/>
  <c r="U18" i="8"/>
  <c r="V18" i="8"/>
  <c r="W18" i="8"/>
  <c r="W7" i="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DB533C-E3EC-724C-AE12-A02CCBA89833}" name="Default Dataset" type="6" refreshedVersion="8" background="1" saveData="1">
    <textPr sourceFile="/Users/jorgebenitez/Documents/APPP/Thesis/Resources/New/Default Dataset.csv" decimal="," thousands=".">
      <textFields>
        <textField/>
      </textFields>
    </textPr>
  </connection>
</connections>
</file>

<file path=xl/sharedStrings.xml><?xml version="1.0" encoding="utf-8"?>
<sst xmlns="http://schemas.openxmlformats.org/spreadsheetml/2006/main" count="1192" uniqueCount="167">
  <si>
    <t>R1</t>
  </si>
  <si>
    <t>SS1</t>
  </si>
  <si>
    <t>SS2</t>
  </si>
  <si>
    <t>SS3</t>
  </si>
  <si>
    <t>R2</t>
  </si>
  <si>
    <t>SA</t>
  </si>
  <si>
    <t>NM</t>
  </si>
  <si>
    <t>OI</t>
  </si>
  <si>
    <t>MM</t>
  </si>
  <si>
    <t>ES</t>
  </si>
  <si>
    <t>FW</t>
  </si>
  <si>
    <t>PP</t>
  </si>
  <si>
    <t>A25</t>
  </si>
  <si>
    <t>Can</t>
  </si>
  <si>
    <t>Weight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</si>
  <si>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</si>
  <si>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</si>
  <si>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</si>
  <si>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</si>
  <si>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</si>
  <si>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</si>
  <si>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</si>
  <si>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</si>
  <si>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</si>
  <si>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</si>
  <si>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</si>
  <si>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</si>
  <si>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</si>
  <si>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</si>
  <si>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</si>
  <si>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</si>
  <si>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</si>
  <si>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</si>
  <si>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</si>
  <si>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</si>
  <si>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</si>
  <si>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</si>
  <si>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</si>
  <si>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</si>
  <si>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</si>
  <si>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</si>
  <si>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</si>
  <si>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</si>
  <si>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</si>
  <si>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</si>
  <si>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</si>
  <si>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</si>
  <si>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</si>
  <si>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</si>
  <si>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A40</t>
  </si>
  <si>
    <t>A41</t>
  </si>
  <si>
    <t>A42</t>
  </si>
  <si>
    <t>A43</t>
  </si>
  <si>
    <t>A44</t>
  </si>
  <si>
    <t>A21</t>
  </si>
  <si>
    <t>A22</t>
  </si>
  <si>
    <t>A23</t>
  </si>
  <si>
    <t>A24</t>
  </si>
  <si>
    <t>A45</t>
  </si>
  <si>
    <t>A46</t>
  </si>
  <si>
    <t>A47</t>
  </si>
  <si>
    <t>A48</t>
  </si>
  <si>
    <t>001</t>
  </si>
  <si>
    <t>002</t>
  </si>
  <si>
    <t>003</t>
  </si>
  <si>
    <t>004</t>
  </si>
  <si>
    <t>Postweight 1</t>
  </si>
  <si>
    <t>005</t>
  </si>
  <si>
    <t>006</t>
  </si>
  <si>
    <t>conc</t>
  </si>
  <si>
    <t>abs</t>
  </si>
  <si>
    <t>Postweight 2</t>
  </si>
  <si>
    <t>Cylinder</t>
  </si>
  <si>
    <t>U19</t>
  </si>
  <si>
    <t>U20</t>
  </si>
  <si>
    <t>U7</t>
  </si>
  <si>
    <t>U10</t>
  </si>
  <si>
    <t>U24</t>
  </si>
  <si>
    <t>U18</t>
  </si>
  <si>
    <t>U21</t>
  </si>
  <si>
    <t>U8</t>
  </si>
  <si>
    <t>U11</t>
  </si>
  <si>
    <t>U23</t>
  </si>
  <si>
    <t>U17</t>
  </si>
  <si>
    <t>U12</t>
  </si>
  <si>
    <t>U22</t>
  </si>
  <si>
    <t>U16</t>
  </si>
  <si>
    <t>U9</t>
  </si>
  <si>
    <t>U15</t>
  </si>
  <si>
    <t>U14</t>
  </si>
  <si>
    <t>U13</t>
  </si>
  <si>
    <t>U2</t>
  </si>
  <si>
    <t>U3</t>
  </si>
  <si>
    <t>U1</t>
  </si>
  <si>
    <t>U6</t>
  </si>
  <si>
    <t>U5</t>
  </si>
  <si>
    <t>U4</t>
  </si>
  <si>
    <t>K3</t>
  </si>
  <si>
    <t>K2</t>
  </si>
  <si>
    <t>K1</t>
  </si>
  <si>
    <t>K5</t>
  </si>
  <si>
    <t>K6</t>
  </si>
  <si>
    <t>K4</t>
  </si>
  <si>
    <t>K9</t>
  </si>
  <si>
    <t>K8</t>
  </si>
  <si>
    <t>K7</t>
  </si>
  <si>
    <t>K11</t>
  </si>
  <si>
    <t>K12</t>
  </si>
  <si>
    <t>K10</t>
  </si>
  <si>
    <t>K16</t>
  </si>
  <si>
    <t>K18</t>
  </si>
  <si>
    <t>K17</t>
  </si>
  <si>
    <t>K15</t>
  </si>
  <si>
    <t>K14</t>
  </si>
  <si>
    <t>K13</t>
  </si>
  <si>
    <t>Cylinder weight (g)</t>
  </si>
  <si>
    <t>NA</t>
  </si>
  <si>
    <t>e</t>
  </si>
  <si>
    <t>12.86</t>
  </si>
  <si>
    <t>full_name</t>
  </si>
  <si>
    <t>garden</t>
  </si>
  <si>
    <t>management</t>
  </si>
  <si>
    <t>depth_cat</t>
  </si>
  <si>
    <t>rep</t>
  </si>
  <si>
    <t>ph</t>
  </si>
  <si>
    <t>weight_ac</t>
  </si>
  <si>
    <t>abs_ac</t>
  </si>
  <si>
    <t>pen</t>
  </si>
  <si>
    <t>texture_weight</t>
  </si>
  <si>
    <t>sand_can_numm</t>
  </si>
  <si>
    <t>sand_weight</t>
  </si>
  <si>
    <t>silt_can_num</t>
  </si>
  <si>
    <t>silt_can_empty</t>
  </si>
  <si>
    <t>sand_can_full</t>
  </si>
  <si>
    <t>sand_can_empty</t>
  </si>
  <si>
    <t>silt_can_full</t>
  </si>
  <si>
    <t>silt_weight</t>
  </si>
  <si>
    <t>clay_weight</t>
  </si>
  <si>
    <t>subsamp</t>
  </si>
  <si>
    <t>cyl_num</t>
  </si>
  <si>
    <t>cyl_weight</t>
  </si>
  <si>
    <t>lid_weight</t>
  </si>
  <si>
    <t>wet_weight</t>
  </si>
  <si>
    <t>dry_weight</t>
  </si>
  <si>
    <t>n</t>
  </si>
  <si>
    <t>cec_weight</t>
  </si>
  <si>
    <t>abs_cec</t>
  </si>
  <si>
    <t>soil_er_weight</t>
  </si>
  <si>
    <t>ero_glass_g250_empty</t>
  </si>
  <si>
    <t>ero_glass_25053_empty</t>
  </si>
  <si>
    <t>ero_glass_u53_empty</t>
  </si>
  <si>
    <t>ero_glass_g250_full</t>
  </si>
  <si>
    <t>ero_glass_25053_full</t>
  </si>
  <si>
    <t>ero_glass_u53_full</t>
  </si>
  <si>
    <t>g250_weight</t>
  </si>
  <si>
    <t>25053_weight</t>
  </si>
  <si>
    <t>u53_weight</t>
  </si>
  <si>
    <t>recovery</t>
  </si>
  <si>
    <t>fr_recovery</t>
  </si>
  <si>
    <t>fr_g250</t>
  </si>
  <si>
    <t>fr_25053</t>
  </si>
  <si>
    <t>fr_u53</t>
  </si>
  <si>
    <t>mass ammonium microgram</t>
  </si>
  <si>
    <t>absorbance</t>
  </si>
  <si>
    <t>conc microg/L</t>
  </si>
  <si>
    <t>conc micromol/L</t>
  </si>
  <si>
    <t>conc = (abs - 0.0142)/0.0226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</si>
</sst>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7" fontId="0" fillId="0" borderId="0" xfId="0" quotePrefix="1" applyNumberFormat="1" applyAlignment="1">
      <alignment horizontal="right"/>
    </xf>
    <xf numFmtId="0" fontId="0" fillId="0" borderId="0" xfId="0" quotePrefix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2"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AC_cal!$C$1</c:f>
              <c:strCache>
                <c:ptCount val="1"/>
                <c:pt idx="0">
                  <c:v>conc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9218897637795282"/>
                  <c:y val="-9.460994459025957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DE"/>
                </a:p>
              </c:txPr>
            </c:trendlineLbl>
          </c:trendline>
          <c:xVal>
            <c:numRef>
              <c:f>AC_cal!$B$2:$B$10</c:f>
              <c:numCache>
                <c:formatCode>General</c:formatCode>
                <c:ptCount val="9"/>
                <c:pt idx="0">
                  <c:v>8.6999999999999994E-2</c:v>
                </c:pt>
                <c:pt idx="1">
                  <c:v>8.5000000000000006E-2</c:v>
                </c:pt>
                <c:pt idx="2">
                  <c:v>0.09</c:v>
                </c:pt>
                <c:pt idx="3">
                  <c:v>0.189</c:v>
                </c:pt>
                <c:pt idx="4">
                  <c:v>0.19600000000000001</c:v>
                </c:pt>
                <c:pt idx="5">
                  <c:v>0.19600000000000001</c:v>
                </c:pt>
                <c:pt idx="6">
                  <c:v>0.38900000000000001</c:v>
                </c:pt>
                <c:pt idx="7">
                  <c:v>0.38100000000000001</c:v>
                </c:pt>
                <c:pt idx="8">
                  <c:v>0.39600000000000002</c:v>
                </c:pt>
              </c:numCache>
            </c:numRef>
          </c:xVal>
          <c:yVal>
            <c:numRef>
              <c:f>AC_cal!$C$2:$C$10</c:f>
              <c:numCache>
                <c:formatCode>General</c:formatCode>
                <c:ptCount val="9"/>
                <c:pt idx="0">
                  <c:v>5.0000000000000001E-3</c:v>
                </c:pt>
                <c:pt idx="1">
                  <c:v>5.0000000000000001E-3</c:v>
                </c:pt>
                <c:pt idx="2">
                  <c:v>5.0000000000000001E-3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0.02</c:v>
                </c:pt>
                <c:pt idx="7">
                  <c:v>0.02</c:v>
                </c:pt>
                <c:pt idx="8">
                  <c:v>0.02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0B0-4343-A571-70700F8E17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7530959"/>
        <c:axId val="1045305919"/>
      </c:scatterChart>
      <c:valAx>
        <c:axId val="10575309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045305919"/>
        <c:crosses val="autoZero"/>
        <c:crossBetween val="midCat"/>
      </c:valAx>
      <c:valAx>
        <c:axId val="1045305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0575309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cec_cal!$D$9</c:f>
              <c:strCache>
                <c:ptCount val="1"/>
                <c:pt idx="0">
                  <c:v>conc micromol/L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6345341207349087"/>
                  <c:y val="5.51388888888888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DE"/>
                </a:p>
              </c:txPr>
            </c:trendlineLbl>
          </c:trendline>
          <c:xVal>
            <c:numRef>
              <c:f>cec_cal!$C$10:$C$13</c:f>
              <c:numCache>
                <c:formatCode>General</c:formatCode>
                <c:ptCount val="4"/>
                <c:pt idx="0">
                  <c:v>7.9887640449437997E-2</c:v>
                </c:pt>
                <c:pt idx="1">
                  <c:v>0.132977528089887</c:v>
                </c:pt>
                <c:pt idx="2">
                  <c:v>0.390842696629213</c:v>
                </c:pt>
                <c:pt idx="3">
                  <c:v>0.64112359550561804</c:v>
                </c:pt>
              </c:numCache>
            </c:numRef>
          </c:xVal>
          <c:yVal>
            <c:numRef>
              <c:f>cec_cal!$D$10:$D$13</c:f>
              <c:numCache>
                <c:formatCode>General</c:formatCode>
                <c:ptCount val="4"/>
                <c:pt idx="0">
                  <c:v>2.6666666666666661</c:v>
                </c:pt>
                <c:pt idx="1">
                  <c:v>5.5555555555555554</c:v>
                </c:pt>
                <c:pt idx="2">
                  <c:v>16.666666666666668</c:v>
                </c:pt>
                <c:pt idx="3">
                  <c:v>27.777777777777779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69A-1047-8249-A54E2F8014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0176096"/>
        <c:axId val="716175071"/>
      </c:scatterChart>
      <c:valAx>
        <c:axId val="460176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716175071"/>
        <c:crosses val="autoZero"/>
        <c:crossBetween val="midCat"/>
      </c:valAx>
      <c:valAx>
        <c:axId val="716175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460176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96108</xdr:colOff>
      <xdr:row>5</xdr:row>
      <xdr:rowOff>8238</xdr:rowOff>
    </xdr:from>
    <xdr:to>
      <xdr:col>9</xdr:col>
      <xdr:colOff>631567</xdr:colOff>
      <xdr:row>19</xdr:row>
      <xdr:rowOff>60411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1D54B57-3BC6-6261-69BC-C4A449177F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657734</xdr:colOff>
      <xdr:row>8</xdr:row>
      <xdr:rowOff>82627</xdr:rowOff>
    </xdr:from>
    <xdr:to>
      <xdr:col>11</xdr:col>
      <xdr:colOff>290845</xdr:colOff>
      <xdr:row>23</xdr:row>
      <xdr:rowOff>3605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C9B9E19-B925-4E9C-05BB-951124F711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fault Dataset" connectionId="1" xr16:uid="{B5C724D4-480F-5840-9E3D-70CEEBEFCB4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8D15B-2650-46ED-9269-D65932FD2702}">
  <dimension ref="A1:T41"/>
  <sheetViews>
    <sheetView topLeftCell="K1" zoomScale="144" zoomScaleNormal="100" workbookViewId="0">
      <pane ySplit="1" topLeftCell="A2" activePane="bottomLeft" state="frozen"/>
      <selection pane="bottomLeft" activeCell="S3" sqref="S3"/>
    </sheetView>
  </sheetViews>
  <sheetFormatPr baseColWidth="10" defaultColWidth="8.83203125" defaultRowHeight="15" x14ac:dyDescent="0.2"/>
  <cols>
    <col min="1" max="1" width="15.1640625" bestFit="1" customWidth="1"/>
    <col min="2" max="2" width="11.83203125" customWidth="1"/>
    <col min="3" max="4" width="9.33203125" customWidth="1"/>
    <col min="5" max="5" width="7.33203125" customWidth="1"/>
    <col min="6" max="6" width="16.1640625" customWidth="1"/>
    <col min="7" max="7" width="15.5" customWidth="1"/>
    <col min="8" max="8" width="14.5" customWidth="1"/>
    <col min="9" max="9" width="15.5" customWidth="1"/>
    <col min="10" max="10" width="15.5" bestFit="1" customWidth="1"/>
    <col min="11" max="11" width="16.5" customWidth="1"/>
    <col min="12" max="12" width="13.6640625" bestFit="1" customWidth="1"/>
    <col min="13" max="13" width="13.1640625" bestFit="1" customWidth="1"/>
    <col min="14" max="14" width="16.1640625" bestFit="1" customWidth="1"/>
    <col min="15" max="15" width="14.83203125" customWidth="1"/>
    <col min="16" max="16" width="14.6640625" bestFit="1" customWidth="1"/>
    <col min="17" max="18" width="11.83203125" bestFit="1" customWidth="1"/>
    <col min="19" max="19" width="12.5" bestFit="1" customWidth="1"/>
  </cols>
  <sheetData>
    <row r="1" spans="1:20" x14ac:dyDescent="0.2">
      <c r="A1" t="s">
        <v>144</v>
      </c>
      <c r="B1" t="s">
        <v>119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  <c r="J1" t="s">
        <v>127</v>
      </c>
      <c r="K1" t="s">
        <v>128</v>
      </c>
      <c r="L1" t="s">
        <v>129</v>
      </c>
      <c r="M1" t="s">
        <v>134</v>
      </c>
      <c r="N1" t="s">
        <v>133</v>
      </c>
      <c r="O1" t="s">
        <v>130</v>
      </c>
      <c r="P1" t="s">
        <v>131</v>
      </c>
      <c r="Q1" t="s">
        <v>132</v>
      </c>
      <c r="R1" t="s">
        <v>135</v>
      </c>
      <c r="S1" t="s">
        <v>136</v>
      </c>
      <c r="T1" t="s">
        <v>137</v>
      </c>
    </row>
    <row r="2" spans="1:20" x14ac:dyDescent="0.2">
      <c r="A2">
        <v>1</v>
      </c>
      <c r="B2" t="str">
        <f t="shared" ref="B2:B41" si="0">IF(E2=1,CONCATENATE(C2," ",D2," 010 ",F2),CONCATENATE(C2," ",D2," 1020 ",F2))</f>
        <v>SA NM 1020 R2</v>
      </c>
      <c r="C2" t="s">
        <v>5</v>
      </c>
      <c r="D2" t="s">
        <v>6</v>
      </c>
      <c r="E2">
        <v>2</v>
      </c>
      <c r="F2" t="s">
        <v>4</v>
      </c>
      <c r="G2">
        <v>8.07</v>
      </c>
      <c r="H2">
        <v>2.46</v>
      </c>
      <c r="I2">
        <v>0.183</v>
      </c>
      <c r="J2">
        <v>250</v>
      </c>
      <c r="K2">
        <v>14.46</v>
      </c>
      <c r="L2" t="s">
        <v>60</v>
      </c>
      <c r="M2">
        <f>VLOOKUP(L2,Texture!$A$1:C$55,2,FALSE)</f>
        <v>30.33</v>
      </c>
      <c r="N2">
        <f>VLOOKUP(L2,Texture!$A$1:$D$55,3,FALSE)</f>
        <v>38.71</v>
      </c>
      <c r="O2">
        <f>N2-M2</f>
        <v>8.3800000000000026</v>
      </c>
      <c r="P2" t="s">
        <v>20</v>
      </c>
      <c r="Q2">
        <f>VLOOKUP(P2,Texture!$A$1:G$55,2,FALSE)</f>
        <v>30.35</v>
      </c>
      <c r="R2">
        <f>VLOOKUP(P2,Texture!$A$1:$D$55,3,FALSE)</f>
        <v>32.090000000000003</v>
      </c>
      <c r="S2">
        <f t="shared" ref="S2:S41" si="1">R2-Q2</f>
        <v>1.740000000000002</v>
      </c>
      <c r="T2">
        <f t="shared" ref="T2:T41" si="2">K2-O2-S2</f>
        <v>4.3399999999999963</v>
      </c>
    </row>
    <row r="3" spans="1:20" x14ac:dyDescent="0.2">
      <c r="A3">
        <v>2</v>
      </c>
      <c r="B3" t="str">
        <f t="shared" si="0"/>
        <v>SA NM 1020 R1</v>
      </c>
      <c r="C3" t="s">
        <v>5</v>
      </c>
      <c r="D3" t="s">
        <v>6</v>
      </c>
      <c r="E3">
        <v>2</v>
      </c>
      <c r="F3" t="s">
        <v>0</v>
      </c>
      <c r="G3">
        <v>8.1999999999999993</v>
      </c>
      <c r="H3">
        <v>2.54</v>
      </c>
      <c r="I3">
        <v>0.2</v>
      </c>
      <c r="J3">
        <v>190</v>
      </c>
      <c r="K3">
        <v>14.19</v>
      </c>
      <c r="L3" s="5" t="s">
        <v>63</v>
      </c>
      <c r="M3">
        <f>VLOOKUP(L3,Texture!$A$1:C$55,2,FALSE)</f>
        <v>61.63</v>
      </c>
      <c r="N3">
        <v>70.209999999999994</v>
      </c>
      <c r="O3">
        <f>N3-M3</f>
        <v>8.5799999999999912</v>
      </c>
      <c r="P3" t="s">
        <v>23</v>
      </c>
      <c r="Q3">
        <f>VLOOKUP(P3,Texture!$A$1:G$55,2,FALSE)</f>
        <v>30.33</v>
      </c>
      <c r="R3">
        <f>VLOOKUP(P3,Texture!$A$1:$C$55,3,FALSE)</f>
        <v>33.07</v>
      </c>
      <c r="S3">
        <f t="shared" si="1"/>
        <v>2.740000000000002</v>
      </c>
      <c r="T3">
        <f t="shared" si="2"/>
        <v>2.8700000000000063</v>
      </c>
    </row>
    <row r="4" spans="1:20" x14ac:dyDescent="0.2">
      <c r="A4">
        <v>3</v>
      </c>
      <c r="B4" t="str">
        <f t="shared" si="0"/>
        <v>SA NM 010 R2</v>
      </c>
      <c r="C4" t="s">
        <v>5</v>
      </c>
      <c r="D4" t="s">
        <v>6</v>
      </c>
      <c r="E4">
        <v>1</v>
      </c>
      <c r="F4" t="s">
        <v>4</v>
      </c>
      <c r="G4">
        <v>7.96</v>
      </c>
      <c r="H4">
        <v>2.54</v>
      </c>
      <c r="I4">
        <v>0.112</v>
      </c>
      <c r="J4">
        <v>260</v>
      </c>
      <c r="K4">
        <v>14.23</v>
      </c>
      <c r="L4" t="s">
        <v>46</v>
      </c>
      <c r="M4">
        <f>VLOOKUP(L4,Texture!$A$1:C$55,2,FALSE)</f>
        <v>30.29</v>
      </c>
      <c r="N4">
        <f>VLOOKUP(L4,Texture!$A$1:$D$55,3,FALSE)</f>
        <v>40.6</v>
      </c>
      <c r="O4">
        <v>9.51</v>
      </c>
      <c r="P4" t="s">
        <v>51</v>
      </c>
      <c r="Q4">
        <f>VLOOKUP(P4,Texture!$A$1:G$55,2,FALSE)</f>
        <v>30.33</v>
      </c>
      <c r="R4">
        <v>33.71</v>
      </c>
      <c r="S4">
        <f t="shared" si="1"/>
        <v>3.3800000000000026</v>
      </c>
      <c r="T4">
        <f t="shared" si="2"/>
        <v>1.3399999999999981</v>
      </c>
    </row>
    <row r="5" spans="1:20" x14ac:dyDescent="0.2">
      <c r="A5">
        <v>4</v>
      </c>
      <c r="B5" t="str">
        <f t="shared" si="0"/>
        <v>SA NM 010 R1</v>
      </c>
      <c r="C5" t="s">
        <v>5</v>
      </c>
      <c r="D5" t="s">
        <v>6</v>
      </c>
      <c r="E5">
        <v>1</v>
      </c>
      <c r="F5" t="s">
        <v>0</v>
      </c>
      <c r="G5">
        <v>6.84</v>
      </c>
      <c r="H5">
        <v>2.56</v>
      </c>
      <c r="I5">
        <v>0.20100000000000001</v>
      </c>
      <c r="J5">
        <v>125</v>
      </c>
      <c r="K5">
        <v>14.67</v>
      </c>
      <c r="L5" t="s">
        <v>30</v>
      </c>
      <c r="M5">
        <f>VLOOKUP(L5,Texture!$A$1:C$55,2,FALSE)</f>
        <v>30.5</v>
      </c>
      <c r="N5">
        <f>VLOOKUP(L5,Texture!$A$1:$C$55,3,FALSE)</f>
        <v>40.1</v>
      </c>
      <c r="O5">
        <f t="shared" ref="O5:O13" si="3">N5-M5</f>
        <v>9.6000000000000014</v>
      </c>
      <c r="P5" t="s">
        <v>15</v>
      </c>
      <c r="Q5">
        <f>VLOOKUP(P5,Texture!$A$1:G$55,2,FALSE)</f>
        <v>30.36</v>
      </c>
      <c r="R5">
        <f>VLOOKUP(P5,Texture!$A$1:$C$55,3,FALSE)</f>
        <v>33.479999999999997</v>
      </c>
      <c r="S5">
        <f t="shared" si="1"/>
        <v>3.1199999999999974</v>
      </c>
      <c r="T5">
        <f t="shared" si="2"/>
        <v>1.9500000000000011</v>
      </c>
    </row>
    <row r="6" spans="1:20" x14ac:dyDescent="0.2">
      <c r="A6">
        <v>5</v>
      </c>
      <c r="B6" t="str">
        <f t="shared" si="0"/>
        <v>SA MM 1020 R2</v>
      </c>
      <c r="C6" t="s">
        <v>5</v>
      </c>
      <c r="D6" t="s">
        <v>8</v>
      </c>
      <c r="E6">
        <v>2</v>
      </c>
      <c r="F6" t="s">
        <v>4</v>
      </c>
      <c r="G6">
        <v>7.94</v>
      </c>
      <c r="H6">
        <v>2.54</v>
      </c>
      <c r="I6">
        <v>0.153</v>
      </c>
      <c r="J6">
        <v>240</v>
      </c>
      <c r="K6">
        <v>14.37</v>
      </c>
      <c r="L6" t="s">
        <v>47</v>
      </c>
      <c r="M6">
        <f>VLOOKUP(L6,Texture!$A$1:C$55,2,FALSE)</f>
        <v>30.35</v>
      </c>
      <c r="N6">
        <f>VLOOKUP(L6,Texture!$A$1:$D$55,3,FALSE)</f>
        <v>40.200000000000003</v>
      </c>
      <c r="O6">
        <f t="shared" si="3"/>
        <v>9.8500000000000014</v>
      </c>
      <c r="P6" t="s">
        <v>52</v>
      </c>
      <c r="Q6">
        <f>VLOOKUP(P6,Texture!$A$1:G$55,2,FALSE)</f>
        <v>30.51</v>
      </c>
      <c r="R6">
        <f>VLOOKUP(P6,Texture!$A$1:$D$55,3,FALSE)</f>
        <v>32.71</v>
      </c>
      <c r="S6">
        <f t="shared" si="1"/>
        <v>2.1999999999999993</v>
      </c>
      <c r="T6">
        <f t="shared" si="2"/>
        <v>2.3199999999999985</v>
      </c>
    </row>
    <row r="7" spans="1:20" x14ac:dyDescent="0.2">
      <c r="A7">
        <v>6</v>
      </c>
      <c r="B7" t="str">
        <f t="shared" si="0"/>
        <v>SA MM 1020 R1</v>
      </c>
      <c r="C7" t="s">
        <v>5</v>
      </c>
      <c r="D7" t="s">
        <v>8</v>
      </c>
      <c r="E7">
        <v>2</v>
      </c>
      <c r="F7" t="s">
        <v>0</v>
      </c>
      <c r="G7">
        <v>7.88</v>
      </c>
      <c r="H7">
        <v>2.58</v>
      </c>
      <c r="I7">
        <v>0.19600000000000001</v>
      </c>
      <c r="J7">
        <v>140</v>
      </c>
      <c r="K7">
        <v>14.54</v>
      </c>
      <c r="L7" t="s">
        <v>61</v>
      </c>
      <c r="M7">
        <f>VLOOKUP(L7,Texture!$A$1:C$55,2,FALSE)</f>
        <v>30.43</v>
      </c>
      <c r="N7">
        <v>40.5</v>
      </c>
      <c r="O7">
        <f t="shared" si="3"/>
        <v>10.07</v>
      </c>
      <c r="P7" t="s">
        <v>21</v>
      </c>
      <c r="Q7">
        <f>VLOOKUP(P7,Texture!$A$1:G$55,2,FALSE)</f>
        <v>30.28</v>
      </c>
      <c r="R7">
        <v>32.81</v>
      </c>
      <c r="S7">
        <f t="shared" si="1"/>
        <v>2.5300000000000011</v>
      </c>
      <c r="T7">
        <f t="shared" si="2"/>
        <v>1.9399999999999977</v>
      </c>
    </row>
    <row r="8" spans="1:20" x14ac:dyDescent="0.2">
      <c r="A8">
        <v>7</v>
      </c>
      <c r="B8" t="str">
        <f t="shared" si="0"/>
        <v>SA MM 010 R2</v>
      </c>
      <c r="C8" t="s">
        <v>5</v>
      </c>
      <c r="D8" t="s">
        <v>8</v>
      </c>
      <c r="E8">
        <v>1</v>
      </c>
      <c r="F8" t="s">
        <v>4</v>
      </c>
      <c r="G8">
        <v>7.94</v>
      </c>
      <c r="H8">
        <v>2.58</v>
      </c>
      <c r="I8">
        <v>0.27600000000000002</v>
      </c>
      <c r="J8" t="s">
        <v>116</v>
      </c>
      <c r="K8">
        <v>14.22</v>
      </c>
      <c r="L8" t="s">
        <v>36</v>
      </c>
      <c r="M8">
        <f>VLOOKUP(L8,Texture!$A$1:C$55,2,FALSE)</f>
        <v>30.89</v>
      </c>
      <c r="N8">
        <f>VLOOKUP(L8,Texture!$A$1:$D$55,3,FALSE)</f>
        <v>40.26</v>
      </c>
      <c r="O8">
        <f t="shared" si="3"/>
        <v>9.3699999999999974</v>
      </c>
      <c r="P8" t="s">
        <v>21</v>
      </c>
      <c r="Q8">
        <f>VLOOKUP(P8,Texture!$A$1:G$55,2,FALSE)</f>
        <v>30.28</v>
      </c>
      <c r="R8">
        <f>VLOOKUP(P8,Texture!$A$1:$D$55,3,FALSE)</f>
        <v>33.21</v>
      </c>
      <c r="S8">
        <f t="shared" si="1"/>
        <v>2.9299999999999997</v>
      </c>
      <c r="T8">
        <f t="shared" si="2"/>
        <v>1.9200000000000035</v>
      </c>
    </row>
    <row r="9" spans="1:20" x14ac:dyDescent="0.2">
      <c r="A9">
        <v>8</v>
      </c>
      <c r="B9" t="str">
        <f t="shared" si="0"/>
        <v>SA MM 010 R1</v>
      </c>
      <c r="C9" t="s">
        <v>5</v>
      </c>
      <c r="D9" t="s">
        <v>8</v>
      </c>
      <c r="E9">
        <v>1</v>
      </c>
      <c r="F9" t="s">
        <v>0</v>
      </c>
      <c r="G9">
        <v>7.97</v>
      </c>
      <c r="H9">
        <v>2.52</v>
      </c>
      <c r="I9">
        <v>0.17100000000000001</v>
      </c>
      <c r="J9">
        <v>115</v>
      </c>
      <c r="K9">
        <v>14.65</v>
      </c>
      <c r="L9" t="s">
        <v>45</v>
      </c>
      <c r="M9">
        <f>VLOOKUP(L9,Texture!$A$1:C$55,2,FALSE)</f>
        <v>30.52</v>
      </c>
      <c r="N9">
        <v>40.549999999999997</v>
      </c>
      <c r="O9">
        <f t="shared" si="3"/>
        <v>10.029999999999998</v>
      </c>
      <c r="P9" t="s">
        <v>50</v>
      </c>
      <c r="Q9">
        <f>VLOOKUP(P9,Texture!$A$1:G$55,2,FALSE)</f>
        <v>30.44</v>
      </c>
      <c r="R9">
        <v>33.5</v>
      </c>
      <c r="S9">
        <f t="shared" si="1"/>
        <v>3.0599999999999987</v>
      </c>
      <c r="T9">
        <f t="shared" si="2"/>
        <v>1.5600000000000041</v>
      </c>
    </row>
    <row r="10" spans="1:20" x14ac:dyDescent="0.2">
      <c r="A10">
        <v>9</v>
      </c>
      <c r="B10" t="str">
        <f t="shared" si="0"/>
        <v>PP NM 1020 R2</v>
      </c>
      <c r="C10" t="s">
        <v>11</v>
      </c>
      <c r="D10" t="s">
        <v>6</v>
      </c>
      <c r="E10">
        <v>2</v>
      </c>
      <c r="F10" t="s">
        <v>4</v>
      </c>
      <c r="G10">
        <v>8.19</v>
      </c>
      <c r="H10">
        <v>2.52</v>
      </c>
      <c r="I10">
        <v>0.22500000000000001</v>
      </c>
      <c r="J10">
        <v>140</v>
      </c>
      <c r="K10">
        <v>14.23</v>
      </c>
      <c r="L10" t="s">
        <v>48</v>
      </c>
      <c r="M10">
        <f>VLOOKUP(L10,Texture!$A$1:C$55,2,FALSE)</f>
        <v>30.34</v>
      </c>
      <c r="N10">
        <f>VLOOKUP(L10,Texture!$A$1:$C$55,3,FALSE)</f>
        <v>40.07</v>
      </c>
      <c r="O10">
        <f t="shared" si="3"/>
        <v>9.73</v>
      </c>
      <c r="P10" t="s">
        <v>53</v>
      </c>
      <c r="Q10">
        <f>VLOOKUP(P10,Texture!$A$1:G$55,2,FALSE)</f>
        <v>30.2</v>
      </c>
      <c r="R10">
        <f>VLOOKUP(P10,Texture!$A$1:$C$55,3,FALSE)</f>
        <v>33.950000000000003</v>
      </c>
      <c r="S10">
        <f t="shared" si="1"/>
        <v>3.7500000000000036</v>
      </c>
      <c r="T10">
        <f t="shared" si="2"/>
        <v>0.74999999999999645</v>
      </c>
    </row>
    <row r="11" spans="1:20" x14ac:dyDescent="0.2">
      <c r="A11">
        <v>10</v>
      </c>
      <c r="B11" t="str">
        <f t="shared" si="0"/>
        <v>PP NM 1020 R1</v>
      </c>
      <c r="C11" t="s">
        <v>11</v>
      </c>
      <c r="D11" t="s">
        <v>6</v>
      </c>
      <c r="E11">
        <v>2</v>
      </c>
      <c r="F11" t="s">
        <v>0</v>
      </c>
      <c r="G11">
        <v>8.1999999999999993</v>
      </c>
      <c r="H11">
        <v>2.61</v>
      </c>
      <c r="I11">
        <v>0.23</v>
      </c>
      <c r="J11">
        <v>70</v>
      </c>
      <c r="K11">
        <v>14.53</v>
      </c>
      <c r="L11" t="s">
        <v>41</v>
      </c>
      <c r="M11">
        <f>VLOOKUP(L11,Texture!$A$1:C$55,2,FALSE)</f>
        <v>30.99</v>
      </c>
      <c r="N11">
        <v>40.6</v>
      </c>
      <c r="O11">
        <f t="shared" si="3"/>
        <v>9.610000000000003</v>
      </c>
      <c r="P11" t="s">
        <v>16</v>
      </c>
      <c r="Q11">
        <f>VLOOKUP(P11,Texture!$A$1:G$55,2,FALSE)</f>
        <v>30.36</v>
      </c>
      <c r="R11">
        <v>34.200000000000003</v>
      </c>
      <c r="S11">
        <f t="shared" si="1"/>
        <v>3.8400000000000034</v>
      </c>
      <c r="T11">
        <f t="shared" si="2"/>
        <v>1.079999999999993</v>
      </c>
    </row>
    <row r="12" spans="1:20" x14ac:dyDescent="0.2">
      <c r="A12">
        <v>11</v>
      </c>
      <c r="B12" t="str">
        <f t="shared" si="0"/>
        <v>PP NM 010 R2</v>
      </c>
      <c r="C12" t="s">
        <v>11</v>
      </c>
      <c r="D12" t="s">
        <v>6</v>
      </c>
      <c r="E12">
        <v>1</v>
      </c>
      <c r="F12" t="s">
        <v>4</v>
      </c>
      <c r="G12">
        <v>8.02</v>
      </c>
      <c r="H12">
        <v>2.5299999999999998</v>
      </c>
      <c r="I12">
        <v>0.224</v>
      </c>
      <c r="J12">
        <v>160</v>
      </c>
      <c r="K12">
        <v>14.59</v>
      </c>
      <c r="L12" t="s">
        <v>59</v>
      </c>
      <c r="M12">
        <f>VLOOKUP(L12,Texture!$A$1:C$55,2,FALSE)</f>
        <v>30.44</v>
      </c>
      <c r="N12">
        <f>VLOOKUP(L12,Texture!$A$1:$D$55,3,FALSE)</f>
        <v>40.97</v>
      </c>
      <c r="O12">
        <f t="shared" si="3"/>
        <v>10.529999999999998</v>
      </c>
      <c r="P12" t="s">
        <v>19</v>
      </c>
      <c r="Q12">
        <f>VLOOKUP(P12,Texture!$A$1:G$55,2,FALSE)</f>
        <v>30.36</v>
      </c>
      <c r="R12">
        <f>VLOOKUP(P12,Texture!$A$1:$D$55,3,FALSE)</f>
        <v>32.43</v>
      </c>
      <c r="S12">
        <f t="shared" si="1"/>
        <v>2.0700000000000003</v>
      </c>
      <c r="T12">
        <f t="shared" si="2"/>
        <v>1.990000000000002</v>
      </c>
    </row>
    <row r="13" spans="1:20" x14ac:dyDescent="0.2">
      <c r="A13">
        <v>12</v>
      </c>
      <c r="B13" t="str">
        <f t="shared" si="0"/>
        <v>PP NM 010 R1</v>
      </c>
      <c r="C13" t="s">
        <v>11</v>
      </c>
      <c r="D13" t="s">
        <v>6</v>
      </c>
      <c r="E13">
        <v>1</v>
      </c>
      <c r="F13" t="s">
        <v>0</v>
      </c>
      <c r="G13">
        <v>8.09</v>
      </c>
      <c r="H13">
        <v>2.4700000000000002</v>
      </c>
      <c r="I13">
        <v>0.26200000000000001</v>
      </c>
      <c r="J13" t="s">
        <v>116</v>
      </c>
      <c r="K13">
        <v>14.19</v>
      </c>
      <c r="L13" t="s">
        <v>31</v>
      </c>
      <c r="M13">
        <f>VLOOKUP(L13,Texture!$A$1:C$55,2,FALSE)</f>
        <v>30.41</v>
      </c>
      <c r="N13">
        <v>40.53</v>
      </c>
      <c r="O13">
        <f t="shared" si="3"/>
        <v>10.120000000000001</v>
      </c>
      <c r="P13" t="s">
        <v>16</v>
      </c>
      <c r="Q13">
        <f>VLOOKUP(P13,Texture!$A$1:G$55,2,FALSE)</f>
        <v>30.36</v>
      </c>
      <c r="R13">
        <v>32.369999999999997</v>
      </c>
      <c r="S13">
        <f t="shared" si="1"/>
        <v>2.009999999999998</v>
      </c>
      <c r="T13">
        <f t="shared" si="2"/>
        <v>2.0600000000000005</v>
      </c>
    </row>
    <row r="14" spans="1:20" x14ac:dyDescent="0.2">
      <c r="A14">
        <v>13</v>
      </c>
      <c r="B14" t="str">
        <f t="shared" si="0"/>
        <v>PP MM 1020 R2</v>
      </c>
      <c r="C14" t="s">
        <v>11</v>
      </c>
      <c r="D14" t="s">
        <v>8</v>
      </c>
      <c r="E14">
        <v>2</v>
      </c>
      <c r="F14" t="s">
        <v>4</v>
      </c>
      <c r="G14">
        <v>7.95</v>
      </c>
      <c r="H14">
        <v>2.41</v>
      </c>
      <c r="I14">
        <v>0.107</v>
      </c>
      <c r="J14">
        <v>240</v>
      </c>
      <c r="K14">
        <v>14.62</v>
      </c>
      <c r="L14" t="s">
        <v>54</v>
      </c>
      <c r="M14">
        <f>VLOOKUP(L14,Texture!$A$1:C$55,2,FALSE)</f>
        <v>30.23</v>
      </c>
      <c r="N14">
        <f>VLOOKUP(L14,Texture!$A$1:$C$55,3,FALSE)</f>
        <v>40.15</v>
      </c>
      <c r="O14">
        <v>10.98</v>
      </c>
      <c r="P14" t="s">
        <v>12</v>
      </c>
      <c r="Q14">
        <f>VLOOKUP(P14,Texture!$A$1:G$55,2,FALSE)</f>
        <v>30.41</v>
      </c>
      <c r="R14">
        <v>32.97</v>
      </c>
      <c r="S14">
        <f t="shared" si="1"/>
        <v>2.5599999999999987</v>
      </c>
      <c r="T14">
        <f t="shared" si="2"/>
        <v>1.08</v>
      </c>
    </row>
    <row r="15" spans="1:20" x14ac:dyDescent="0.2">
      <c r="A15">
        <v>14</v>
      </c>
      <c r="B15" t="str">
        <f t="shared" si="0"/>
        <v>PP MM 1020 R1</v>
      </c>
      <c r="C15" t="s">
        <v>11</v>
      </c>
      <c r="D15" t="s">
        <v>8</v>
      </c>
      <c r="E15">
        <v>2</v>
      </c>
      <c r="F15" t="s">
        <v>0</v>
      </c>
      <c r="G15">
        <v>7.96</v>
      </c>
      <c r="H15">
        <v>2.57</v>
      </c>
      <c r="I15">
        <v>0.20300000000000001</v>
      </c>
      <c r="J15">
        <v>150</v>
      </c>
      <c r="K15">
        <v>14.36</v>
      </c>
      <c r="L15" t="s">
        <v>37</v>
      </c>
      <c r="M15">
        <f>VLOOKUP(L15,Texture!$A$1:C$55,2,FALSE)</f>
        <v>30.29</v>
      </c>
      <c r="N15">
        <f>VLOOKUP(L15,Texture!$A$1:$C$55,3,FALSE)</f>
        <v>41.14</v>
      </c>
      <c r="O15">
        <f t="shared" ref="O15:O41" si="4">N15-M15</f>
        <v>10.850000000000001</v>
      </c>
      <c r="P15" t="s">
        <v>22</v>
      </c>
      <c r="Q15">
        <f>VLOOKUP(P15,Texture!$A$1:G$55,2,FALSE)</f>
        <v>30.34</v>
      </c>
      <c r="R15">
        <f>VLOOKUP(P15,Texture!$A$1:$C$55,3,FALSE)</f>
        <v>32.369999999999997</v>
      </c>
      <c r="S15">
        <f t="shared" si="1"/>
        <v>2.0299999999999976</v>
      </c>
      <c r="T15">
        <f t="shared" si="2"/>
        <v>1.4800000000000004</v>
      </c>
    </row>
    <row r="16" spans="1:20" x14ac:dyDescent="0.2">
      <c r="A16">
        <v>15</v>
      </c>
      <c r="B16" t="str">
        <f t="shared" si="0"/>
        <v>PP MM 010 R2</v>
      </c>
      <c r="C16" t="s">
        <v>11</v>
      </c>
      <c r="D16" t="s">
        <v>8</v>
      </c>
      <c r="E16">
        <v>1</v>
      </c>
      <c r="F16" t="s">
        <v>4</v>
      </c>
      <c r="G16">
        <v>7.98</v>
      </c>
      <c r="H16">
        <v>2.6</v>
      </c>
      <c r="I16">
        <v>0.152</v>
      </c>
      <c r="J16">
        <v>60</v>
      </c>
      <c r="K16">
        <v>14.16</v>
      </c>
      <c r="L16" t="s">
        <v>61</v>
      </c>
      <c r="M16">
        <f>VLOOKUP(L16,Texture!$A$1:C$55,2,FALSE)</f>
        <v>30.43</v>
      </c>
      <c r="N16">
        <v>41.67</v>
      </c>
      <c r="O16">
        <f t="shared" si="4"/>
        <v>11.240000000000002</v>
      </c>
      <c r="P16" t="s">
        <v>17</v>
      </c>
      <c r="Q16">
        <f>VLOOKUP(P16,Texture!$A$1:G$55,2,FALSE)</f>
        <v>30.35</v>
      </c>
      <c r="R16">
        <v>31.98</v>
      </c>
      <c r="S16">
        <f t="shared" si="1"/>
        <v>1.629999999999999</v>
      </c>
      <c r="T16">
        <f t="shared" si="2"/>
        <v>1.2899999999999991</v>
      </c>
    </row>
    <row r="17" spans="1:20" x14ac:dyDescent="0.2">
      <c r="A17">
        <v>16</v>
      </c>
      <c r="B17" t="str">
        <f t="shared" si="0"/>
        <v>PP MM 010 R1</v>
      </c>
      <c r="C17" t="s">
        <v>11</v>
      </c>
      <c r="D17" t="s">
        <v>8</v>
      </c>
      <c r="E17">
        <v>1</v>
      </c>
      <c r="F17" t="s">
        <v>0</v>
      </c>
      <c r="G17">
        <v>8.0500000000000007</v>
      </c>
      <c r="H17">
        <v>2.56</v>
      </c>
      <c r="I17">
        <v>0.185</v>
      </c>
      <c r="J17">
        <v>80</v>
      </c>
      <c r="K17">
        <v>14</v>
      </c>
      <c r="L17" t="s">
        <v>35</v>
      </c>
      <c r="M17">
        <f>VLOOKUP(L17,Texture!$A$1:C$55,2,FALSE)</f>
        <v>30.18</v>
      </c>
      <c r="N17">
        <f>VLOOKUP(L17,Texture!$A$1:$C$55,3,FALSE)</f>
        <v>41.41</v>
      </c>
      <c r="O17">
        <f t="shared" si="4"/>
        <v>11.229999999999997</v>
      </c>
      <c r="P17" t="s">
        <v>20</v>
      </c>
      <c r="Q17">
        <f>VLOOKUP(P17,Texture!$A$1:G$55,2,FALSE)</f>
        <v>30.35</v>
      </c>
      <c r="R17">
        <f>VLOOKUP(P17,Texture!$A$1:$C$55,3,FALSE)</f>
        <v>32.090000000000003</v>
      </c>
      <c r="S17">
        <f t="shared" si="1"/>
        <v>1.740000000000002</v>
      </c>
      <c r="T17">
        <f t="shared" si="2"/>
        <v>1.0300000000000011</v>
      </c>
    </row>
    <row r="18" spans="1:20" x14ac:dyDescent="0.2">
      <c r="A18">
        <v>17</v>
      </c>
      <c r="B18" t="str">
        <f t="shared" si="0"/>
        <v>OI NM 1020 R2</v>
      </c>
      <c r="C18" t="s">
        <v>7</v>
      </c>
      <c r="D18" t="s">
        <v>6</v>
      </c>
      <c r="E18">
        <v>2</v>
      </c>
      <c r="F18" t="s">
        <v>4</v>
      </c>
      <c r="G18">
        <v>7.84</v>
      </c>
      <c r="H18">
        <v>2.52</v>
      </c>
      <c r="I18">
        <v>0.151</v>
      </c>
      <c r="J18">
        <v>110</v>
      </c>
      <c r="K18">
        <v>14.15</v>
      </c>
      <c r="L18" s="5" t="s">
        <v>65</v>
      </c>
      <c r="M18">
        <f>VLOOKUP(L18,Texture!$A$1:C$55,2,FALSE)</f>
        <v>55.9</v>
      </c>
      <c r="N18">
        <v>65.92</v>
      </c>
      <c r="O18">
        <f t="shared" si="4"/>
        <v>10.020000000000003</v>
      </c>
      <c r="P18" t="s">
        <v>25</v>
      </c>
      <c r="Q18">
        <f>VLOOKUP(P18,Texture!$A$1:G$55,2,FALSE)</f>
        <v>30.44</v>
      </c>
      <c r="R18">
        <v>32.56</v>
      </c>
      <c r="S18">
        <f t="shared" si="1"/>
        <v>2.120000000000001</v>
      </c>
      <c r="T18">
        <f t="shared" si="2"/>
        <v>2.0099999999999962</v>
      </c>
    </row>
    <row r="19" spans="1:20" x14ac:dyDescent="0.2">
      <c r="A19">
        <v>18</v>
      </c>
      <c r="B19" t="str">
        <f t="shared" si="0"/>
        <v>OI NM 1020 R1</v>
      </c>
      <c r="C19" t="s">
        <v>7</v>
      </c>
      <c r="D19" t="s">
        <v>6</v>
      </c>
      <c r="E19">
        <v>2</v>
      </c>
      <c r="F19" t="s">
        <v>0</v>
      </c>
      <c r="G19">
        <v>8.0299999999999994</v>
      </c>
      <c r="H19">
        <v>2.4500000000000002</v>
      </c>
      <c r="I19">
        <v>0.14000000000000001</v>
      </c>
      <c r="J19">
        <v>60</v>
      </c>
      <c r="K19">
        <v>14.77</v>
      </c>
      <c r="L19" t="s">
        <v>34</v>
      </c>
      <c r="M19">
        <f>VLOOKUP(L19,Texture!$A$1:C$55,2,FALSE)</f>
        <v>30.26</v>
      </c>
      <c r="N19">
        <v>40.92</v>
      </c>
      <c r="O19">
        <f t="shared" si="4"/>
        <v>10.66</v>
      </c>
      <c r="P19" t="s">
        <v>19</v>
      </c>
      <c r="Q19">
        <f>VLOOKUP(P19,Texture!$A$1:G$55,2,FALSE)</f>
        <v>30.36</v>
      </c>
      <c r="R19">
        <f>VLOOKUP(P19,Texture!$A$1:$C$55,3,FALSE)</f>
        <v>32.43</v>
      </c>
      <c r="S19">
        <f t="shared" si="1"/>
        <v>2.0700000000000003</v>
      </c>
      <c r="T19">
        <f t="shared" si="2"/>
        <v>2.0399999999999991</v>
      </c>
    </row>
    <row r="20" spans="1:20" x14ac:dyDescent="0.2">
      <c r="A20">
        <v>19</v>
      </c>
      <c r="B20" t="str">
        <f t="shared" si="0"/>
        <v>OI NM 010 R2</v>
      </c>
      <c r="C20" t="s">
        <v>7</v>
      </c>
      <c r="D20" t="s">
        <v>6</v>
      </c>
      <c r="E20">
        <v>1</v>
      </c>
      <c r="F20" t="s">
        <v>4</v>
      </c>
      <c r="G20">
        <v>7.5</v>
      </c>
      <c r="H20">
        <v>2.57</v>
      </c>
      <c r="I20">
        <v>0.10100000000000001</v>
      </c>
      <c r="J20">
        <v>240</v>
      </c>
      <c r="K20">
        <v>13.96</v>
      </c>
      <c r="L20" t="s">
        <v>38</v>
      </c>
      <c r="M20">
        <f>VLOOKUP(L20,Texture!$A$1:C$55,2,FALSE)</f>
        <v>30.36</v>
      </c>
      <c r="N20">
        <f>VLOOKUP(L20,Texture!$A$1:$C$55,3,FALSE)</f>
        <v>39.770000000000003</v>
      </c>
      <c r="O20">
        <f t="shared" si="4"/>
        <v>9.4100000000000037</v>
      </c>
      <c r="P20" t="s">
        <v>23</v>
      </c>
      <c r="Q20">
        <f>VLOOKUP(P20,Texture!$A$1:G$55,2,FALSE)</f>
        <v>30.33</v>
      </c>
      <c r="R20">
        <f>VLOOKUP(P20,Texture!$A$1:$C$55,3,FALSE)</f>
        <v>33.07</v>
      </c>
      <c r="S20">
        <f t="shared" si="1"/>
        <v>2.740000000000002</v>
      </c>
      <c r="T20">
        <f t="shared" si="2"/>
        <v>1.8099999999999952</v>
      </c>
    </row>
    <row r="21" spans="1:20" x14ac:dyDescent="0.2">
      <c r="A21">
        <v>20</v>
      </c>
      <c r="B21" t="str">
        <f t="shared" si="0"/>
        <v>OI NM 010 R1</v>
      </c>
      <c r="C21" t="s">
        <v>7</v>
      </c>
      <c r="D21" t="s">
        <v>6</v>
      </c>
      <c r="E21">
        <v>1</v>
      </c>
      <c r="F21" t="s">
        <v>0</v>
      </c>
      <c r="G21">
        <v>7.86</v>
      </c>
      <c r="H21">
        <v>2.46</v>
      </c>
      <c r="I21">
        <v>8.5000000000000006E-2</v>
      </c>
      <c r="J21">
        <v>240</v>
      </c>
      <c r="K21">
        <v>14.65</v>
      </c>
      <c r="L21" t="s">
        <v>45</v>
      </c>
      <c r="M21">
        <f>VLOOKUP(L21,Texture!$A$1:C$55,2,FALSE)</f>
        <v>30.52</v>
      </c>
      <c r="N21">
        <v>40.67</v>
      </c>
      <c r="O21">
        <f t="shared" si="4"/>
        <v>10.150000000000002</v>
      </c>
      <c r="P21" t="s">
        <v>50</v>
      </c>
      <c r="Q21">
        <f>VLOOKUP(P21,Texture!$A$1:G$55,2,FALSE)</f>
        <v>30.44</v>
      </c>
      <c r="R21">
        <v>32.909999999999997</v>
      </c>
      <c r="S21">
        <f t="shared" si="1"/>
        <v>2.4699999999999953</v>
      </c>
      <c r="T21">
        <f t="shared" si="2"/>
        <v>2.0300000000000029</v>
      </c>
    </row>
    <row r="22" spans="1:20" x14ac:dyDescent="0.2">
      <c r="A22">
        <v>21</v>
      </c>
      <c r="B22" t="str">
        <f t="shared" si="0"/>
        <v>OI MM 1020 R2</v>
      </c>
      <c r="C22" t="s">
        <v>7</v>
      </c>
      <c r="D22" t="s">
        <v>8</v>
      </c>
      <c r="E22">
        <v>2</v>
      </c>
      <c r="F22" t="s">
        <v>4</v>
      </c>
      <c r="G22">
        <v>7.84</v>
      </c>
      <c r="H22">
        <v>2.5299999999999998</v>
      </c>
      <c r="I22">
        <v>0.19800000000000001</v>
      </c>
      <c r="J22">
        <v>11</v>
      </c>
      <c r="K22">
        <v>14.2</v>
      </c>
      <c r="L22" t="s">
        <v>58</v>
      </c>
      <c r="M22">
        <f>VLOOKUP(L22,Texture!$A$1:C$55,2,FALSE)</f>
        <v>30.22</v>
      </c>
      <c r="N22">
        <v>40.630000000000003</v>
      </c>
      <c r="O22">
        <f t="shared" si="4"/>
        <v>10.410000000000004</v>
      </c>
      <c r="P22" t="s">
        <v>18</v>
      </c>
      <c r="Q22">
        <f>VLOOKUP(P22,Texture!$A$1:G$55,2,FALSE)</f>
        <v>30.56</v>
      </c>
      <c r="R22">
        <v>33.1</v>
      </c>
      <c r="S22">
        <f t="shared" si="1"/>
        <v>2.5400000000000027</v>
      </c>
      <c r="T22">
        <f t="shared" si="2"/>
        <v>1.2499999999999929</v>
      </c>
    </row>
    <row r="23" spans="1:20" x14ac:dyDescent="0.2">
      <c r="A23">
        <v>22</v>
      </c>
      <c r="B23" t="str">
        <f t="shared" si="0"/>
        <v>OI MM 1020 R1</v>
      </c>
      <c r="C23" t="s">
        <v>7</v>
      </c>
      <c r="D23" t="s">
        <v>8</v>
      </c>
      <c r="E23">
        <v>2</v>
      </c>
      <c r="F23" t="s">
        <v>0</v>
      </c>
      <c r="G23">
        <v>7.91</v>
      </c>
      <c r="H23">
        <v>2.4900000000000002</v>
      </c>
      <c r="I23">
        <v>0.16500000000000001</v>
      </c>
      <c r="J23" t="s">
        <v>116</v>
      </c>
      <c r="K23">
        <v>14.42</v>
      </c>
      <c r="L23" t="s">
        <v>46</v>
      </c>
      <c r="M23">
        <f>VLOOKUP(L23,Texture!$A$1:C$55,2,FALSE)</f>
        <v>30.29</v>
      </c>
      <c r="N23">
        <f>VLOOKUP(L23,Texture!$A$1:$D$55,3,FALSE)</f>
        <v>40.6</v>
      </c>
      <c r="O23">
        <f t="shared" si="4"/>
        <v>10.310000000000002</v>
      </c>
      <c r="P23" t="s">
        <v>51</v>
      </c>
      <c r="Q23">
        <f>VLOOKUP(P23,Texture!$A$1:G$55,2,FALSE)</f>
        <v>30.33</v>
      </c>
      <c r="R23">
        <f>VLOOKUP(P23,Texture!$A$1:$D$55,3,FALSE)</f>
        <v>32.99</v>
      </c>
      <c r="S23">
        <f t="shared" si="1"/>
        <v>2.6600000000000037</v>
      </c>
      <c r="T23">
        <f t="shared" si="2"/>
        <v>1.449999999999994</v>
      </c>
    </row>
    <row r="24" spans="1:20" x14ac:dyDescent="0.2">
      <c r="A24">
        <v>23</v>
      </c>
      <c r="B24" t="str">
        <f t="shared" si="0"/>
        <v>OI MM 010 R2</v>
      </c>
      <c r="C24" t="s">
        <v>7</v>
      </c>
      <c r="D24" t="s">
        <v>8</v>
      </c>
      <c r="E24">
        <v>1</v>
      </c>
      <c r="F24" t="s">
        <v>4</v>
      </c>
      <c r="G24">
        <v>7.63</v>
      </c>
      <c r="H24">
        <v>2.57</v>
      </c>
      <c r="I24">
        <v>0.27300000000000002</v>
      </c>
      <c r="J24">
        <v>70</v>
      </c>
      <c r="K24">
        <v>14.67</v>
      </c>
      <c r="L24" t="s">
        <v>44</v>
      </c>
      <c r="M24">
        <f>VLOOKUP(L24,Texture!$A$1:C$55,2,FALSE)</f>
        <v>30.58</v>
      </c>
      <c r="N24">
        <f>VLOOKUP(L24,Texture!$A$1:$D$55,3,FALSE)</f>
        <v>40.159999999999997</v>
      </c>
      <c r="O24">
        <f t="shared" si="4"/>
        <v>9.5799999999999983</v>
      </c>
      <c r="P24" t="s">
        <v>49</v>
      </c>
      <c r="Q24">
        <f>VLOOKUP(P24,Texture!$A$1:G$55,2,FALSE)</f>
        <v>30.02</v>
      </c>
      <c r="R24">
        <f>VLOOKUP(P24,Texture!$A$1:$D$55,3,FALSE)</f>
        <v>33.25</v>
      </c>
      <c r="S24">
        <f t="shared" si="1"/>
        <v>3.2300000000000004</v>
      </c>
      <c r="T24">
        <f t="shared" si="2"/>
        <v>1.8600000000000012</v>
      </c>
    </row>
    <row r="25" spans="1:20" x14ac:dyDescent="0.2">
      <c r="A25">
        <v>24</v>
      </c>
      <c r="B25" t="str">
        <f t="shared" si="0"/>
        <v>OI MM 010 R1</v>
      </c>
      <c r="C25" t="s">
        <v>7</v>
      </c>
      <c r="D25" t="s">
        <v>8</v>
      </c>
      <c r="E25">
        <v>1</v>
      </c>
      <c r="F25" t="s">
        <v>0</v>
      </c>
      <c r="G25">
        <v>7.78</v>
      </c>
      <c r="H25">
        <v>2.57</v>
      </c>
      <c r="I25">
        <v>0.23200000000000001</v>
      </c>
      <c r="J25">
        <v>60</v>
      </c>
      <c r="K25">
        <v>14.02</v>
      </c>
      <c r="L25" s="5" t="s">
        <v>67</v>
      </c>
      <c r="M25">
        <f>VLOOKUP(L25,Texture!$A$1:C$55,2,FALSE)</f>
        <v>64.739999999999995</v>
      </c>
      <c r="N25">
        <f>VLOOKUP(L25,Texture!$A$1:$D$55,3,FALSE)</f>
        <v>73.75</v>
      </c>
      <c r="O25">
        <f t="shared" si="4"/>
        <v>9.0100000000000051</v>
      </c>
      <c r="P25" t="s">
        <v>26</v>
      </c>
      <c r="Q25">
        <f>VLOOKUP(P25,Texture!$A$1:G$55,2,FALSE)</f>
        <v>30.15</v>
      </c>
      <c r="R25">
        <v>33.409999999999997</v>
      </c>
      <c r="S25">
        <f t="shared" si="1"/>
        <v>3.259999999999998</v>
      </c>
      <c r="T25">
        <f t="shared" si="2"/>
        <v>1.7499999999999964</v>
      </c>
    </row>
    <row r="26" spans="1:20" x14ac:dyDescent="0.2">
      <c r="A26">
        <v>25</v>
      </c>
      <c r="B26" t="str">
        <f t="shared" si="0"/>
        <v>FW NM 1020 R2</v>
      </c>
      <c r="C26" t="s">
        <v>10</v>
      </c>
      <c r="D26" t="s">
        <v>6</v>
      </c>
      <c r="E26">
        <v>2</v>
      </c>
      <c r="F26" t="s">
        <v>4</v>
      </c>
      <c r="G26">
        <v>7.88</v>
      </c>
      <c r="H26">
        <v>2.6</v>
      </c>
      <c r="I26">
        <v>0.14799999999999999</v>
      </c>
      <c r="J26" t="s">
        <v>116</v>
      </c>
      <c r="K26">
        <v>14.31</v>
      </c>
      <c r="L26" t="s">
        <v>48</v>
      </c>
      <c r="M26">
        <f>VLOOKUP(L26,Texture!$A$1:C$55,2,FALSE)</f>
        <v>30.34</v>
      </c>
      <c r="N26">
        <v>41.29</v>
      </c>
      <c r="O26">
        <f t="shared" si="4"/>
        <v>10.95</v>
      </c>
      <c r="P26" t="s">
        <v>53</v>
      </c>
      <c r="Q26">
        <f>VLOOKUP(P26,Texture!$A$1:G$55,2,FALSE)</f>
        <v>30.2</v>
      </c>
      <c r="R26">
        <v>32.450000000000003</v>
      </c>
      <c r="S26">
        <f t="shared" si="1"/>
        <v>2.2500000000000036</v>
      </c>
      <c r="T26">
        <f t="shared" si="2"/>
        <v>1.1099999999999977</v>
      </c>
    </row>
    <row r="27" spans="1:20" x14ac:dyDescent="0.2">
      <c r="A27">
        <v>26</v>
      </c>
      <c r="B27" t="str">
        <f t="shared" si="0"/>
        <v>FW NM 1020 R1</v>
      </c>
      <c r="C27" t="s">
        <v>10</v>
      </c>
      <c r="D27" t="s">
        <v>6</v>
      </c>
      <c r="E27">
        <v>2</v>
      </c>
      <c r="F27" t="s">
        <v>0</v>
      </c>
      <c r="G27">
        <v>7.8</v>
      </c>
      <c r="H27">
        <v>2.4500000000000002</v>
      </c>
      <c r="I27">
        <v>0.20200000000000001</v>
      </c>
      <c r="J27" t="s">
        <v>116</v>
      </c>
      <c r="K27">
        <v>14.18</v>
      </c>
      <c r="L27" t="s">
        <v>33</v>
      </c>
      <c r="M27">
        <f>VLOOKUP(L27,Texture!$A$1:C$55,2,FALSE)</f>
        <v>30.2</v>
      </c>
      <c r="N27">
        <f>VLOOKUP(L27,Texture!$A$1:$C$55,3,FALSE)</f>
        <v>40.83</v>
      </c>
      <c r="O27">
        <f t="shared" si="4"/>
        <v>10.629999999999999</v>
      </c>
      <c r="P27" t="s">
        <v>18</v>
      </c>
      <c r="Q27">
        <f>VLOOKUP(P27,Texture!$A$1:G$55,2,FALSE)</f>
        <v>30.56</v>
      </c>
      <c r="R27">
        <f>VLOOKUP(P27,Texture!$A$1:$C$55,3,FALSE)</f>
        <v>32.6</v>
      </c>
      <c r="S27">
        <f t="shared" si="1"/>
        <v>2.0400000000000027</v>
      </c>
      <c r="T27">
        <f t="shared" si="2"/>
        <v>1.509999999999998</v>
      </c>
    </row>
    <row r="28" spans="1:20" x14ac:dyDescent="0.2">
      <c r="A28">
        <v>27</v>
      </c>
      <c r="B28" t="str">
        <f t="shared" si="0"/>
        <v>FW NM 010 R2</v>
      </c>
      <c r="C28" t="s">
        <v>10</v>
      </c>
      <c r="D28" t="s">
        <v>6</v>
      </c>
      <c r="E28">
        <v>1</v>
      </c>
      <c r="F28" t="s">
        <v>4</v>
      </c>
      <c r="G28">
        <v>7.82</v>
      </c>
      <c r="H28">
        <v>2.5</v>
      </c>
      <c r="I28">
        <v>0.16</v>
      </c>
      <c r="J28">
        <v>60</v>
      </c>
      <c r="K28">
        <v>14.06</v>
      </c>
      <c r="L28" s="5" t="s">
        <v>62</v>
      </c>
      <c r="M28">
        <f>VLOOKUP(L28,Texture!$A$1:C$55,2,FALSE)</f>
        <v>60.17</v>
      </c>
      <c r="N28">
        <v>70.77</v>
      </c>
      <c r="O28">
        <f t="shared" si="4"/>
        <v>10.599999999999994</v>
      </c>
      <c r="P28" t="s">
        <v>22</v>
      </c>
      <c r="Q28">
        <f>VLOOKUP(P28,Texture!$A$1:G$55,2,FALSE)</f>
        <v>30.34</v>
      </c>
      <c r="R28">
        <f>VLOOKUP(P28,Texture!$A$1:$D$55,3,FALSE)</f>
        <v>32.369999999999997</v>
      </c>
      <c r="S28">
        <f t="shared" si="1"/>
        <v>2.0299999999999976</v>
      </c>
      <c r="T28">
        <f t="shared" si="2"/>
        <v>1.4300000000000086</v>
      </c>
    </row>
    <row r="29" spans="1:20" x14ac:dyDescent="0.2">
      <c r="A29">
        <v>28</v>
      </c>
      <c r="B29" t="str">
        <f t="shared" si="0"/>
        <v>FW NM 010 R1</v>
      </c>
      <c r="C29" t="s">
        <v>10</v>
      </c>
      <c r="D29" t="s">
        <v>6</v>
      </c>
      <c r="E29">
        <v>1</v>
      </c>
      <c r="F29" t="s">
        <v>0</v>
      </c>
      <c r="G29">
        <v>7.92</v>
      </c>
      <c r="H29">
        <v>2.4900000000000002</v>
      </c>
      <c r="I29">
        <v>0.23599999999999999</v>
      </c>
      <c r="J29">
        <v>70</v>
      </c>
      <c r="K29">
        <v>14.25</v>
      </c>
      <c r="L29" t="s">
        <v>43</v>
      </c>
      <c r="M29">
        <f>VLOOKUP(L29,Texture!$A$1:C$55,2,FALSE)</f>
        <v>30.44</v>
      </c>
      <c r="N29">
        <f>VLOOKUP(L29,Texture!$A$1:$D$55,3,FALSE)</f>
        <v>41.39</v>
      </c>
      <c r="O29">
        <f t="shared" si="4"/>
        <v>10.95</v>
      </c>
      <c r="P29" t="s">
        <v>28</v>
      </c>
      <c r="Q29">
        <f>VLOOKUP(P29,Texture!$A$1:G$55,2,FALSE)</f>
        <v>30.38</v>
      </c>
      <c r="R29">
        <f>VLOOKUP(P29,Texture!$A$1:$D$55,3,FALSE)</f>
        <v>32.4</v>
      </c>
      <c r="S29">
        <f t="shared" si="1"/>
        <v>2.0199999999999996</v>
      </c>
      <c r="T29">
        <f t="shared" si="2"/>
        <v>1.2800000000000011</v>
      </c>
    </row>
    <row r="30" spans="1:20" x14ac:dyDescent="0.2">
      <c r="A30">
        <v>29</v>
      </c>
      <c r="B30" t="str">
        <f t="shared" si="0"/>
        <v>FW MM 1020 R2</v>
      </c>
      <c r="C30" t="s">
        <v>10</v>
      </c>
      <c r="D30" t="s">
        <v>8</v>
      </c>
      <c r="E30">
        <v>2</v>
      </c>
      <c r="F30" t="s">
        <v>4</v>
      </c>
      <c r="G30">
        <v>8</v>
      </c>
      <c r="H30">
        <v>2.58</v>
      </c>
      <c r="I30">
        <v>0.17799999999999999</v>
      </c>
      <c r="J30">
        <v>120</v>
      </c>
      <c r="K30">
        <v>14.09</v>
      </c>
      <c r="L30" t="s">
        <v>40</v>
      </c>
      <c r="M30">
        <f>VLOOKUP(L30,Texture!$A$1:C$55,2,FALSE)</f>
        <v>30.48</v>
      </c>
      <c r="N30">
        <v>40.83</v>
      </c>
      <c r="O30">
        <f t="shared" si="4"/>
        <v>10.349999999999998</v>
      </c>
      <c r="P30" t="s">
        <v>25</v>
      </c>
      <c r="Q30">
        <f>VLOOKUP(P30,Texture!$A$1:G$55,2,FALSE)</f>
        <v>30.44</v>
      </c>
      <c r="R30">
        <v>32.58</v>
      </c>
      <c r="S30">
        <f t="shared" si="1"/>
        <v>2.139999999999997</v>
      </c>
      <c r="T30">
        <f t="shared" si="2"/>
        <v>1.600000000000005</v>
      </c>
    </row>
    <row r="31" spans="1:20" x14ac:dyDescent="0.2">
      <c r="A31">
        <v>30</v>
      </c>
      <c r="B31" t="str">
        <f t="shared" si="0"/>
        <v>FW MM 1020 R1</v>
      </c>
      <c r="C31" t="s">
        <v>10</v>
      </c>
      <c r="D31" t="s">
        <v>8</v>
      </c>
      <c r="E31">
        <v>2</v>
      </c>
      <c r="F31" t="s">
        <v>0</v>
      </c>
      <c r="G31">
        <v>8.02</v>
      </c>
      <c r="H31">
        <v>2.5</v>
      </c>
      <c r="I31">
        <v>0.26500000000000001</v>
      </c>
      <c r="J31">
        <v>80</v>
      </c>
      <c r="K31">
        <v>14.96</v>
      </c>
      <c r="L31" t="s">
        <v>43</v>
      </c>
      <c r="M31">
        <f>VLOOKUP(L31,Texture!$A$1:C$55,2,FALSE)</f>
        <v>30.44</v>
      </c>
      <c r="N31">
        <f>VLOOKUP(L31,Texture!$A$1:$D$55,3,FALSE)</f>
        <v>41.39</v>
      </c>
      <c r="O31">
        <f t="shared" si="4"/>
        <v>10.95</v>
      </c>
      <c r="P31" t="s">
        <v>28</v>
      </c>
      <c r="Q31">
        <f>VLOOKUP(P31,Texture!$A$1:G$55,2,FALSE)</f>
        <v>30.38</v>
      </c>
      <c r="R31">
        <f>VLOOKUP(P31,Texture!$A$1:$D$55,3,FALSE)</f>
        <v>32.4</v>
      </c>
      <c r="S31">
        <f t="shared" si="1"/>
        <v>2.0199999999999996</v>
      </c>
      <c r="T31">
        <f t="shared" si="2"/>
        <v>1.990000000000002</v>
      </c>
    </row>
    <row r="32" spans="1:20" x14ac:dyDescent="0.2">
      <c r="A32">
        <v>31</v>
      </c>
      <c r="B32" t="str">
        <f t="shared" si="0"/>
        <v>FW MM 010 R2</v>
      </c>
      <c r="C32" t="s">
        <v>10</v>
      </c>
      <c r="D32" t="s">
        <v>8</v>
      </c>
      <c r="E32">
        <v>1</v>
      </c>
      <c r="F32" t="s">
        <v>4</v>
      </c>
      <c r="G32">
        <v>7.85</v>
      </c>
      <c r="H32">
        <v>2.59</v>
      </c>
      <c r="I32">
        <v>0.17299999999999999</v>
      </c>
      <c r="J32">
        <v>60</v>
      </c>
      <c r="K32">
        <v>14.01</v>
      </c>
      <c r="L32" t="s">
        <v>56</v>
      </c>
      <c r="M32">
        <f>VLOOKUP(L32,Texture!$A$1:C$55,2,FALSE)</f>
        <v>30.3</v>
      </c>
      <c r="N32">
        <v>40.340000000000003</v>
      </c>
      <c r="O32">
        <f t="shared" si="4"/>
        <v>10.040000000000003</v>
      </c>
      <c r="P32" t="s">
        <v>16</v>
      </c>
      <c r="Q32">
        <f>VLOOKUP(P32,Texture!$A$1:G$55,2,FALSE)</f>
        <v>30.36</v>
      </c>
      <c r="R32">
        <v>33.090000000000003</v>
      </c>
      <c r="S32">
        <f t="shared" si="1"/>
        <v>2.730000000000004</v>
      </c>
      <c r="T32">
        <f t="shared" si="2"/>
        <v>1.2399999999999931</v>
      </c>
    </row>
    <row r="33" spans="1:20" x14ac:dyDescent="0.2">
      <c r="A33">
        <v>32</v>
      </c>
      <c r="B33" t="str">
        <f t="shared" si="0"/>
        <v>FW MM 010 R1</v>
      </c>
      <c r="C33" t="s">
        <v>10</v>
      </c>
      <c r="D33" t="s">
        <v>8</v>
      </c>
      <c r="E33">
        <v>1</v>
      </c>
      <c r="F33" t="s">
        <v>0</v>
      </c>
      <c r="G33">
        <v>8.06</v>
      </c>
      <c r="H33">
        <v>2.4900000000000002</v>
      </c>
      <c r="I33">
        <v>0.21299999999999999</v>
      </c>
      <c r="J33">
        <v>70</v>
      </c>
      <c r="K33">
        <v>14.43</v>
      </c>
      <c r="L33" t="s">
        <v>29</v>
      </c>
      <c r="M33">
        <f>VLOOKUP(L33,Texture!$A$1:C$55,2,FALSE)</f>
        <v>30.99</v>
      </c>
      <c r="N33">
        <f>VLOOKUP(L33,Texture!$A$1:$D$55,3,FALSE)</f>
        <v>41.17</v>
      </c>
      <c r="O33">
        <f t="shared" si="4"/>
        <v>10.180000000000003</v>
      </c>
      <c r="P33" t="s">
        <v>12</v>
      </c>
      <c r="Q33">
        <f>VLOOKUP(P33,Texture!$A$1:G$55,2,FALSE)</f>
        <v>30.41</v>
      </c>
      <c r="R33">
        <f>VLOOKUP(P33,Texture!$A$1:$D$55,3,FALSE)</f>
        <v>33.33</v>
      </c>
      <c r="S33">
        <f t="shared" si="1"/>
        <v>2.9199999999999982</v>
      </c>
      <c r="T33">
        <f t="shared" si="2"/>
        <v>1.3299999999999983</v>
      </c>
    </row>
    <row r="34" spans="1:20" x14ac:dyDescent="0.2">
      <c r="A34">
        <v>33</v>
      </c>
      <c r="B34" t="str">
        <f t="shared" si="0"/>
        <v>ES NM 1020 R2</v>
      </c>
      <c r="C34" t="s">
        <v>9</v>
      </c>
      <c r="D34" t="s">
        <v>6</v>
      </c>
      <c r="E34">
        <v>2</v>
      </c>
      <c r="F34" t="s">
        <v>4</v>
      </c>
      <c r="G34">
        <v>8.08</v>
      </c>
      <c r="H34">
        <v>2.54</v>
      </c>
      <c r="I34">
        <v>0.19900000000000001</v>
      </c>
      <c r="J34">
        <v>220</v>
      </c>
      <c r="K34">
        <v>14.01</v>
      </c>
      <c r="L34" t="s">
        <v>42</v>
      </c>
      <c r="M34">
        <f>VLOOKUP(L34,Texture!$A$1:C$55,2,FALSE)</f>
        <v>30.44</v>
      </c>
      <c r="N34">
        <f>VLOOKUP(L34,Texture!$A$1:$C$55,3,FALSE)</f>
        <v>40.950000000000003</v>
      </c>
      <c r="O34">
        <f t="shared" si="4"/>
        <v>10.510000000000002</v>
      </c>
      <c r="P34" t="s">
        <v>27</v>
      </c>
      <c r="Q34">
        <f>VLOOKUP(P34,Texture!$A$1:G$55,2,FALSE)</f>
        <v>30.22</v>
      </c>
      <c r="R34">
        <f>VLOOKUP(P34,Texture!$A$1:$C$55,3,FALSE)</f>
        <v>32.5</v>
      </c>
      <c r="S34">
        <f t="shared" si="1"/>
        <v>2.2800000000000011</v>
      </c>
      <c r="T34">
        <f t="shared" si="2"/>
        <v>1.2199999999999971</v>
      </c>
    </row>
    <row r="35" spans="1:20" x14ac:dyDescent="0.2">
      <c r="A35">
        <v>34</v>
      </c>
      <c r="B35" t="str">
        <f t="shared" si="0"/>
        <v>ES NM 1020 R1</v>
      </c>
      <c r="C35" t="s">
        <v>9</v>
      </c>
      <c r="D35" t="s">
        <v>6</v>
      </c>
      <c r="E35">
        <v>2</v>
      </c>
      <c r="F35" t="s">
        <v>0</v>
      </c>
      <c r="G35">
        <v>8.16</v>
      </c>
      <c r="H35">
        <v>2.6</v>
      </c>
      <c r="I35">
        <v>0.216</v>
      </c>
      <c r="J35">
        <v>210</v>
      </c>
      <c r="K35">
        <v>14.7</v>
      </c>
      <c r="L35" s="5" t="s">
        <v>64</v>
      </c>
      <c r="M35">
        <f>VLOOKUP(L35,Texture!$A$1:C$55,2,FALSE)</f>
        <v>57.86</v>
      </c>
      <c r="N35">
        <v>69.03</v>
      </c>
      <c r="O35">
        <f t="shared" si="4"/>
        <v>11.170000000000002</v>
      </c>
      <c r="P35" t="s">
        <v>24</v>
      </c>
      <c r="Q35">
        <f>VLOOKUP(P35,Texture!$A$1:G$55,2,FALSE)</f>
        <v>30.26</v>
      </c>
      <c r="R35">
        <f>VLOOKUP(P35,Texture!$A$1:$C$55,3,FALSE)</f>
        <v>32.700000000000003</v>
      </c>
      <c r="S35">
        <f t="shared" si="1"/>
        <v>2.4400000000000013</v>
      </c>
      <c r="T35">
        <f t="shared" si="2"/>
        <v>1.0899999999999963</v>
      </c>
    </row>
    <row r="36" spans="1:20" x14ac:dyDescent="0.2">
      <c r="A36">
        <v>35</v>
      </c>
      <c r="B36" t="str">
        <f t="shared" si="0"/>
        <v>ES NM 010 R2</v>
      </c>
      <c r="C36" t="s">
        <v>9</v>
      </c>
      <c r="D36" t="s">
        <v>6</v>
      </c>
      <c r="E36">
        <v>1</v>
      </c>
      <c r="F36" t="s">
        <v>4</v>
      </c>
      <c r="G36">
        <v>8.08</v>
      </c>
      <c r="H36">
        <v>2.6</v>
      </c>
      <c r="I36">
        <v>0.28999999999999998</v>
      </c>
      <c r="J36">
        <v>40</v>
      </c>
      <c r="K36">
        <v>14.03</v>
      </c>
      <c r="L36" t="s">
        <v>39</v>
      </c>
      <c r="M36">
        <f>VLOOKUP(L36,Texture!$A$1:C$55,2,FALSE)</f>
        <v>30.14</v>
      </c>
      <c r="N36">
        <f>VLOOKUP(L36,Texture!$A$1:$D$55,3,FALSE)</f>
        <v>39.97</v>
      </c>
      <c r="O36">
        <f t="shared" si="4"/>
        <v>9.8299999999999983</v>
      </c>
      <c r="P36" t="s">
        <v>24</v>
      </c>
      <c r="Q36">
        <f>VLOOKUP(P36,Texture!$A$1:G$55,2,FALSE)</f>
        <v>30.26</v>
      </c>
      <c r="R36">
        <f>VLOOKUP(P36,Texture!$A$1:$D$55,3,FALSE)</f>
        <v>32.700000000000003</v>
      </c>
      <c r="S36">
        <f t="shared" si="1"/>
        <v>2.4400000000000013</v>
      </c>
      <c r="T36">
        <f t="shared" si="2"/>
        <v>1.7599999999999998</v>
      </c>
    </row>
    <row r="37" spans="1:20" x14ac:dyDescent="0.2">
      <c r="A37">
        <v>36</v>
      </c>
      <c r="B37" t="str">
        <f t="shared" si="0"/>
        <v>ES NM 010 R1</v>
      </c>
      <c r="C37" t="s">
        <v>9</v>
      </c>
      <c r="D37" t="s">
        <v>6</v>
      </c>
      <c r="E37">
        <v>1</v>
      </c>
      <c r="F37" t="s">
        <v>0</v>
      </c>
      <c r="G37">
        <v>8.18</v>
      </c>
      <c r="H37">
        <v>2.54</v>
      </c>
      <c r="I37">
        <v>0.21</v>
      </c>
      <c r="J37">
        <v>180</v>
      </c>
      <c r="K37">
        <v>14.48</v>
      </c>
      <c r="L37" t="s">
        <v>44</v>
      </c>
      <c r="M37">
        <f>VLOOKUP(L37,Texture!$A$1:C$55,2,FALSE)</f>
        <v>30.58</v>
      </c>
      <c r="N37">
        <v>40.659999999999997</v>
      </c>
      <c r="O37">
        <f t="shared" si="4"/>
        <v>10.079999999999998</v>
      </c>
      <c r="P37" t="s">
        <v>49</v>
      </c>
      <c r="Q37">
        <f>VLOOKUP(P37,Texture!$A$1:G$55,2,FALSE)</f>
        <v>30.02</v>
      </c>
      <c r="R37">
        <v>32.869999999999997</v>
      </c>
      <c r="S37">
        <f t="shared" si="1"/>
        <v>2.8499999999999979</v>
      </c>
      <c r="T37">
        <f t="shared" si="2"/>
        <v>1.5500000000000043</v>
      </c>
    </row>
    <row r="38" spans="1:20" x14ac:dyDescent="0.2">
      <c r="A38">
        <v>37</v>
      </c>
      <c r="B38" t="str">
        <f t="shared" si="0"/>
        <v>ES MM 1020 R2</v>
      </c>
      <c r="C38" t="s">
        <v>9</v>
      </c>
      <c r="D38" t="s">
        <v>8</v>
      </c>
      <c r="E38">
        <v>2</v>
      </c>
      <c r="F38" t="s">
        <v>4</v>
      </c>
      <c r="G38">
        <v>8.0399999999999991</v>
      </c>
      <c r="H38">
        <v>2.58</v>
      </c>
      <c r="I38">
        <v>0.24099999999999999</v>
      </c>
      <c r="J38">
        <v>80</v>
      </c>
      <c r="K38">
        <v>14.09</v>
      </c>
      <c r="L38" t="s">
        <v>47</v>
      </c>
      <c r="M38">
        <f>VLOOKUP(L38,Texture!$A$1:C$55,2,FALSE)</f>
        <v>30.35</v>
      </c>
      <c r="N38">
        <f>VLOOKUP(L38,Texture!$A$1:$D$55,3,FALSE)</f>
        <v>40.200000000000003</v>
      </c>
      <c r="O38">
        <f t="shared" si="4"/>
        <v>9.8500000000000014</v>
      </c>
      <c r="P38" t="s">
        <v>52</v>
      </c>
      <c r="Q38">
        <f>VLOOKUP(P38,Texture!$A$1:G$55,2,FALSE)</f>
        <v>30.51</v>
      </c>
      <c r="R38">
        <f>VLOOKUP(P38,Texture!$A$1:$D$55,3,FALSE)</f>
        <v>32.71</v>
      </c>
      <c r="S38">
        <f t="shared" si="1"/>
        <v>2.1999999999999993</v>
      </c>
      <c r="T38">
        <f t="shared" si="2"/>
        <v>2.0399999999999991</v>
      </c>
    </row>
    <row r="39" spans="1:20" x14ac:dyDescent="0.2">
      <c r="A39">
        <v>38</v>
      </c>
      <c r="B39" t="str">
        <f t="shared" si="0"/>
        <v>ES MM 1020 R1</v>
      </c>
      <c r="C39" t="s">
        <v>9</v>
      </c>
      <c r="D39" t="s">
        <v>8</v>
      </c>
      <c r="E39">
        <v>2</v>
      </c>
      <c r="F39" t="s">
        <v>0</v>
      </c>
      <c r="G39">
        <v>7.85</v>
      </c>
      <c r="H39">
        <v>2.57</v>
      </c>
      <c r="I39">
        <v>0.245</v>
      </c>
      <c r="J39">
        <v>190</v>
      </c>
      <c r="K39">
        <v>14.18</v>
      </c>
      <c r="L39" t="s">
        <v>57</v>
      </c>
      <c r="M39">
        <f>VLOOKUP(L39,Texture!$A$1:C$55,2,FALSE)</f>
        <v>30.23</v>
      </c>
      <c r="N39">
        <v>40.229999999999997</v>
      </c>
      <c r="O39">
        <f t="shared" si="4"/>
        <v>9.9999999999999964</v>
      </c>
      <c r="P39" t="s">
        <v>17</v>
      </c>
      <c r="Q39">
        <f>VLOOKUP(P39,Texture!$A$1:G$55,2,FALSE)</f>
        <v>30.35</v>
      </c>
      <c r="R39">
        <v>32.99</v>
      </c>
      <c r="S39">
        <f t="shared" si="1"/>
        <v>2.6400000000000006</v>
      </c>
      <c r="T39">
        <f t="shared" si="2"/>
        <v>1.5400000000000027</v>
      </c>
    </row>
    <row r="40" spans="1:20" x14ac:dyDescent="0.2">
      <c r="A40">
        <v>39</v>
      </c>
      <c r="B40" t="str">
        <f t="shared" si="0"/>
        <v>ES MM 010 R2</v>
      </c>
      <c r="C40" t="s">
        <v>9</v>
      </c>
      <c r="D40" t="s">
        <v>8</v>
      </c>
      <c r="E40">
        <v>1</v>
      </c>
      <c r="F40" t="s">
        <v>4</v>
      </c>
      <c r="G40">
        <v>7.95</v>
      </c>
      <c r="H40">
        <v>2.58</v>
      </c>
      <c r="I40">
        <v>0.17699999999999999</v>
      </c>
      <c r="J40">
        <v>100</v>
      </c>
      <c r="K40">
        <v>14.16</v>
      </c>
      <c r="L40" s="5" t="s">
        <v>68</v>
      </c>
      <c r="M40">
        <f>VLOOKUP(L40,Texture!$A$1:C$55,2,FALSE)</f>
        <v>59.76</v>
      </c>
      <c r="N40">
        <f>VLOOKUP(L40,Texture!$A$1:$C$55,3,FALSE)</f>
        <v>71.12</v>
      </c>
      <c r="O40">
        <f t="shared" si="4"/>
        <v>11.360000000000007</v>
      </c>
      <c r="P40" t="s">
        <v>27</v>
      </c>
      <c r="Q40">
        <f>VLOOKUP(P40,Texture!$A$1:G$55,2,FALSE)</f>
        <v>30.22</v>
      </c>
      <c r="R40">
        <f>VLOOKUP(P40,Texture!$A$1:$C$55,3,FALSE)</f>
        <v>32.5</v>
      </c>
      <c r="S40">
        <f t="shared" si="1"/>
        <v>2.2800000000000011</v>
      </c>
      <c r="T40">
        <f t="shared" si="2"/>
        <v>0.51999999999999247</v>
      </c>
    </row>
    <row r="41" spans="1:20" x14ac:dyDescent="0.2">
      <c r="A41">
        <v>40</v>
      </c>
      <c r="B41" t="str">
        <f t="shared" si="0"/>
        <v>ES MM 010 R1</v>
      </c>
      <c r="C41" t="s">
        <v>9</v>
      </c>
      <c r="D41" t="s">
        <v>8</v>
      </c>
      <c r="E41">
        <v>1</v>
      </c>
      <c r="F41" t="s">
        <v>0</v>
      </c>
      <c r="G41">
        <v>7.98</v>
      </c>
      <c r="H41">
        <v>2.5299999999999998</v>
      </c>
      <c r="I41">
        <v>0.193</v>
      </c>
      <c r="J41">
        <v>40</v>
      </c>
      <c r="K41">
        <v>14.24</v>
      </c>
      <c r="L41" t="s">
        <v>55</v>
      </c>
      <c r="M41">
        <f>VLOOKUP(L41,Texture!$A$1:C$55,2,FALSE)</f>
        <v>30.81</v>
      </c>
      <c r="N41">
        <v>42.29</v>
      </c>
      <c r="O41">
        <f t="shared" si="4"/>
        <v>11.48</v>
      </c>
      <c r="P41" t="s">
        <v>15</v>
      </c>
      <c r="Q41">
        <f>VLOOKUP(P41,Texture!$A$1:G$55,2,FALSE)</f>
        <v>30.36</v>
      </c>
      <c r="R41">
        <v>32.99</v>
      </c>
      <c r="S41">
        <f t="shared" si="1"/>
        <v>2.6300000000000026</v>
      </c>
      <c r="T41">
        <f t="shared" si="2"/>
        <v>0.12999999999999723</v>
      </c>
    </row>
  </sheetData>
  <autoFilter ref="A1:T1" xr:uid="{1978D15B-2650-46ED-9269-D65932FD2702}">
    <sortState xmlns:xlrd2="http://schemas.microsoft.com/office/spreadsheetml/2017/richdata2" ref="A2:T41">
      <sortCondition descending="1"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E1CDD-80A4-42D6-A1F4-6137C92C00AC}">
  <dimension ref="A1:W41"/>
  <sheetViews>
    <sheetView zoomScaleNormal="100" workbookViewId="0">
      <pane ySplit="1" topLeftCell="A2" activePane="bottomLeft" state="frozen"/>
      <selection pane="bottomLeft" activeCell="G4" sqref="G4"/>
    </sheetView>
  </sheetViews>
  <sheetFormatPr baseColWidth="10" defaultColWidth="8.83203125" defaultRowHeight="15" x14ac:dyDescent="0.2"/>
  <cols>
    <col min="2" max="2" width="15.1640625" bestFit="1" customWidth="1"/>
    <col min="3" max="3" width="8.83203125" customWidth="1"/>
    <col min="4" max="4" width="11.83203125" customWidth="1"/>
    <col min="5" max="6" width="9.33203125" customWidth="1"/>
    <col min="7" max="7" width="13.1640625" customWidth="1"/>
    <col min="8" max="8" width="19.6640625" customWidth="1"/>
    <col min="9" max="9" width="18.5" customWidth="1"/>
    <col min="10" max="10" width="29.1640625" bestFit="1" customWidth="1"/>
    <col min="11" max="11" width="24" bestFit="1" customWidth="1"/>
    <col min="12" max="12" width="23.1640625" bestFit="1" customWidth="1"/>
    <col min="13" max="13" width="11.33203125" bestFit="1" customWidth="1"/>
    <col min="14" max="14" width="10.83203125" bestFit="1" customWidth="1"/>
    <col min="15" max="15" width="10.83203125" customWidth="1"/>
    <col min="17" max="17" width="12.33203125" bestFit="1" customWidth="1"/>
    <col min="19" max="19" width="18.6640625" bestFit="1" customWidth="1"/>
    <col min="21" max="21" width="10.5" customWidth="1"/>
    <col min="22" max="22" width="13.5" bestFit="1" customWidth="1"/>
  </cols>
  <sheetData>
    <row r="1" spans="1:23" x14ac:dyDescent="0.2">
      <c r="A1" t="s">
        <v>144</v>
      </c>
      <c r="B1" t="s">
        <v>119</v>
      </c>
      <c r="C1" t="s">
        <v>120</v>
      </c>
      <c r="D1" t="s">
        <v>121</v>
      </c>
      <c r="E1" t="s">
        <v>122</v>
      </c>
      <c r="F1" t="s">
        <v>123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153</v>
      </c>
      <c r="P1" t="s">
        <v>154</v>
      </c>
      <c r="Q1" t="s">
        <v>155</v>
      </c>
      <c r="R1" t="s">
        <v>156</v>
      </c>
      <c r="S1" t="s">
        <v>158</v>
      </c>
      <c r="T1" t="s">
        <v>157</v>
      </c>
      <c r="U1" t="s">
        <v>159</v>
      </c>
      <c r="V1" t="s">
        <v>160</v>
      </c>
      <c r="W1" t="s">
        <v>161</v>
      </c>
    </row>
    <row r="2" spans="1:23" x14ac:dyDescent="0.2">
      <c r="A2">
        <v>1</v>
      </c>
      <c r="B2" t="str">
        <f t="shared" ref="B2:B41" si="0">IF(E2=1,CONCATENATE(C2," ",D2," 010 ",F2),CONCATENATE(C2," ",D2," 1020 ",F2))</f>
        <v>SA NM 1020 R2</v>
      </c>
      <c r="C2" t="s">
        <v>5</v>
      </c>
      <c r="D2" t="s">
        <v>6</v>
      </c>
      <c r="E2">
        <v>2</v>
      </c>
      <c r="F2" t="s">
        <v>4</v>
      </c>
      <c r="G2">
        <v>14.07</v>
      </c>
      <c r="H2">
        <v>0.39784128737719898</v>
      </c>
      <c r="I2">
        <v>10.08</v>
      </c>
      <c r="J2">
        <v>25.439</v>
      </c>
      <c r="K2">
        <v>15.244999999999999</v>
      </c>
      <c r="L2">
        <v>252.62700000000001</v>
      </c>
      <c r="M2">
        <v>31.824000000000002</v>
      </c>
      <c r="N2">
        <v>18.605</v>
      </c>
      <c r="O2">
        <v>252.81700000000001</v>
      </c>
      <c r="P2">
        <f t="shared" ref="P2:P41" si="1">M2-J2</f>
        <v>6.3850000000000016</v>
      </c>
      <c r="Q2">
        <f t="shared" ref="Q2:Q41" si="2">N2-K2</f>
        <v>3.3600000000000012</v>
      </c>
      <c r="R2">
        <f t="shared" ref="R2:R41" si="3">O2-L2</f>
        <v>0.18999999999999773</v>
      </c>
      <c r="S2">
        <f t="shared" ref="S2:S41" si="4">(P2+Q2+R2)/I2</f>
        <v>0.98561507936507942</v>
      </c>
      <c r="T2">
        <f t="shared" ref="T2:T41" si="5">P2+Q2+R2</f>
        <v>9.9350000000000005</v>
      </c>
      <c r="U2" s="6">
        <f>P2/T2</f>
        <v>0.64267740312028199</v>
      </c>
      <c r="V2" s="6">
        <f>Q2/T2</f>
        <v>0.3381982888777052</v>
      </c>
      <c r="W2" s="6">
        <f>R2/T2</f>
        <v>1.9124308002012855E-2</v>
      </c>
    </row>
    <row r="3" spans="1:23" x14ac:dyDescent="0.2">
      <c r="A3">
        <v>2</v>
      </c>
      <c r="B3" t="str">
        <f t="shared" si="0"/>
        <v>SA NM 1020 R1</v>
      </c>
      <c r="C3" t="s">
        <v>5</v>
      </c>
      <c r="D3" t="s">
        <v>6</v>
      </c>
      <c r="E3">
        <v>2</v>
      </c>
      <c r="F3" t="s">
        <v>0</v>
      </c>
      <c r="G3">
        <v>14.69</v>
      </c>
      <c r="H3">
        <v>0.41358591369638098</v>
      </c>
      <c r="I3">
        <v>10.028</v>
      </c>
      <c r="J3">
        <v>25.952999999999999</v>
      </c>
      <c r="K3">
        <v>25.491</v>
      </c>
      <c r="L3">
        <v>187.56899999999999</v>
      </c>
      <c r="M3">
        <v>32.11</v>
      </c>
      <c r="N3">
        <v>28.893999999999998</v>
      </c>
      <c r="O3">
        <v>187.79300000000001</v>
      </c>
      <c r="P3">
        <f t="shared" si="1"/>
        <v>6.157</v>
      </c>
      <c r="Q3">
        <f t="shared" si="2"/>
        <v>3.4029999999999987</v>
      </c>
      <c r="R3">
        <f t="shared" si="3"/>
        <v>0.22400000000001796</v>
      </c>
      <c r="S3">
        <f t="shared" si="4"/>
        <v>0.97566812923813484</v>
      </c>
      <c r="T3">
        <f t="shared" si="5"/>
        <v>9.7840000000000167</v>
      </c>
      <c r="U3" s="6">
        <f t="shared" ref="U3:U10" si="6">P3/T3</f>
        <v>0.6292927228127545</v>
      </c>
      <c r="V3" s="6">
        <f t="shared" ref="V3:V10" si="7">Q3/T3</f>
        <v>0.34781275551921431</v>
      </c>
      <c r="W3" s="6">
        <f t="shared" ref="W3:W10" si="8">R3/T3</f>
        <v>2.2894521668031232E-2</v>
      </c>
    </row>
    <row r="4" spans="1:23" x14ac:dyDescent="0.2">
      <c r="A4">
        <v>3</v>
      </c>
      <c r="B4" t="str">
        <f t="shared" si="0"/>
        <v>SA NM 010 R2</v>
      </c>
      <c r="C4" t="s">
        <v>5</v>
      </c>
      <c r="D4" t="s">
        <v>6</v>
      </c>
      <c r="E4">
        <v>1</v>
      </c>
      <c r="F4" t="s">
        <v>4</v>
      </c>
      <c r="G4">
        <v>14.03</v>
      </c>
      <c r="H4">
        <v>0.410101590450967</v>
      </c>
      <c r="I4">
        <v>10.057</v>
      </c>
      <c r="J4">
        <v>25.405000000000001</v>
      </c>
      <c r="K4">
        <v>15.273</v>
      </c>
      <c r="L4">
        <f>280.949+25.549</f>
        <v>306.49799999999999</v>
      </c>
      <c r="M4">
        <v>30.545999999999999</v>
      </c>
      <c r="N4">
        <v>19.577000000000002</v>
      </c>
      <c r="O4">
        <f>281.226+25.749</f>
        <v>306.97500000000002</v>
      </c>
      <c r="P4">
        <f t="shared" si="1"/>
        <v>5.1409999999999982</v>
      </c>
      <c r="Q4">
        <f t="shared" si="2"/>
        <v>4.304000000000002</v>
      </c>
      <c r="R4">
        <f t="shared" si="3"/>
        <v>0.47700000000003229</v>
      </c>
      <c r="S4">
        <f t="shared" si="4"/>
        <v>0.98657651387093892</v>
      </c>
      <c r="T4">
        <f t="shared" si="5"/>
        <v>9.9220000000000326</v>
      </c>
      <c r="U4" s="6">
        <f t="shared" si="6"/>
        <v>0.51814150372908496</v>
      </c>
      <c r="V4" s="6">
        <f t="shared" si="7"/>
        <v>0.4337835113888317</v>
      </c>
      <c r="W4" s="6">
        <f t="shared" si="8"/>
        <v>4.8074984882083324E-2</v>
      </c>
    </row>
    <row r="5" spans="1:23" x14ac:dyDescent="0.2">
      <c r="A5">
        <v>4</v>
      </c>
      <c r="B5" t="str">
        <f t="shared" si="0"/>
        <v>SA NM 010 R1</v>
      </c>
      <c r="C5" t="s">
        <v>5</v>
      </c>
      <c r="D5" t="s">
        <v>6</v>
      </c>
      <c r="E5">
        <v>1</v>
      </c>
      <c r="F5" t="s">
        <v>0</v>
      </c>
      <c r="G5">
        <v>14.82</v>
      </c>
      <c r="H5">
        <v>0.49968970777724597</v>
      </c>
      <c r="I5">
        <v>10.023</v>
      </c>
      <c r="J5">
        <v>25.402999999999999</v>
      </c>
      <c r="K5">
        <v>25.366</v>
      </c>
      <c r="L5">
        <v>177.49199999999999</v>
      </c>
      <c r="M5">
        <v>30.704999999999998</v>
      </c>
      <c r="N5">
        <v>29.331</v>
      </c>
      <c r="O5">
        <v>177.99700000000001</v>
      </c>
      <c r="P5">
        <f t="shared" si="1"/>
        <v>5.3019999999999996</v>
      </c>
      <c r="Q5">
        <f t="shared" si="2"/>
        <v>3.9649999999999999</v>
      </c>
      <c r="R5">
        <f t="shared" si="3"/>
        <v>0.50500000000002387</v>
      </c>
      <c r="S5">
        <f t="shared" si="4"/>
        <v>0.97495759752569322</v>
      </c>
      <c r="T5">
        <f t="shared" si="5"/>
        <v>9.7720000000000233</v>
      </c>
      <c r="U5" s="6">
        <f t="shared" si="6"/>
        <v>0.54257060990585215</v>
      </c>
      <c r="V5" s="6">
        <f t="shared" si="7"/>
        <v>0.4057511256651648</v>
      </c>
      <c r="W5" s="6">
        <f t="shared" si="8"/>
        <v>5.167826442898308E-2</v>
      </c>
    </row>
    <row r="6" spans="1:23" x14ac:dyDescent="0.2">
      <c r="A6">
        <v>5</v>
      </c>
      <c r="B6" t="str">
        <f t="shared" si="0"/>
        <v>SA MM 1020 R2</v>
      </c>
      <c r="C6" t="s">
        <v>5</v>
      </c>
      <c r="D6" t="s">
        <v>8</v>
      </c>
      <c r="E6">
        <v>2</v>
      </c>
      <c r="F6" t="s">
        <v>4</v>
      </c>
      <c r="G6">
        <v>14.83</v>
      </c>
      <c r="H6">
        <v>0.41230231384881899</v>
      </c>
      <c r="I6">
        <v>10.134</v>
      </c>
      <c r="J6">
        <v>25.391999999999999</v>
      </c>
      <c r="K6">
        <v>15.262</v>
      </c>
      <c r="L6">
        <f>223.796+35.749</f>
        <v>259.54500000000002</v>
      </c>
      <c r="M6">
        <v>32.113</v>
      </c>
      <c r="N6">
        <v>18.21</v>
      </c>
      <c r="O6">
        <f>224.082+35.825</f>
        <v>259.90699999999998</v>
      </c>
      <c r="P6">
        <f t="shared" si="1"/>
        <v>6.7210000000000001</v>
      </c>
      <c r="Q6">
        <f t="shared" si="2"/>
        <v>2.9480000000000004</v>
      </c>
      <c r="R6">
        <f t="shared" si="3"/>
        <v>0.36199999999996635</v>
      </c>
      <c r="S6">
        <f t="shared" si="4"/>
        <v>0.98983619498716857</v>
      </c>
      <c r="T6">
        <f t="shared" si="5"/>
        <v>10.030999999999967</v>
      </c>
      <c r="U6" s="6">
        <f t="shared" si="6"/>
        <v>0.6700229289203492</v>
      </c>
      <c r="V6" s="6">
        <f t="shared" si="7"/>
        <v>0.29388894427275547</v>
      </c>
      <c r="W6" s="6">
        <f t="shared" si="8"/>
        <v>3.6088126806895382E-2</v>
      </c>
    </row>
    <row r="7" spans="1:23" x14ac:dyDescent="0.2">
      <c r="A7">
        <v>6</v>
      </c>
      <c r="B7" t="str">
        <f t="shared" si="0"/>
        <v>SA MM 1020 R1</v>
      </c>
      <c r="C7" t="s">
        <v>5</v>
      </c>
      <c r="D7" t="s">
        <v>8</v>
      </c>
      <c r="E7">
        <v>2</v>
      </c>
      <c r="F7" t="s">
        <v>0</v>
      </c>
      <c r="G7">
        <v>14.54</v>
      </c>
      <c r="H7">
        <v>0.59821211454651302</v>
      </c>
      <c r="I7">
        <v>10.085000000000001</v>
      </c>
      <c r="J7">
        <v>25.448</v>
      </c>
      <c r="K7">
        <v>15.256</v>
      </c>
      <c r="L7">
        <f>223.413+35.762</f>
        <v>259.17500000000001</v>
      </c>
      <c r="M7">
        <v>31.827999999999999</v>
      </c>
      <c r="N7">
        <v>18.181000000000001</v>
      </c>
      <c r="O7">
        <f>223.759+35.827</f>
        <v>259.58600000000001</v>
      </c>
      <c r="P7">
        <f t="shared" si="1"/>
        <v>6.379999999999999</v>
      </c>
      <c r="Q7">
        <f t="shared" si="2"/>
        <v>2.9250000000000007</v>
      </c>
      <c r="R7">
        <f t="shared" si="3"/>
        <v>0.41100000000000136</v>
      </c>
      <c r="S7">
        <f t="shared" si="4"/>
        <v>0.96341100644521571</v>
      </c>
      <c r="T7">
        <f t="shared" si="5"/>
        <v>9.7160000000000011</v>
      </c>
      <c r="U7" s="6">
        <f t="shared" si="6"/>
        <v>0.6566488266776449</v>
      </c>
      <c r="V7" s="6">
        <f t="shared" si="7"/>
        <v>0.30104981473857556</v>
      </c>
      <c r="W7" s="6">
        <f t="shared" si="8"/>
        <v>4.2301358583779466E-2</v>
      </c>
    </row>
    <row r="8" spans="1:23" x14ac:dyDescent="0.2">
      <c r="A8">
        <v>7</v>
      </c>
      <c r="B8" t="str">
        <f t="shared" si="0"/>
        <v>SA MM 010 R2</v>
      </c>
      <c r="C8" t="s">
        <v>5</v>
      </c>
      <c r="D8" t="s">
        <v>8</v>
      </c>
      <c r="E8">
        <v>1</v>
      </c>
      <c r="F8" t="s">
        <v>4</v>
      </c>
      <c r="G8">
        <v>14.36</v>
      </c>
      <c r="H8">
        <v>0.460791777540002</v>
      </c>
      <c r="I8">
        <v>10.013</v>
      </c>
      <c r="J8">
        <v>25.443000000000001</v>
      </c>
      <c r="K8">
        <v>15.781000000000001</v>
      </c>
      <c r="L8">
        <f>281.807+25.387</f>
        <v>307.19400000000002</v>
      </c>
      <c r="M8">
        <v>33.386000000000003</v>
      </c>
      <c r="N8">
        <v>17.245000000000001</v>
      </c>
      <c r="O8">
        <f>281.888+25.703</f>
        <v>307.59099999999995</v>
      </c>
      <c r="P8">
        <f t="shared" si="1"/>
        <v>7.9430000000000014</v>
      </c>
      <c r="Q8">
        <f t="shared" si="2"/>
        <v>1.4640000000000004</v>
      </c>
      <c r="R8">
        <f t="shared" si="3"/>
        <v>0.39699999999993452</v>
      </c>
      <c r="S8">
        <f t="shared" si="4"/>
        <v>0.97912713472485136</v>
      </c>
      <c r="T8">
        <f t="shared" si="5"/>
        <v>9.8039999999999363</v>
      </c>
      <c r="U8" s="6">
        <f t="shared" si="6"/>
        <v>0.81017951856385695</v>
      </c>
      <c r="V8" s="6">
        <f t="shared" si="7"/>
        <v>0.14932680538555793</v>
      </c>
      <c r="W8" s="6">
        <f t="shared" si="8"/>
        <v>4.0493676050585181E-2</v>
      </c>
    </row>
    <row r="9" spans="1:23" x14ac:dyDescent="0.2">
      <c r="A9">
        <v>8</v>
      </c>
      <c r="B9" t="str">
        <f t="shared" si="0"/>
        <v>SA MM 010 R1</v>
      </c>
      <c r="C9" t="s">
        <v>5</v>
      </c>
      <c r="D9" t="s">
        <v>8</v>
      </c>
      <c r="E9">
        <v>1</v>
      </c>
      <c r="F9" t="s">
        <v>0</v>
      </c>
      <c r="G9">
        <v>14.59</v>
      </c>
      <c r="H9">
        <v>0.42120553678987299</v>
      </c>
      <c r="I9">
        <v>10</v>
      </c>
      <c r="J9">
        <v>25.349</v>
      </c>
      <c r="K9">
        <v>15.243</v>
      </c>
      <c r="L9">
        <f>25.516+223.941</f>
        <v>249.45699999999999</v>
      </c>
      <c r="M9">
        <v>33.109000000000002</v>
      </c>
      <c r="N9">
        <v>16.501999999999999</v>
      </c>
      <c r="O9">
        <f>25.893+224.093</f>
        <v>249.98599999999999</v>
      </c>
      <c r="P9">
        <f t="shared" si="1"/>
        <v>7.7600000000000016</v>
      </c>
      <c r="Q9">
        <f t="shared" si="2"/>
        <v>1.2589999999999986</v>
      </c>
      <c r="R9">
        <f t="shared" si="3"/>
        <v>0.52899999999999636</v>
      </c>
      <c r="S9">
        <f t="shared" si="4"/>
        <v>0.95479999999999965</v>
      </c>
      <c r="T9">
        <f t="shared" si="5"/>
        <v>9.5479999999999965</v>
      </c>
      <c r="U9" s="6">
        <f t="shared" si="6"/>
        <v>0.81273565144532933</v>
      </c>
      <c r="V9" s="6">
        <f t="shared" si="7"/>
        <v>0.1318600754084624</v>
      </c>
      <c r="W9" s="6">
        <f t="shared" si="8"/>
        <v>5.5404273146208272E-2</v>
      </c>
    </row>
    <row r="10" spans="1:23" x14ac:dyDescent="0.2">
      <c r="A10">
        <v>9</v>
      </c>
      <c r="B10" t="str">
        <f t="shared" si="0"/>
        <v>PP NM 1020 R2</v>
      </c>
      <c r="C10" t="s">
        <v>11</v>
      </c>
      <c r="D10" t="s">
        <v>6</v>
      </c>
      <c r="E10">
        <v>2</v>
      </c>
      <c r="F10" t="s">
        <v>4</v>
      </c>
      <c r="G10">
        <v>14.22</v>
      </c>
      <c r="H10">
        <v>0.40493941296960301</v>
      </c>
      <c r="I10">
        <v>10.000999999999999</v>
      </c>
      <c r="J10">
        <v>25.382000000000001</v>
      </c>
      <c r="K10">
        <v>25.393999999999998</v>
      </c>
      <c r="L10">
        <v>177.94</v>
      </c>
      <c r="M10">
        <v>32.710999999999999</v>
      </c>
      <c r="N10">
        <v>27.760999999999999</v>
      </c>
      <c r="O10">
        <v>178.23699999999999</v>
      </c>
      <c r="P10">
        <f t="shared" si="1"/>
        <v>7.3289999999999971</v>
      </c>
      <c r="Q10">
        <f t="shared" si="2"/>
        <v>2.3670000000000009</v>
      </c>
      <c r="R10">
        <f t="shared" si="3"/>
        <v>0.29699999999999704</v>
      </c>
      <c r="S10">
        <f t="shared" si="4"/>
        <v>0.99920007999200033</v>
      </c>
      <c r="T10">
        <f t="shared" si="5"/>
        <v>9.992999999999995</v>
      </c>
      <c r="U10" s="6">
        <f t="shared" si="6"/>
        <v>0.73341338937256084</v>
      </c>
      <c r="V10" s="6">
        <f t="shared" si="7"/>
        <v>0.23686580606424518</v>
      </c>
      <c r="W10" s="6">
        <f t="shared" si="8"/>
        <v>2.9720804563193957E-2</v>
      </c>
    </row>
    <row r="11" spans="1:23" x14ac:dyDescent="0.2">
      <c r="A11">
        <v>10</v>
      </c>
      <c r="B11" t="str">
        <f t="shared" si="0"/>
        <v>PP NM 1020 R1</v>
      </c>
      <c r="C11" t="s">
        <v>11</v>
      </c>
      <c r="D11" t="s">
        <v>6</v>
      </c>
      <c r="E11">
        <v>2</v>
      </c>
      <c r="F11" t="s">
        <v>0</v>
      </c>
      <c r="G11">
        <v>14.3</v>
      </c>
      <c r="H11">
        <v>0.54174126207638595</v>
      </c>
      <c r="I11">
        <v>10.055999999999999</v>
      </c>
      <c r="J11">
        <v>25.361999999999998</v>
      </c>
      <c r="K11">
        <v>25.353000000000002</v>
      </c>
      <c r="L11">
        <v>291.42099999999999</v>
      </c>
      <c r="M11">
        <v>32.581000000000003</v>
      </c>
      <c r="N11">
        <v>27.606000000000002</v>
      </c>
      <c r="O11">
        <v>291.91800000000001</v>
      </c>
      <c r="P11">
        <f t="shared" si="1"/>
        <v>7.2190000000000047</v>
      </c>
      <c r="Q11">
        <f t="shared" si="2"/>
        <v>2.2530000000000001</v>
      </c>
      <c r="R11">
        <f t="shared" si="3"/>
        <v>0.4970000000000141</v>
      </c>
      <c r="S11">
        <f t="shared" si="4"/>
        <v>0.99134844868735283</v>
      </c>
      <c r="T11">
        <f t="shared" si="5"/>
        <v>9.969000000000019</v>
      </c>
      <c r="U11" s="6">
        <f>P11/T11</f>
        <v>0.72414484903199827</v>
      </c>
      <c r="V11" s="6">
        <f>Q11/T11</f>
        <v>0.22600060186578352</v>
      </c>
      <c r="W11" s="6">
        <f>R11/T11</f>
        <v>4.985454910221819E-2</v>
      </c>
    </row>
    <row r="12" spans="1:23" x14ac:dyDescent="0.2">
      <c r="A12">
        <v>11</v>
      </c>
      <c r="B12" t="str">
        <f t="shared" si="0"/>
        <v>PP NM 010 R2</v>
      </c>
      <c r="C12" t="s">
        <v>11</v>
      </c>
      <c r="D12" t="s">
        <v>6</v>
      </c>
      <c r="E12">
        <v>1</v>
      </c>
      <c r="F12" t="s">
        <v>4</v>
      </c>
      <c r="G12">
        <v>14.37</v>
      </c>
      <c r="H12">
        <v>0.36394247404719599</v>
      </c>
      <c r="I12">
        <v>10.105</v>
      </c>
      <c r="J12">
        <v>25.376000000000001</v>
      </c>
      <c r="K12">
        <v>15.252000000000001</v>
      </c>
      <c r="L12">
        <v>177.28899999999999</v>
      </c>
      <c r="M12">
        <v>32.159999999999997</v>
      </c>
      <c r="N12">
        <v>17.658000000000001</v>
      </c>
      <c r="O12">
        <v>177.73599999999999</v>
      </c>
      <c r="P12">
        <f t="shared" si="1"/>
        <v>6.7839999999999954</v>
      </c>
      <c r="Q12">
        <f t="shared" si="2"/>
        <v>2.4060000000000006</v>
      </c>
      <c r="R12">
        <f t="shared" si="3"/>
        <v>0.44700000000000273</v>
      </c>
      <c r="S12">
        <f t="shared" si="4"/>
        <v>0.9536862939139038</v>
      </c>
      <c r="T12">
        <f t="shared" si="5"/>
        <v>9.6369999999999987</v>
      </c>
      <c r="U12" s="6">
        <f t="shared" ref="U12:U41" si="9">P12/T12</f>
        <v>0.70395351250389082</v>
      </c>
      <c r="V12" s="6">
        <f t="shared" ref="V12:V41" si="10">Q12/T12</f>
        <v>0.24966275811974689</v>
      </c>
      <c r="W12" s="6">
        <f t="shared" ref="W12:W41" si="11">R12/T12</f>
        <v>4.6383729376362225E-2</v>
      </c>
    </row>
    <row r="13" spans="1:23" x14ac:dyDescent="0.2">
      <c r="A13">
        <v>12</v>
      </c>
      <c r="B13" t="str">
        <f t="shared" si="0"/>
        <v>PP NM 010 R1</v>
      </c>
      <c r="C13" t="s">
        <v>11</v>
      </c>
      <c r="D13" t="s">
        <v>6</v>
      </c>
      <c r="E13">
        <v>1</v>
      </c>
      <c r="F13" t="s">
        <v>0</v>
      </c>
      <c r="G13">
        <v>14.08</v>
      </c>
      <c r="H13">
        <v>0.57486915761939095</v>
      </c>
      <c r="I13">
        <v>10.026</v>
      </c>
      <c r="J13">
        <v>25.393000000000001</v>
      </c>
      <c r="K13">
        <v>25.401</v>
      </c>
      <c r="L13">
        <v>180.16399999999999</v>
      </c>
      <c r="M13">
        <v>32.408000000000001</v>
      </c>
      <c r="N13">
        <v>27.843</v>
      </c>
      <c r="O13">
        <v>180.72800000000001</v>
      </c>
      <c r="P13">
        <f t="shared" si="1"/>
        <v>7.0150000000000006</v>
      </c>
      <c r="Q13">
        <f t="shared" si="2"/>
        <v>2.4420000000000002</v>
      </c>
      <c r="R13">
        <f t="shared" si="3"/>
        <v>0.56400000000002137</v>
      </c>
      <c r="S13">
        <f t="shared" si="4"/>
        <v>0.99950129662876741</v>
      </c>
      <c r="T13">
        <f t="shared" si="5"/>
        <v>10.021000000000022</v>
      </c>
      <c r="U13" s="6">
        <f t="shared" si="9"/>
        <v>0.70002993713202122</v>
      </c>
      <c r="V13" s="6">
        <f t="shared" si="10"/>
        <v>0.24368825466520255</v>
      </c>
      <c r="W13" s="6">
        <f t="shared" si="11"/>
        <v>5.628180820277618E-2</v>
      </c>
    </row>
    <row r="14" spans="1:23" x14ac:dyDescent="0.2">
      <c r="A14">
        <v>13</v>
      </c>
      <c r="B14" t="str">
        <f t="shared" si="0"/>
        <v>PP MM 1020 R2</v>
      </c>
      <c r="C14" t="s">
        <v>11</v>
      </c>
      <c r="D14" t="s">
        <v>8</v>
      </c>
      <c r="E14">
        <v>2</v>
      </c>
      <c r="F14" t="s">
        <v>4</v>
      </c>
      <c r="G14">
        <v>14.82</v>
      </c>
      <c r="H14">
        <v>0.56739427169616596</v>
      </c>
      <c r="I14">
        <v>10.048</v>
      </c>
      <c r="J14">
        <v>25.393000000000001</v>
      </c>
      <c r="K14">
        <v>15.845000000000001</v>
      </c>
      <c r="L14">
        <v>160.369</v>
      </c>
      <c r="M14">
        <v>32.764000000000003</v>
      </c>
      <c r="N14">
        <v>17.957999999999998</v>
      </c>
      <c r="O14">
        <v>160.65100000000001</v>
      </c>
      <c r="P14">
        <f t="shared" si="1"/>
        <v>7.3710000000000022</v>
      </c>
      <c r="Q14">
        <f t="shared" si="2"/>
        <v>2.1129999999999978</v>
      </c>
      <c r="R14">
        <f t="shared" si="3"/>
        <v>0.28200000000001069</v>
      </c>
      <c r="S14">
        <f t="shared" si="4"/>
        <v>0.97193471337579729</v>
      </c>
      <c r="T14">
        <f t="shared" si="5"/>
        <v>9.7660000000000107</v>
      </c>
      <c r="U14" s="6">
        <f t="shared" si="9"/>
        <v>0.75476141716158041</v>
      </c>
      <c r="V14" s="6">
        <f t="shared" si="10"/>
        <v>0.21636289166495959</v>
      </c>
      <c r="W14" s="6">
        <f t="shared" si="11"/>
        <v>2.8875691173460002E-2</v>
      </c>
    </row>
    <row r="15" spans="1:23" x14ac:dyDescent="0.2">
      <c r="A15">
        <v>14</v>
      </c>
      <c r="B15" t="str">
        <f t="shared" si="0"/>
        <v>PP MM 1020 R1</v>
      </c>
      <c r="C15" t="s">
        <v>11</v>
      </c>
      <c r="D15" t="s">
        <v>8</v>
      </c>
      <c r="E15">
        <v>2</v>
      </c>
      <c r="F15" t="s">
        <v>0</v>
      </c>
      <c r="G15">
        <v>14.14</v>
      </c>
      <c r="H15">
        <v>0.43140987877798798</v>
      </c>
      <c r="I15">
        <v>10.006</v>
      </c>
      <c r="J15">
        <v>25.420999999999999</v>
      </c>
      <c r="K15">
        <v>15.266999999999999</v>
      </c>
      <c r="L15">
        <f>264.699+35.701</f>
        <v>300.40000000000003</v>
      </c>
      <c r="M15">
        <v>32.823999999999998</v>
      </c>
      <c r="N15">
        <v>17.314</v>
      </c>
      <c r="O15">
        <f>264.834+35.733</f>
        <v>300.56700000000001</v>
      </c>
      <c r="P15">
        <f t="shared" si="1"/>
        <v>7.4029999999999987</v>
      </c>
      <c r="Q15">
        <f t="shared" si="2"/>
        <v>2.0470000000000006</v>
      </c>
      <c r="R15">
        <f t="shared" si="3"/>
        <v>0.16699999999997317</v>
      </c>
      <c r="S15">
        <f t="shared" si="4"/>
        <v>0.96112332600439454</v>
      </c>
      <c r="T15">
        <f t="shared" si="5"/>
        <v>9.6169999999999725</v>
      </c>
      <c r="U15" s="6">
        <f t="shared" si="9"/>
        <v>0.76978267651034837</v>
      </c>
      <c r="V15" s="6">
        <f t="shared" si="10"/>
        <v>0.21285224082354232</v>
      </c>
      <c r="W15" s="6">
        <f t="shared" si="11"/>
        <v>1.7365082666109352E-2</v>
      </c>
    </row>
    <row r="16" spans="1:23" x14ac:dyDescent="0.2">
      <c r="A16">
        <v>15</v>
      </c>
      <c r="B16" t="str">
        <f t="shared" si="0"/>
        <v>PP MM 010 R2</v>
      </c>
      <c r="C16" t="s">
        <v>11</v>
      </c>
      <c r="D16" t="s">
        <v>8</v>
      </c>
      <c r="E16">
        <v>1</v>
      </c>
      <c r="F16" t="s">
        <v>4</v>
      </c>
      <c r="G16">
        <v>14.23</v>
      </c>
      <c r="H16">
        <v>0.540694636781199</v>
      </c>
      <c r="I16">
        <v>10.071</v>
      </c>
      <c r="J16">
        <v>25.388999999999999</v>
      </c>
      <c r="K16">
        <v>25.37</v>
      </c>
      <c r="L16">
        <v>182.578</v>
      </c>
      <c r="M16">
        <v>32.972000000000001</v>
      </c>
      <c r="N16">
        <v>27.106999999999999</v>
      </c>
      <c r="O16">
        <v>182.97300000000001</v>
      </c>
      <c r="P16">
        <f t="shared" si="1"/>
        <v>7.583000000000002</v>
      </c>
      <c r="Q16">
        <f t="shared" si="2"/>
        <v>1.7369999999999983</v>
      </c>
      <c r="R16">
        <f t="shared" si="3"/>
        <v>0.39500000000001023</v>
      </c>
      <c r="S16">
        <f t="shared" si="4"/>
        <v>0.96465097805580491</v>
      </c>
      <c r="T16">
        <f t="shared" si="5"/>
        <v>9.7150000000000105</v>
      </c>
      <c r="U16" s="6">
        <f t="shared" si="9"/>
        <v>0.78054554812146104</v>
      </c>
      <c r="V16" s="6">
        <f t="shared" si="10"/>
        <v>0.17879567678847108</v>
      </c>
      <c r="W16" s="6">
        <f t="shared" si="11"/>
        <v>4.0658775090067913E-2</v>
      </c>
    </row>
    <row r="17" spans="1:23" x14ac:dyDescent="0.2">
      <c r="A17">
        <v>16</v>
      </c>
      <c r="B17" t="str">
        <f t="shared" si="0"/>
        <v>PP MM 010 R1</v>
      </c>
      <c r="C17" t="s">
        <v>11</v>
      </c>
      <c r="D17" t="s">
        <v>8</v>
      </c>
      <c r="E17">
        <v>1</v>
      </c>
      <c r="F17" t="s">
        <v>0</v>
      </c>
      <c r="G17">
        <v>14.56</v>
      </c>
      <c r="H17">
        <v>0.41454060625197497</v>
      </c>
      <c r="I17">
        <v>10.029999999999999</v>
      </c>
      <c r="J17">
        <v>25.393000000000001</v>
      </c>
      <c r="K17">
        <v>25.37</v>
      </c>
      <c r="L17">
        <v>177.155</v>
      </c>
      <c r="M17">
        <v>32.985999999999997</v>
      </c>
      <c r="N17">
        <v>26.911000000000001</v>
      </c>
      <c r="O17">
        <v>177.661</v>
      </c>
      <c r="P17">
        <f t="shared" si="1"/>
        <v>7.5929999999999964</v>
      </c>
      <c r="Q17">
        <f t="shared" si="2"/>
        <v>1.5410000000000004</v>
      </c>
      <c r="R17">
        <f t="shared" si="3"/>
        <v>0.50600000000000023</v>
      </c>
      <c r="S17">
        <f t="shared" si="4"/>
        <v>0.96111665004985025</v>
      </c>
      <c r="T17">
        <f t="shared" si="5"/>
        <v>9.639999999999997</v>
      </c>
      <c r="U17" s="6">
        <f t="shared" si="9"/>
        <v>0.7876556016597509</v>
      </c>
      <c r="V17" s="6">
        <f t="shared" si="10"/>
        <v>0.15985477178423246</v>
      </c>
      <c r="W17" s="6">
        <f t="shared" si="11"/>
        <v>5.248962655601664E-2</v>
      </c>
    </row>
    <row r="18" spans="1:23" x14ac:dyDescent="0.2">
      <c r="A18">
        <v>17</v>
      </c>
      <c r="B18" t="str">
        <f t="shared" si="0"/>
        <v>OI NM 1020 R2</v>
      </c>
      <c r="C18" t="s">
        <v>7</v>
      </c>
      <c r="D18" t="s">
        <v>6</v>
      </c>
      <c r="E18">
        <v>2</v>
      </c>
      <c r="F18" t="s">
        <v>4</v>
      </c>
      <c r="G18">
        <v>14.86</v>
      </c>
      <c r="H18">
        <v>0.471726633672375</v>
      </c>
      <c r="I18">
        <v>10.099</v>
      </c>
      <c r="J18">
        <v>25.408999999999999</v>
      </c>
      <c r="K18">
        <v>15.250999999999999</v>
      </c>
      <c r="L18">
        <f>257.276+35.759</f>
        <v>293.03500000000003</v>
      </c>
      <c r="M18">
        <v>32.777999999999999</v>
      </c>
      <c r="N18">
        <v>17.122</v>
      </c>
      <c r="O18">
        <f>257.833+35.875</f>
        <v>293.70800000000003</v>
      </c>
      <c r="P18">
        <f t="shared" si="1"/>
        <v>7.3689999999999998</v>
      </c>
      <c r="Q18">
        <f t="shared" si="2"/>
        <v>1.8710000000000004</v>
      </c>
      <c r="R18">
        <f t="shared" si="3"/>
        <v>0.67300000000000182</v>
      </c>
      <c r="S18">
        <f t="shared" si="4"/>
        <v>0.98158233488464219</v>
      </c>
      <c r="T18">
        <f t="shared" si="5"/>
        <v>9.913000000000002</v>
      </c>
      <c r="U18" s="6">
        <f t="shared" si="9"/>
        <v>0.74336729547059399</v>
      </c>
      <c r="V18" s="6">
        <f t="shared" si="10"/>
        <v>0.18874205588621004</v>
      </c>
      <c r="W18" s="6">
        <f t="shared" si="11"/>
        <v>6.7890648643195967E-2</v>
      </c>
    </row>
    <row r="19" spans="1:23" x14ac:dyDescent="0.2">
      <c r="A19">
        <v>18</v>
      </c>
      <c r="B19" t="str">
        <f t="shared" si="0"/>
        <v>OI NM 1020 R1</v>
      </c>
      <c r="C19" t="s">
        <v>7</v>
      </c>
      <c r="D19" t="s">
        <v>6</v>
      </c>
      <c r="E19">
        <v>2</v>
      </c>
      <c r="F19" t="s">
        <v>0</v>
      </c>
      <c r="G19">
        <v>14.65</v>
      </c>
      <c r="H19">
        <v>0.48127403922107298</v>
      </c>
      <c r="I19">
        <v>10.004</v>
      </c>
      <c r="J19">
        <v>25.390999999999998</v>
      </c>
      <c r="K19">
        <v>15.848000000000001</v>
      </c>
      <c r="L19">
        <f>227.514+205.832</f>
        <v>433.346</v>
      </c>
      <c r="M19">
        <v>32.430999999999997</v>
      </c>
      <c r="N19">
        <v>17.602</v>
      </c>
      <c r="O19">
        <f>228.105+205.986</f>
        <v>434.09100000000001</v>
      </c>
      <c r="P19">
        <f t="shared" si="1"/>
        <v>7.0399999999999991</v>
      </c>
      <c r="Q19">
        <f t="shared" si="2"/>
        <v>1.7539999999999996</v>
      </c>
      <c r="R19">
        <f t="shared" si="3"/>
        <v>0.74500000000000455</v>
      </c>
      <c r="S19">
        <f t="shared" si="4"/>
        <v>0.95351859256297522</v>
      </c>
      <c r="T19">
        <f t="shared" si="5"/>
        <v>9.5390000000000033</v>
      </c>
      <c r="U19" s="6">
        <f t="shared" si="9"/>
        <v>0.73802285354858965</v>
      </c>
      <c r="V19" s="6">
        <f t="shared" si="10"/>
        <v>0.18387671663696392</v>
      </c>
      <c r="W19" s="6">
        <f t="shared" si="11"/>
        <v>7.8100429814446412E-2</v>
      </c>
    </row>
    <row r="20" spans="1:23" x14ac:dyDescent="0.2">
      <c r="A20">
        <v>19</v>
      </c>
      <c r="B20" t="str">
        <f t="shared" si="0"/>
        <v>OI NM 010 R2</v>
      </c>
      <c r="C20" t="s">
        <v>7</v>
      </c>
      <c r="D20" t="s">
        <v>6</v>
      </c>
      <c r="E20">
        <v>1</v>
      </c>
      <c r="F20" t="s">
        <v>4</v>
      </c>
      <c r="G20">
        <v>13.61</v>
      </c>
      <c r="H20">
        <v>0.58294663867627905</v>
      </c>
      <c r="I20">
        <v>10.079000000000001</v>
      </c>
      <c r="J20">
        <v>25.512</v>
      </c>
      <c r="K20">
        <v>25.405000000000001</v>
      </c>
      <c r="L20">
        <v>215.40299999999999</v>
      </c>
      <c r="M20">
        <v>33.021000000000001</v>
      </c>
      <c r="N20">
        <v>26.925999999999998</v>
      </c>
      <c r="O20">
        <v>216.108</v>
      </c>
      <c r="P20">
        <f t="shared" si="1"/>
        <v>7.5090000000000003</v>
      </c>
      <c r="Q20">
        <f t="shared" si="2"/>
        <v>1.5209999999999972</v>
      </c>
      <c r="R20">
        <f t="shared" si="3"/>
        <v>0.70500000000001251</v>
      </c>
      <c r="S20">
        <f t="shared" si="4"/>
        <v>0.96586962992360448</v>
      </c>
      <c r="T20">
        <f t="shared" si="5"/>
        <v>9.7350000000000101</v>
      </c>
      <c r="U20" s="6">
        <f t="shared" si="9"/>
        <v>0.77134052388289598</v>
      </c>
      <c r="V20" s="6">
        <f t="shared" si="10"/>
        <v>0.15624036979969139</v>
      </c>
      <c r="W20" s="6">
        <f t="shared" si="11"/>
        <v>7.2419106317412607E-2</v>
      </c>
    </row>
    <row r="21" spans="1:23" x14ac:dyDescent="0.2">
      <c r="A21">
        <v>20</v>
      </c>
      <c r="B21" t="str">
        <f t="shared" si="0"/>
        <v>OI NM 010 R1</v>
      </c>
      <c r="C21" t="s">
        <v>7</v>
      </c>
      <c r="D21" t="s">
        <v>6</v>
      </c>
      <c r="E21">
        <v>1</v>
      </c>
      <c r="F21" t="s">
        <v>0</v>
      </c>
      <c r="G21">
        <v>14.63</v>
      </c>
      <c r="H21">
        <v>0.47357010272372801</v>
      </c>
      <c r="I21">
        <v>10.031000000000001</v>
      </c>
      <c r="J21">
        <v>25.390999999999998</v>
      </c>
      <c r="K21">
        <v>15.815</v>
      </c>
      <c r="L21">
        <f>105.591+25.4</f>
        <v>130.99099999999999</v>
      </c>
      <c r="M21">
        <v>32.723999999999997</v>
      </c>
      <c r="N21">
        <v>17.465</v>
      </c>
      <c r="O21">
        <f>106.194+25.485</f>
        <v>131.679</v>
      </c>
      <c r="P21">
        <f t="shared" si="1"/>
        <v>7.3329999999999984</v>
      </c>
      <c r="Q21">
        <f t="shared" si="2"/>
        <v>1.6500000000000004</v>
      </c>
      <c r="R21">
        <f t="shared" si="3"/>
        <v>0.6880000000000166</v>
      </c>
      <c r="S21">
        <f t="shared" si="4"/>
        <v>0.96411125510916307</v>
      </c>
      <c r="T21">
        <f t="shared" si="5"/>
        <v>9.6710000000000154</v>
      </c>
      <c r="U21" s="6">
        <f t="shared" si="9"/>
        <v>0.75824630338124155</v>
      </c>
      <c r="V21" s="6">
        <f t="shared" si="10"/>
        <v>0.1706131734050251</v>
      </c>
      <c r="W21" s="6">
        <f t="shared" si="11"/>
        <v>7.1140523213733375E-2</v>
      </c>
    </row>
    <row r="22" spans="1:23" x14ac:dyDescent="0.2">
      <c r="A22">
        <v>21</v>
      </c>
      <c r="B22" t="str">
        <f t="shared" si="0"/>
        <v>OI MM 1020 R2</v>
      </c>
      <c r="C22" t="s">
        <v>7</v>
      </c>
      <c r="D22" t="s">
        <v>8</v>
      </c>
      <c r="E22">
        <v>2</v>
      </c>
      <c r="F22" t="s">
        <v>4</v>
      </c>
      <c r="G22">
        <v>14.89</v>
      </c>
      <c r="H22">
        <v>0.52293807058865205</v>
      </c>
      <c r="I22">
        <v>10.07</v>
      </c>
      <c r="J22">
        <v>25.367999999999999</v>
      </c>
      <c r="K22">
        <v>15.273999999999999</v>
      </c>
      <c r="L22">
        <f>234.22+25.488</f>
        <v>259.70799999999997</v>
      </c>
      <c r="M22">
        <v>33.465000000000003</v>
      </c>
      <c r="N22">
        <v>16.599</v>
      </c>
      <c r="O22">
        <f>234.446+25.51</f>
        <v>259.95600000000002</v>
      </c>
      <c r="P22">
        <f t="shared" si="1"/>
        <v>8.0970000000000049</v>
      </c>
      <c r="Q22">
        <f t="shared" si="2"/>
        <v>1.3250000000000011</v>
      </c>
      <c r="R22">
        <f t="shared" si="3"/>
        <v>0.24800000000004729</v>
      </c>
      <c r="S22">
        <f t="shared" si="4"/>
        <v>0.96027805362463281</v>
      </c>
      <c r="T22">
        <f t="shared" si="5"/>
        <v>9.6700000000000532</v>
      </c>
      <c r="U22" s="6">
        <f t="shared" si="9"/>
        <v>0.83733195449844466</v>
      </c>
      <c r="V22" s="6">
        <f t="shared" si="10"/>
        <v>0.13702171664943058</v>
      </c>
      <c r="W22" s="6">
        <f t="shared" si="11"/>
        <v>2.5646328852124707E-2</v>
      </c>
    </row>
    <row r="23" spans="1:23" x14ac:dyDescent="0.2">
      <c r="A23">
        <v>22</v>
      </c>
      <c r="B23" t="str">
        <f t="shared" si="0"/>
        <v>OI MM 1020 R1</v>
      </c>
      <c r="C23" t="s">
        <v>7</v>
      </c>
      <c r="D23" t="s">
        <v>8</v>
      </c>
      <c r="E23">
        <v>2</v>
      </c>
      <c r="F23" t="s">
        <v>0</v>
      </c>
      <c r="G23">
        <v>13.61</v>
      </c>
      <c r="H23">
        <v>0.54231470310909902</v>
      </c>
      <c r="I23">
        <v>10.052</v>
      </c>
      <c r="J23">
        <v>25.388999999999999</v>
      </c>
      <c r="K23">
        <v>15.804</v>
      </c>
      <c r="L23">
        <f>233.613+25.827</f>
        <v>259.44</v>
      </c>
      <c r="M23">
        <v>33.298999999999999</v>
      </c>
      <c r="N23">
        <v>17.193999999999999</v>
      </c>
      <c r="O23">
        <f>234.033+25.66</f>
        <v>259.69299999999998</v>
      </c>
      <c r="P23">
        <f t="shared" si="1"/>
        <v>7.91</v>
      </c>
      <c r="Q23">
        <f t="shared" si="2"/>
        <v>1.3899999999999988</v>
      </c>
      <c r="R23">
        <f t="shared" si="3"/>
        <v>0.2529999999999859</v>
      </c>
      <c r="S23">
        <f t="shared" si="4"/>
        <v>0.95035813768404154</v>
      </c>
      <c r="T23">
        <f t="shared" si="5"/>
        <v>9.5529999999999848</v>
      </c>
      <c r="U23" s="6">
        <f t="shared" si="9"/>
        <v>0.82801214278237334</v>
      </c>
      <c r="V23" s="6">
        <f t="shared" si="10"/>
        <v>0.14550403014759772</v>
      </c>
      <c r="W23" s="6">
        <f t="shared" si="11"/>
        <v>2.6483827070028922E-2</v>
      </c>
    </row>
    <row r="24" spans="1:23" x14ac:dyDescent="0.2">
      <c r="A24">
        <v>23</v>
      </c>
      <c r="B24" t="str">
        <f t="shared" si="0"/>
        <v>OI MM 010 R2</v>
      </c>
      <c r="C24" t="s">
        <v>7</v>
      </c>
      <c r="D24" t="s">
        <v>8</v>
      </c>
      <c r="E24">
        <v>1</v>
      </c>
      <c r="F24" t="s">
        <v>4</v>
      </c>
      <c r="G24">
        <v>14.11</v>
      </c>
      <c r="H24">
        <v>0.465773253741601</v>
      </c>
      <c r="I24">
        <v>10.016999999999999</v>
      </c>
      <c r="J24">
        <v>25.396000000000001</v>
      </c>
      <c r="K24">
        <v>15.26</v>
      </c>
      <c r="L24">
        <f>235.758+25.561</f>
        <v>261.31900000000002</v>
      </c>
      <c r="M24">
        <v>33.262</v>
      </c>
      <c r="N24">
        <v>16.989000000000001</v>
      </c>
      <c r="O24">
        <f>235.991+25.569</f>
        <v>261.56</v>
      </c>
      <c r="P24">
        <f t="shared" si="1"/>
        <v>7.8659999999999997</v>
      </c>
      <c r="Q24">
        <f t="shared" si="2"/>
        <v>1.729000000000001</v>
      </c>
      <c r="R24">
        <f t="shared" si="3"/>
        <v>0.24099999999998545</v>
      </c>
      <c r="S24">
        <f t="shared" si="4"/>
        <v>0.98193071777977303</v>
      </c>
      <c r="T24">
        <f t="shared" si="5"/>
        <v>9.8359999999999861</v>
      </c>
      <c r="U24" s="6">
        <f t="shared" si="9"/>
        <v>0.79971533143554396</v>
      </c>
      <c r="V24" s="6">
        <f t="shared" si="10"/>
        <v>0.17578283855225738</v>
      </c>
      <c r="W24" s="6">
        <f t="shared" si="11"/>
        <v>2.4501830012198637E-2</v>
      </c>
    </row>
    <row r="25" spans="1:23" x14ac:dyDescent="0.2">
      <c r="A25">
        <v>24</v>
      </c>
      <c r="B25" t="str">
        <f t="shared" si="0"/>
        <v>OI MM 010 R1</v>
      </c>
      <c r="C25" t="s">
        <v>7</v>
      </c>
      <c r="D25" t="s">
        <v>8</v>
      </c>
      <c r="E25">
        <v>1</v>
      </c>
      <c r="F25" t="s">
        <v>0</v>
      </c>
      <c r="G25">
        <v>14.17</v>
      </c>
      <c r="H25">
        <v>0.49719406874537297</v>
      </c>
      <c r="I25">
        <v>10.045</v>
      </c>
      <c r="J25">
        <v>25.677</v>
      </c>
      <c r="K25">
        <v>15.782</v>
      </c>
      <c r="L25">
        <f>267.089+25.398</f>
        <v>292.48700000000002</v>
      </c>
      <c r="M25">
        <v>33.805</v>
      </c>
      <c r="N25">
        <v>17.387</v>
      </c>
      <c r="O25">
        <f>267.283+25.451</f>
        <v>292.73400000000004</v>
      </c>
      <c r="P25">
        <f t="shared" si="1"/>
        <v>8.1280000000000001</v>
      </c>
      <c r="Q25">
        <f t="shared" si="2"/>
        <v>1.6050000000000004</v>
      </c>
      <c r="R25">
        <f t="shared" si="3"/>
        <v>0.2470000000000141</v>
      </c>
      <c r="S25">
        <f t="shared" si="4"/>
        <v>0.99352911896466045</v>
      </c>
      <c r="T25">
        <f t="shared" si="5"/>
        <v>9.9800000000000146</v>
      </c>
      <c r="U25" s="6">
        <f t="shared" si="9"/>
        <v>0.81442885771542972</v>
      </c>
      <c r="V25" s="6">
        <f t="shared" si="10"/>
        <v>0.16082164328657295</v>
      </c>
      <c r="W25" s="6">
        <f t="shared" si="11"/>
        <v>2.4749498997997367E-2</v>
      </c>
    </row>
    <row r="26" spans="1:23" x14ac:dyDescent="0.2">
      <c r="A26">
        <v>25</v>
      </c>
      <c r="B26" t="str">
        <f t="shared" si="0"/>
        <v>FW NM 1020 R2</v>
      </c>
      <c r="C26" t="s">
        <v>10</v>
      </c>
      <c r="D26" t="s">
        <v>6</v>
      </c>
      <c r="E26">
        <v>2</v>
      </c>
      <c r="F26" t="s">
        <v>4</v>
      </c>
      <c r="G26">
        <v>14.01</v>
      </c>
      <c r="H26">
        <v>0.45271603608907002</v>
      </c>
      <c r="I26">
        <f>10.073</f>
        <v>10.073</v>
      </c>
      <c r="J26">
        <v>25.451000000000001</v>
      </c>
      <c r="K26">
        <v>15.231</v>
      </c>
      <c r="L26">
        <f>255.331+25.403</f>
        <v>280.73399999999998</v>
      </c>
      <c r="M26">
        <v>33.130000000000003</v>
      </c>
      <c r="N26">
        <v>16.8</v>
      </c>
      <c r="O26">
        <f>255.561+25.802</f>
        <v>281.363</v>
      </c>
      <c r="P26">
        <f t="shared" si="1"/>
        <v>7.679000000000002</v>
      </c>
      <c r="Q26">
        <f t="shared" si="2"/>
        <v>1.5690000000000008</v>
      </c>
      <c r="R26">
        <f t="shared" si="3"/>
        <v>0.6290000000000191</v>
      </c>
      <c r="S26">
        <f t="shared" si="4"/>
        <v>0.98054204308547821</v>
      </c>
      <c r="T26">
        <f t="shared" si="5"/>
        <v>9.877000000000022</v>
      </c>
      <c r="U26" s="6">
        <f t="shared" si="9"/>
        <v>0.77746279234585247</v>
      </c>
      <c r="V26" s="6">
        <f t="shared" si="10"/>
        <v>0.15885390300698565</v>
      </c>
      <c r="W26" s="6">
        <f t="shared" si="11"/>
        <v>6.3683304647161862E-2</v>
      </c>
    </row>
    <row r="27" spans="1:23" x14ac:dyDescent="0.2">
      <c r="A27">
        <v>26</v>
      </c>
      <c r="B27" t="str">
        <f t="shared" si="0"/>
        <v>FW NM 1020 R1</v>
      </c>
      <c r="C27" t="s">
        <v>10</v>
      </c>
      <c r="D27" t="s">
        <v>6</v>
      </c>
      <c r="E27">
        <v>2</v>
      </c>
      <c r="F27" t="s">
        <v>0</v>
      </c>
      <c r="G27">
        <v>14.13</v>
      </c>
      <c r="H27">
        <v>0.426249386777453</v>
      </c>
      <c r="I27">
        <v>10.119</v>
      </c>
      <c r="J27">
        <v>25.411999999999999</v>
      </c>
      <c r="K27">
        <v>15.82</v>
      </c>
      <c r="L27">
        <f>227.061+25.513</f>
        <v>252.57400000000001</v>
      </c>
      <c r="M27">
        <v>32.851999999999997</v>
      </c>
      <c r="N27">
        <v>17.361999999999998</v>
      </c>
      <c r="O27">
        <f>227.691+25.551</f>
        <v>253.24199999999999</v>
      </c>
      <c r="P27">
        <f t="shared" si="1"/>
        <v>7.4399999999999977</v>
      </c>
      <c r="Q27">
        <f t="shared" si="2"/>
        <v>1.541999999999998</v>
      </c>
      <c r="R27">
        <f t="shared" si="3"/>
        <v>0.66799999999997794</v>
      </c>
      <c r="S27">
        <f t="shared" si="4"/>
        <v>0.95365154659551077</v>
      </c>
      <c r="T27">
        <f t="shared" si="5"/>
        <v>9.6499999999999737</v>
      </c>
      <c r="U27" s="6">
        <f t="shared" si="9"/>
        <v>0.77098445595855114</v>
      </c>
      <c r="V27" s="6">
        <f t="shared" si="10"/>
        <v>0.15979274611398986</v>
      </c>
      <c r="W27" s="6">
        <f t="shared" si="11"/>
        <v>6.9222797927459043E-2</v>
      </c>
    </row>
    <row r="28" spans="1:23" x14ac:dyDescent="0.2">
      <c r="A28">
        <v>27</v>
      </c>
      <c r="B28" t="str">
        <f t="shared" si="0"/>
        <v>FW NM 010 R2</v>
      </c>
      <c r="C28" t="s">
        <v>10</v>
      </c>
      <c r="D28" t="s">
        <v>6</v>
      </c>
      <c r="E28">
        <v>1</v>
      </c>
      <c r="F28" t="s">
        <v>4</v>
      </c>
      <c r="G28">
        <v>14.65</v>
      </c>
      <c r="H28">
        <v>0.50761155937663405</v>
      </c>
      <c r="I28">
        <v>10.06</v>
      </c>
      <c r="J28">
        <v>25.423999999999999</v>
      </c>
      <c r="K28">
        <v>15.385999999999999</v>
      </c>
      <c r="L28">
        <f>264.425+35.727</f>
        <v>300.15199999999999</v>
      </c>
      <c r="M28">
        <v>32.978999999999999</v>
      </c>
      <c r="N28">
        <v>17.37</v>
      </c>
      <c r="O28">
        <f>264.708+35.791</f>
        <v>300.49900000000002</v>
      </c>
      <c r="P28">
        <f t="shared" si="1"/>
        <v>7.5549999999999997</v>
      </c>
      <c r="Q28">
        <f t="shared" si="2"/>
        <v>1.9840000000000018</v>
      </c>
      <c r="R28">
        <f t="shared" si="3"/>
        <v>0.34700000000003683</v>
      </c>
      <c r="S28">
        <f t="shared" si="4"/>
        <v>0.9827037773359879</v>
      </c>
      <c r="T28">
        <f t="shared" si="5"/>
        <v>9.8860000000000383</v>
      </c>
      <c r="U28" s="6">
        <f t="shared" si="9"/>
        <v>0.76421201699372554</v>
      </c>
      <c r="V28" s="6">
        <f t="shared" si="10"/>
        <v>0.20068784139186668</v>
      </c>
      <c r="W28" s="6">
        <f t="shared" si="11"/>
        <v>3.5100141614407797E-2</v>
      </c>
    </row>
    <row r="29" spans="1:23" x14ac:dyDescent="0.2">
      <c r="A29">
        <v>28</v>
      </c>
      <c r="B29" t="str">
        <f t="shared" si="0"/>
        <v>FW NM 010 R1</v>
      </c>
      <c r="C29" t="s">
        <v>10</v>
      </c>
      <c r="D29" t="s">
        <v>6</v>
      </c>
      <c r="E29">
        <v>1</v>
      </c>
      <c r="F29" t="s">
        <v>0</v>
      </c>
      <c r="G29">
        <v>14.26</v>
      </c>
      <c r="H29">
        <v>0.62273822431364001</v>
      </c>
      <c r="I29">
        <v>10.007</v>
      </c>
      <c r="J29">
        <v>25.55</v>
      </c>
      <c r="K29">
        <v>15.276999999999999</v>
      </c>
      <c r="L29">
        <f>118.576+237.309</f>
        <v>355.88499999999999</v>
      </c>
      <c r="M29">
        <v>33.024999999999999</v>
      </c>
      <c r="N29">
        <v>17.228999999999999</v>
      </c>
      <c r="O29">
        <f>118.869+237.319</f>
        <v>356.18799999999999</v>
      </c>
      <c r="P29">
        <f t="shared" si="1"/>
        <v>7.4749999999999979</v>
      </c>
      <c r="Q29">
        <f t="shared" si="2"/>
        <v>1.952</v>
      </c>
      <c r="R29">
        <f t="shared" si="3"/>
        <v>0.30299999999999727</v>
      </c>
      <c r="S29">
        <f t="shared" si="4"/>
        <v>0.97231937643649402</v>
      </c>
      <c r="T29">
        <f t="shared" si="5"/>
        <v>9.7299999999999951</v>
      </c>
      <c r="U29" s="6">
        <f t="shared" si="9"/>
        <v>0.76824254881808851</v>
      </c>
      <c r="V29" s="6">
        <f t="shared" si="10"/>
        <v>0.20061664953751293</v>
      </c>
      <c r="W29" s="6">
        <f t="shared" si="11"/>
        <v>3.1140801644398503E-2</v>
      </c>
    </row>
    <row r="30" spans="1:23" ht="13.5" customHeight="1" x14ac:dyDescent="0.2">
      <c r="A30">
        <v>29</v>
      </c>
      <c r="B30" t="str">
        <f t="shared" si="0"/>
        <v>FW MM 1020 R2</v>
      </c>
      <c r="C30" t="s">
        <v>10</v>
      </c>
      <c r="D30" t="s">
        <v>8</v>
      </c>
      <c r="E30">
        <v>2</v>
      </c>
      <c r="F30" t="s">
        <v>4</v>
      </c>
      <c r="G30">
        <v>14.72</v>
      </c>
      <c r="H30">
        <v>0.40519104852559601</v>
      </c>
      <c r="I30">
        <v>10.025</v>
      </c>
      <c r="J30">
        <v>25.434999999999999</v>
      </c>
      <c r="K30">
        <v>15.263999999999999</v>
      </c>
      <c r="L30">
        <f>250.926+25.366</f>
        <v>276.29199999999997</v>
      </c>
      <c r="M30">
        <v>33.53</v>
      </c>
      <c r="N30">
        <v>16.581</v>
      </c>
      <c r="O30">
        <f>251.149+25.491</f>
        <v>276.64</v>
      </c>
      <c r="P30">
        <f t="shared" si="1"/>
        <v>8.0950000000000024</v>
      </c>
      <c r="Q30">
        <f t="shared" si="2"/>
        <v>1.3170000000000002</v>
      </c>
      <c r="R30">
        <f t="shared" si="3"/>
        <v>0.34800000000001319</v>
      </c>
      <c r="S30">
        <f t="shared" si="4"/>
        <v>0.97356608478803142</v>
      </c>
      <c r="T30">
        <f t="shared" si="5"/>
        <v>9.7600000000000158</v>
      </c>
      <c r="U30" s="6">
        <f t="shared" si="9"/>
        <v>0.82940573770491699</v>
      </c>
      <c r="V30" s="6">
        <f t="shared" si="10"/>
        <v>0.13493852459016373</v>
      </c>
      <c r="W30" s="6">
        <f t="shared" si="11"/>
        <v>3.5655737704919324E-2</v>
      </c>
    </row>
    <row r="31" spans="1:23" ht="13" customHeight="1" x14ac:dyDescent="0.2">
      <c r="A31">
        <v>30</v>
      </c>
      <c r="B31" t="str">
        <f t="shared" si="0"/>
        <v>FW MM 1020 R1</v>
      </c>
      <c r="C31" t="s">
        <v>10</v>
      </c>
      <c r="D31" t="s">
        <v>8</v>
      </c>
      <c r="E31">
        <v>2</v>
      </c>
      <c r="F31" t="s">
        <v>0</v>
      </c>
      <c r="G31">
        <v>13.56</v>
      </c>
      <c r="H31">
        <v>0.40623026404180701</v>
      </c>
      <c r="I31">
        <v>10.065</v>
      </c>
      <c r="J31">
        <v>25.376999999999999</v>
      </c>
      <c r="K31">
        <v>15.779</v>
      </c>
      <c r="L31">
        <f>264.641+175.898</f>
        <v>440.53899999999999</v>
      </c>
      <c r="M31">
        <v>33.485999999999997</v>
      </c>
      <c r="N31">
        <v>16.908999999999999</v>
      </c>
      <c r="O31">
        <f>264.971+176.003</f>
        <v>440.97399999999999</v>
      </c>
      <c r="P31">
        <f t="shared" si="1"/>
        <v>8.1089999999999982</v>
      </c>
      <c r="Q31">
        <f t="shared" si="2"/>
        <v>1.129999999999999</v>
      </c>
      <c r="R31">
        <f t="shared" si="3"/>
        <v>0.43500000000000227</v>
      </c>
      <c r="S31">
        <f t="shared" si="4"/>
        <v>0.96115250869349234</v>
      </c>
      <c r="T31">
        <f t="shared" si="5"/>
        <v>9.6739999999999995</v>
      </c>
      <c r="U31" s="6">
        <f t="shared" si="9"/>
        <v>0.83822617324788073</v>
      </c>
      <c r="V31" s="6">
        <f t="shared" si="10"/>
        <v>0.11680793880504435</v>
      </c>
      <c r="W31" s="6">
        <f t="shared" si="11"/>
        <v>4.4965887947074873E-2</v>
      </c>
    </row>
    <row r="32" spans="1:23" x14ac:dyDescent="0.2">
      <c r="A32">
        <v>31</v>
      </c>
      <c r="B32" t="str">
        <f t="shared" si="0"/>
        <v>FW MM 010 R2</v>
      </c>
      <c r="C32" t="s">
        <v>10</v>
      </c>
      <c r="D32" t="s">
        <v>8</v>
      </c>
      <c r="E32">
        <v>1</v>
      </c>
      <c r="F32" t="s">
        <v>4</v>
      </c>
      <c r="G32">
        <v>14.7</v>
      </c>
      <c r="H32">
        <v>0.47132455422914299</v>
      </c>
      <c r="I32">
        <v>10.000999999999999</v>
      </c>
      <c r="J32">
        <v>25.373000000000001</v>
      </c>
      <c r="K32">
        <v>15.79</v>
      </c>
      <c r="L32">
        <v>182.678</v>
      </c>
      <c r="M32">
        <v>33.738999999999997</v>
      </c>
      <c r="N32">
        <v>16.957999999999998</v>
      </c>
      <c r="O32">
        <v>182.93700000000001</v>
      </c>
      <c r="P32">
        <f t="shared" si="1"/>
        <v>8.3659999999999961</v>
      </c>
      <c r="Q32">
        <f t="shared" si="2"/>
        <v>1.1679999999999993</v>
      </c>
      <c r="R32">
        <f t="shared" si="3"/>
        <v>0.25900000000001455</v>
      </c>
      <c r="S32">
        <f t="shared" si="4"/>
        <v>0.9792020797920219</v>
      </c>
      <c r="T32">
        <f t="shared" si="5"/>
        <v>9.7930000000000099</v>
      </c>
      <c r="U32" s="6">
        <f t="shared" si="9"/>
        <v>0.85428367201061861</v>
      </c>
      <c r="V32" s="6">
        <f t="shared" si="10"/>
        <v>0.11926886551618483</v>
      </c>
      <c r="W32" s="6">
        <f t="shared" si="11"/>
        <v>2.6447462473196598E-2</v>
      </c>
    </row>
    <row r="33" spans="1:23" x14ac:dyDescent="0.2">
      <c r="A33">
        <v>32</v>
      </c>
      <c r="B33" t="str">
        <f t="shared" si="0"/>
        <v>FW MM 010 R1</v>
      </c>
      <c r="C33" t="s">
        <v>10</v>
      </c>
      <c r="D33" t="s">
        <v>8</v>
      </c>
      <c r="E33">
        <v>1</v>
      </c>
      <c r="F33" t="s">
        <v>0</v>
      </c>
      <c r="G33">
        <v>12.38</v>
      </c>
      <c r="H33">
        <v>0.63260807937832797</v>
      </c>
      <c r="I33">
        <v>10.074999999999999</v>
      </c>
      <c r="J33">
        <v>25.603000000000002</v>
      </c>
      <c r="K33">
        <v>15.608000000000001</v>
      </c>
      <c r="L33">
        <f>267.559+25.368</f>
        <v>292.92700000000002</v>
      </c>
      <c r="M33">
        <v>33.960999999999999</v>
      </c>
      <c r="N33">
        <v>16.646999999999998</v>
      </c>
      <c r="O33">
        <f>267.783+25.394</f>
        <v>293.17700000000002</v>
      </c>
      <c r="P33">
        <f t="shared" si="1"/>
        <v>8.357999999999997</v>
      </c>
      <c r="Q33">
        <f t="shared" si="2"/>
        <v>1.0389999999999979</v>
      </c>
      <c r="R33">
        <f t="shared" si="3"/>
        <v>0.25</v>
      </c>
      <c r="S33">
        <f t="shared" si="4"/>
        <v>0.95751861042183584</v>
      </c>
      <c r="T33">
        <f t="shared" si="5"/>
        <v>9.6469999999999949</v>
      </c>
      <c r="U33" s="6">
        <f t="shared" si="9"/>
        <v>0.86638333160568071</v>
      </c>
      <c r="V33" s="6">
        <f t="shared" si="10"/>
        <v>0.10770187623095247</v>
      </c>
      <c r="W33" s="6">
        <f t="shared" si="11"/>
        <v>2.5914792163366864E-2</v>
      </c>
    </row>
    <row r="34" spans="1:23" x14ac:dyDescent="0.2">
      <c r="A34">
        <v>33</v>
      </c>
      <c r="B34" t="str">
        <f t="shared" si="0"/>
        <v>ES NM 1020 R2</v>
      </c>
      <c r="C34" t="s">
        <v>9</v>
      </c>
      <c r="D34" t="s">
        <v>6</v>
      </c>
      <c r="E34">
        <v>2</v>
      </c>
      <c r="F34" t="s">
        <v>4</v>
      </c>
      <c r="G34">
        <v>14.59</v>
      </c>
      <c r="H34">
        <v>0.47737746848457702</v>
      </c>
      <c r="I34">
        <v>10.007</v>
      </c>
      <c r="J34">
        <v>25.399000000000001</v>
      </c>
      <c r="K34">
        <v>25.416</v>
      </c>
      <c r="L34">
        <v>181.06</v>
      </c>
      <c r="M34">
        <v>31.702000000000002</v>
      </c>
      <c r="N34">
        <v>28.645</v>
      </c>
      <c r="O34">
        <v>181.35400000000001</v>
      </c>
      <c r="P34">
        <f t="shared" si="1"/>
        <v>6.3030000000000008</v>
      </c>
      <c r="Q34">
        <f t="shared" si="2"/>
        <v>3.2289999999999992</v>
      </c>
      <c r="R34">
        <f t="shared" si="3"/>
        <v>0.29400000000001114</v>
      </c>
      <c r="S34">
        <f t="shared" si="4"/>
        <v>0.9819126611372051</v>
      </c>
      <c r="T34">
        <f t="shared" si="5"/>
        <v>9.8260000000000112</v>
      </c>
      <c r="U34" s="6">
        <f t="shared" si="9"/>
        <v>0.6414614288622017</v>
      </c>
      <c r="V34" s="6">
        <f t="shared" si="10"/>
        <v>0.32861795237125946</v>
      </c>
      <c r="W34" s="6">
        <f t="shared" si="11"/>
        <v>2.9920618766538856E-2</v>
      </c>
    </row>
    <row r="35" spans="1:23" x14ac:dyDescent="0.2">
      <c r="A35">
        <v>34</v>
      </c>
      <c r="B35" t="str">
        <f t="shared" si="0"/>
        <v>ES NM 1020 R1</v>
      </c>
      <c r="C35" t="s">
        <v>9</v>
      </c>
      <c r="D35" t="s">
        <v>6</v>
      </c>
      <c r="E35">
        <v>2</v>
      </c>
      <c r="F35" t="s">
        <v>0</v>
      </c>
      <c r="G35">
        <v>14.65</v>
      </c>
      <c r="H35">
        <v>0.43838374399015601</v>
      </c>
      <c r="I35">
        <v>10.053000000000001</v>
      </c>
      <c r="J35">
        <v>25.532</v>
      </c>
      <c r="K35">
        <v>15.36</v>
      </c>
      <c r="L35">
        <f>118.112+25.393</f>
        <v>143.505</v>
      </c>
      <c r="M35">
        <v>31.661999999999999</v>
      </c>
      <c r="N35">
        <v>18.617999999999999</v>
      </c>
      <c r="O35">
        <f>118.277+25.636</f>
        <v>143.91300000000001</v>
      </c>
      <c r="P35">
        <f t="shared" si="1"/>
        <v>6.129999999999999</v>
      </c>
      <c r="Q35">
        <f t="shared" si="2"/>
        <v>3.2579999999999991</v>
      </c>
      <c r="R35">
        <f t="shared" si="3"/>
        <v>0.40800000000001546</v>
      </c>
      <c r="S35">
        <f t="shared" si="4"/>
        <v>0.97443549189296852</v>
      </c>
      <c r="T35">
        <f t="shared" si="5"/>
        <v>9.7960000000000136</v>
      </c>
      <c r="U35" s="6">
        <f t="shared" si="9"/>
        <v>0.62576561861984381</v>
      </c>
      <c r="V35" s="6">
        <f t="shared" si="10"/>
        <v>0.33258472846059561</v>
      </c>
      <c r="W35" s="6">
        <f t="shared" si="11"/>
        <v>4.1649652919560527E-2</v>
      </c>
    </row>
    <row r="36" spans="1:23" x14ac:dyDescent="0.2">
      <c r="A36">
        <v>35</v>
      </c>
      <c r="B36" t="str">
        <f t="shared" si="0"/>
        <v>ES NM 010 R2</v>
      </c>
      <c r="C36" t="s">
        <v>9</v>
      </c>
      <c r="D36" t="s">
        <v>6</v>
      </c>
      <c r="E36">
        <v>1</v>
      </c>
      <c r="F36" t="s">
        <v>4</v>
      </c>
      <c r="G36">
        <v>14.45</v>
      </c>
      <c r="H36">
        <v>0.50318224209275098</v>
      </c>
      <c r="I36">
        <v>10</v>
      </c>
      <c r="J36">
        <v>25.384</v>
      </c>
      <c r="K36">
        <v>15.259</v>
      </c>
      <c r="L36">
        <v>182.51900000000001</v>
      </c>
      <c r="M36">
        <v>32.753999999999998</v>
      </c>
      <c r="N36">
        <v>17.318000000000001</v>
      </c>
      <c r="O36">
        <v>182.65700000000001</v>
      </c>
      <c r="P36">
        <f t="shared" si="1"/>
        <v>7.3699999999999974</v>
      </c>
      <c r="Q36">
        <f t="shared" si="2"/>
        <v>2.0590000000000011</v>
      </c>
      <c r="R36">
        <f t="shared" si="3"/>
        <v>0.13800000000000523</v>
      </c>
      <c r="S36">
        <f t="shared" si="4"/>
        <v>0.95670000000000033</v>
      </c>
      <c r="T36">
        <f t="shared" si="5"/>
        <v>9.5670000000000037</v>
      </c>
      <c r="U36" s="6">
        <f t="shared" si="9"/>
        <v>0.77035643357374251</v>
      </c>
      <c r="V36" s="6">
        <f t="shared" si="10"/>
        <v>0.21521898191700639</v>
      </c>
      <c r="W36" s="6">
        <f t="shared" si="11"/>
        <v>1.442458450925109E-2</v>
      </c>
    </row>
    <row r="37" spans="1:23" x14ac:dyDescent="0.2">
      <c r="A37">
        <v>36</v>
      </c>
      <c r="B37" t="str">
        <f t="shared" si="0"/>
        <v>ES NM 010 R1</v>
      </c>
      <c r="C37" t="s">
        <v>9</v>
      </c>
      <c r="D37" t="s">
        <v>6</v>
      </c>
      <c r="E37">
        <v>1</v>
      </c>
      <c r="F37" t="s">
        <v>0</v>
      </c>
      <c r="G37">
        <v>14.95</v>
      </c>
      <c r="H37">
        <v>0.40231067580512397</v>
      </c>
      <c r="I37">
        <v>10.084</v>
      </c>
      <c r="J37">
        <v>25.382999999999999</v>
      </c>
      <c r="K37">
        <v>15.816000000000001</v>
      </c>
      <c r="L37">
        <f>293.007+25.373</f>
        <v>318.38</v>
      </c>
      <c r="M37">
        <v>32.813000000000002</v>
      </c>
      <c r="N37">
        <v>17.777000000000001</v>
      </c>
      <c r="O37">
        <f>293.066+25.524</f>
        <v>318.58999999999997</v>
      </c>
      <c r="P37">
        <f t="shared" si="1"/>
        <v>7.4300000000000033</v>
      </c>
      <c r="Q37">
        <f t="shared" si="2"/>
        <v>1.9610000000000003</v>
      </c>
      <c r="R37">
        <f t="shared" si="3"/>
        <v>0.20999999999997954</v>
      </c>
      <c r="S37">
        <f t="shared" si="4"/>
        <v>0.95210234034113284</v>
      </c>
      <c r="T37">
        <f t="shared" si="5"/>
        <v>9.6009999999999831</v>
      </c>
      <c r="U37" s="6">
        <f t="shared" si="9"/>
        <v>0.7738777210707235</v>
      </c>
      <c r="V37" s="6">
        <f t="shared" si="10"/>
        <v>0.20424955733777769</v>
      </c>
      <c r="W37" s="6">
        <f t="shared" si="11"/>
        <v>2.1872721591498792E-2</v>
      </c>
    </row>
    <row r="38" spans="1:23" x14ac:dyDescent="0.2">
      <c r="A38">
        <v>37</v>
      </c>
      <c r="B38" t="str">
        <f t="shared" si="0"/>
        <v>ES MM 1020 R2</v>
      </c>
      <c r="C38" t="s">
        <v>9</v>
      </c>
      <c r="D38" t="s">
        <v>8</v>
      </c>
      <c r="E38">
        <v>2</v>
      </c>
      <c r="F38" t="s">
        <v>4</v>
      </c>
      <c r="G38">
        <v>14.17</v>
      </c>
      <c r="H38">
        <v>0.51252329138609998</v>
      </c>
      <c r="I38">
        <v>10.022</v>
      </c>
      <c r="J38">
        <v>25.376000000000001</v>
      </c>
      <c r="K38">
        <v>15.295999999999999</v>
      </c>
      <c r="L38">
        <f>253.946+25.388</f>
        <v>279.334</v>
      </c>
      <c r="M38">
        <v>32.018000000000001</v>
      </c>
      <c r="N38">
        <v>17.065000000000001</v>
      </c>
      <c r="O38">
        <f>255.045+25.682</f>
        <v>280.72699999999998</v>
      </c>
      <c r="P38">
        <f t="shared" si="1"/>
        <v>6.6419999999999995</v>
      </c>
      <c r="Q38">
        <f t="shared" si="2"/>
        <v>1.7690000000000019</v>
      </c>
      <c r="R38">
        <f t="shared" si="3"/>
        <v>1.3929999999999723</v>
      </c>
      <c r="S38">
        <f t="shared" si="4"/>
        <v>0.97824785471961417</v>
      </c>
      <c r="T38">
        <f t="shared" si="5"/>
        <v>9.8039999999999736</v>
      </c>
      <c r="U38" s="6">
        <f t="shared" si="9"/>
        <v>0.67747858017136042</v>
      </c>
      <c r="V38" s="6">
        <f t="shared" si="10"/>
        <v>0.18043655650754861</v>
      </c>
      <c r="W38" s="6">
        <f t="shared" si="11"/>
        <v>0.14208486332109099</v>
      </c>
    </row>
    <row r="39" spans="1:23" x14ac:dyDescent="0.2">
      <c r="A39">
        <v>38</v>
      </c>
      <c r="B39" t="str">
        <f t="shared" si="0"/>
        <v>ES MM 1020 R1</v>
      </c>
      <c r="C39" t="s">
        <v>9</v>
      </c>
      <c r="D39" t="s">
        <v>8</v>
      </c>
      <c r="E39">
        <v>2</v>
      </c>
      <c r="F39" t="s">
        <v>0</v>
      </c>
      <c r="G39">
        <v>14.24</v>
      </c>
      <c r="H39">
        <v>0.45450022781946198</v>
      </c>
      <c r="I39">
        <v>10.026999999999999</v>
      </c>
      <c r="J39">
        <v>25.584</v>
      </c>
      <c r="K39">
        <v>15.782999999999999</v>
      </c>
      <c r="L39">
        <f>270.811+25.427</f>
        <v>296.238</v>
      </c>
      <c r="M39">
        <v>32.011000000000003</v>
      </c>
      <c r="N39">
        <v>17.744</v>
      </c>
      <c r="O39">
        <f>272.233+25.435</f>
        <v>297.66800000000001</v>
      </c>
      <c r="P39">
        <f t="shared" si="1"/>
        <v>6.4270000000000032</v>
      </c>
      <c r="Q39">
        <f t="shared" si="2"/>
        <v>1.9610000000000003</v>
      </c>
      <c r="R39">
        <f t="shared" si="3"/>
        <v>1.4300000000000068</v>
      </c>
      <c r="S39">
        <f t="shared" si="4"/>
        <v>0.97915627804926808</v>
      </c>
      <c r="T39">
        <f t="shared" si="5"/>
        <v>9.8180000000000103</v>
      </c>
      <c r="U39" s="6">
        <f t="shared" si="9"/>
        <v>0.65461397433285762</v>
      </c>
      <c r="V39" s="6">
        <f t="shared" si="10"/>
        <v>0.19973518028111614</v>
      </c>
      <c r="W39" s="6">
        <f t="shared" si="11"/>
        <v>0.14565084538602621</v>
      </c>
    </row>
    <row r="40" spans="1:23" x14ac:dyDescent="0.2">
      <c r="A40">
        <v>39</v>
      </c>
      <c r="B40" t="str">
        <f t="shared" si="0"/>
        <v>ES MM 010 R2</v>
      </c>
      <c r="C40" t="s">
        <v>9</v>
      </c>
      <c r="D40" t="s">
        <v>8</v>
      </c>
      <c r="E40">
        <v>1</v>
      </c>
      <c r="F40" t="s">
        <v>4</v>
      </c>
      <c r="G40">
        <v>14.88</v>
      </c>
      <c r="H40">
        <v>0.52071764070536797</v>
      </c>
      <c r="I40">
        <v>10.032</v>
      </c>
      <c r="J40">
        <v>25.381</v>
      </c>
      <c r="K40">
        <v>25.536000000000001</v>
      </c>
      <c r="L40">
        <v>177.10499999999999</v>
      </c>
      <c r="M40">
        <v>33.642000000000003</v>
      </c>
      <c r="N40">
        <v>26.853000000000002</v>
      </c>
      <c r="O40">
        <v>177.33</v>
      </c>
      <c r="P40">
        <f t="shared" si="1"/>
        <v>8.2610000000000028</v>
      </c>
      <c r="Q40">
        <f t="shared" si="2"/>
        <v>1.3170000000000002</v>
      </c>
      <c r="R40">
        <f t="shared" si="3"/>
        <v>0.22500000000002274</v>
      </c>
      <c r="S40">
        <f t="shared" si="4"/>
        <v>0.97717304625199619</v>
      </c>
      <c r="T40">
        <f t="shared" si="5"/>
        <v>9.8030000000000257</v>
      </c>
      <c r="U40" s="6">
        <f t="shared" si="9"/>
        <v>0.84270121391410602</v>
      </c>
      <c r="V40" s="6">
        <f t="shared" si="10"/>
        <v>0.13434662858308646</v>
      </c>
      <c r="W40" s="6">
        <f t="shared" si="11"/>
        <v>2.2952157502807522E-2</v>
      </c>
    </row>
    <row r="41" spans="1:23" x14ac:dyDescent="0.2">
      <c r="A41">
        <v>40</v>
      </c>
      <c r="B41" t="str">
        <f t="shared" si="0"/>
        <v>ES MM 010 R1</v>
      </c>
      <c r="C41" t="s">
        <v>9</v>
      </c>
      <c r="D41" t="s">
        <v>8</v>
      </c>
      <c r="E41">
        <v>1</v>
      </c>
      <c r="F41" t="s">
        <v>0</v>
      </c>
      <c r="G41">
        <v>14.25</v>
      </c>
      <c r="H41">
        <v>0.48439551633711703</v>
      </c>
      <c r="I41">
        <v>10.010999999999999</v>
      </c>
      <c r="J41">
        <v>25.399000000000001</v>
      </c>
      <c r="K41">
        <v>15.289</v>
      </c>
      <c r="L41">
        <f>86.546+25.561</f>
        <v>112.107</v>
      </c>
      <c r="M41">
        <v>33.405000000000001</v>
      </c>
      <c r="N41">
        <v>16.57</v>
      </c>
      <c r="O41">
        <f>86.858+25.573</f>
        <v>112.43100000000001</v>
      </c>
      <c r="P41">
        <f t="shared" si="1"/>
        <v>8.0060000000000002</v>
      </c>
      <c r="Q41">
        <f t="shared" si="2"/>
        <v>1.2810000000000006</v>
      </c>
      <c r="R41">
        <f t="shared" si="3"/>
        <v>0.32400000000001228</v>
      </c>
      <c r="S41">
        <f t="shared" si="4"/>
        <v>0.9600439516531829</v>
      </c>
      <c r="T41">
        <f t="shared" si="5"/>
        <v>9.6110000000000131</v>
      </c>
      <c r="U41" s="6">
        <f t="shared" si="9"/>
        <v>0.83300384975548736</v>
      </c>
      <c r="V41" s="6">
        <f t="shared" si="10"/>
        <v>0.13328477785870343</v>
      </c>
      <c r="W41" s="6">
        <f t="shared" si="11"/>
        <v>3.3711372385809159E-2</v>
      </c>
    </row>
  </sheetData>
  <autoFilter ref="A1:W1" xr:uid="{873E1CDD-80A4-42D6-A1F4-6137C92C00AC}"/>
  <conditionalFormatting sqref="T2:T42">
    <cfRule type="cellIs" dxfId="1" priority="1" operator="notBetween">
      <formula>0.95</formula>
      <formula>1</formula>
    </cfRule>
    <cfRule type="cellIs" priority="2" operator="greaterThan">
      <formula>1</formula>
    </cfRule>
  </conditionalFormatting>
  <conditionalFormatting sqref="T1:W1 S1:S41">
    <cfRule type="cellIs" dxfId="0" priority="3" operator="notBetween">
      <formula>0.95</formula>
      <formula>1</formula>
    </cfRule>
    <cfRule type="cellIs" priority="4" operator="greaterThan">
      <formula>1</formula>
    </cfRule>
  </conditionalFormatting>
  <pageMargins left="0.7" right="0.7" top="0.75" bottom="0.75" header="0.3" footer="0.3"/>
  <pageSetup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14393-4468-442F-BAA0-E2EA3C1A8F98}">
  <dimension ref="A1:K121"/>
  <sheetViews>
    <sheetView zoomScale="125" workbookViewId="0">
      <selection activeCell="A5" sqref="A5"/>
    </sheetView>
  </sheetViews>
  <sheetFormatPr baseColWidth="10" defaultColWidth="8.83203125" defaultRowHeight="15" x14ac:dyDescent="0.2"/>
  <cols>
    <col min="1" max="1" width="15.1640625" bestFit="1" customWidth="1"/>
    <col min="3" max="3" width="11.83203125" bestFit="1" customWidth="1"/>
    <col min="4" max="4" width="9.33203125" customWidth="1"/>
    <col min="5" max="5" width="9.33203125" bestFit="1" customWidth="1"/>
    <col min="6" max="6" width="9.83203125" bestFit="1" customWidth="1"/>
    <col min="7" max="7" width="12.1640625" bestFit="1" customWidth="1"/>
    <col min="8" max="8" width="16.33203125" bestFit="1" customWidth="1"/>
  </cols>
  <sheetData>
    <row r="1" spans="1:11" x14ac:dyDescent="0.2">
      <c r="A1" t="s">
        <v>119</v>
      </c>
      <c r="B1" t="s">
        <v>120</v>
      </c>
      <c r="C1" t="s">
        <v>121</v>
      </c>
      <c r="D1" t="s">
        <v>122</v>
      </c>
      <c r="E1" t="s">
        <v>123</v>
      </c>
      <c r="F1" t="s">
        <v>138</v>
      </c>
      <c r="G1" t="s">
        <v>139</v>
      </c>
      <c r="H1" t="s">
        <v>140</v>
      </c>
      <c r="I1" t="s">
        <v>141</v>
      </c>
      <c r="J1" t="s">
        <v>142</v>
      </c>
      <c r="K1" t="s">
        <v>143</v>
      </c>
    </row>
    <row r="2" spans="1:11" x14ac:dyDescent="0.2">
      <c r="A2" t="str">
        <f>IF(D2=1,CONCATENATE(B2,"_",C2,"_010_",E2),CONCATENATE(B2,"_",C2,"_1020_",E2))</f>
        <v>ES_MM_010_R2</v>
      </c>
      <c r="B2" t="s">
        <v>9</v>
      </c>
      <c r="C2" t="s">
        <v>8</v>
      </c>
      <c r="D2">
        <v>1</v>
      </c>
      <c r="E2" t="s">
        <v>4</v>
      </c>
      <c r="F2" t="s">
        <v>3</v>
      </c>
      <c r="G2" t="s">
        <v>107</v>
      </c>
      <c r="H2">
        <f>VLOOKUP(G2,Cylinder_weight_bulk!$A$2:$B$91,2,FALSE)</f>
        <v>90.69</v>
      </c>
      <c r="I2">
        <v>12.54</v>
      </c>
      <c r="J2">
        <v>199.12</v>
      </c>
      <c r="K2">
        <v>159.09</v>
      </c>
    </row>
    <row r="3" spans="1:11" x14ac:dyDescent="0.2">
      <c r="A3" t="str">
        <f t="shared" ref="A3:A66" si="0">IF(D3=1,CONCATENATE(B3,"_",C3,"_010_",E3),CONCATENATE(B3,"_",C3,"_1020_",E3))</f>
        <v>ES_MM_010_R1</v>
      </c>
      <c r="B3" t="s">
        <v>9</v>
      </c>
      <c r="C3" t="s">
        <v>8</v>
      </c>
      <c r="D3">
        <v>1</v>
      </c>
      <c r="E3" t="s">
        <v>0</v>
      </c>
      <c r="F3" t="s">
        <v>1</v>
      </c>
      <c r="G3" t="s">
        <v>105</v>
      </c>
      <c r="H3">
        <f>VLOOKUP(G3,Cylinder_weight_bulk!$A$2:$B$91,2,FALSE)</f>
        <v>90.1</v>
      </c>
      <c r="I3">
        <v>12.67</v>
      </c>
      <c r="J3">
        <v>202.76</v>
      </c>
      <c r="K3">
        <v>161.27000000000001</v>
      </c>
    </row>
    <row r="4" spans="1:11" x14ac:dyDescent="0.2">
      <c r="A4" t="str">
        <f t="shared" si="0"/>
        <v>ES_MM_010_R2</v>
      </c>
      <c r="B4" t="s">
        <v>9</v>
      </c>
      <c r="C4" t="s">
        <v>8</v>
      </c>
      <c r="D4">
        <v>1</v>
      </c>
      <c r="E4" t="s">
        <v>4</v>
      </c>
      <c r="F4" t="s">
        <v>1</v>
      </c>
      <c r="G4" t="s">
        <v>108</v>
      </c>
      <c r="H4">
        <f>VLOOKUP(G4,Cylinder_weight_bulk!$A$2:$B$91,2,FALSE)</f>
        <v>89.72</v>
      </c>
      <c r="I4">
        <v>12.75</v>
      </c>
      <c r="J4">
        <v>201.99</v>
      </c>
      <c r="K4">
        <v>161.49</v>
      </c>
    </row>
    <row r="5" spans="1:11" x14ac:dyDescent="0.2">
      <c r="A5" t="str">
        <f t="shared" si="0"/>
        <v>ES_MM_010_R2</v>
      </c>
      <c r="B5" t="s">
        <v>9</v>
      </c>
      <c r="C5" t="s">
        <v>8</v>
      </c>
      <c r="D5">
        <v>1</v>
      </c>
      <c r="E5" t="s">
        <v>4</v>
      </c>
      <c r="F5" t="s">
        <v>2</v>
      </c>
      <c r="G5" t="s">
        <v>106</v>
      </c>
      <c r="H5">
        <f>VLOOKUP(G5,Cylinder_weight_bulk!$A$2:$B$91,2,FALSE)</f>
        <v>90.57</v>
      </c>
      <c r="I5">
        <v>12.72</v>
      </c>
      <c r="J5">
        <v>210.3</v>
      </c>
      <c r="K5">
        <v>163</v>
      </c>
    </row>
    <row r="6" spans="1:11" x14ac:dyDescent="0.2">
      <c r="A6" t="str">
        <f t="shared" si="0"/>
        <v>ES_MM_010_R1</v>
      </c>
      <c r="B6" t="s">
        <v>9</v>
      </c>
      <c r="C6" t="s">
        <v>8</v>
      </c>
      <c r="D6">
        <v>1</v>
      </c>
      <c r="E6" t="s">
        <v>0</v>
      </c>
      <c r="F6" t="s">
        <v>3</v>
      </c>
      <c r="G6" t="s">
        <v>103</v>
      </c>
      <c r="H6">
        <f>VLOOKUP(G6,Cylinder_weight_bulk!$A$2:$B$91,2,FALSE)</f>
        <v>90.48</v>
      </c>
      <c r="I6">
        <v>12.9</v>
      </c>
      <c r="J6">
        <v>204.4</v>
      </c>
      <c r="K6">
        <v>163.61000000000001</v>
      </c>
    </row>
    <row r="7" spans="1:11" x14ac:dyDescent="0.2">
      <c r="A7" t="str">
        <f t="shared" si="0"/>
        <v>ES_MM_010_R1</v>
      </c>
      <c r="B7" t="s">
        <v>9</v>
      </c>
      <c r="C7" t="s">
        <v>8</v>
      </c>
      <c r="D7">
        <v>1</v>
      </c>
      <c r="E7" t="s">
        <v>0</v>
      </c>
      <c r="F7" t="s">
        <v>2</v>
      </c>
      <c r="G7" t="s">
        <v>104</v>
      </c>
      <c r="H7">
        <f>VLOOKUP(G7,Cylinder_weight_bulk!$A$2:$B$91,2,FALSE)</f>
        <v>90.07</v>
      </c>
      <c r="I7">
        <v>12.64</v>
      </c>
      <c r="J7">
        <v>210.01</v>
      </c>
      <c r="K7">
        <v>167.19</v>
      </c>
    </row>
    <row r="8" spans="1:11" x14ac:dyDescent="0.2">
      <c r="A8" t="str">
        <f t="shared" si="0"/>
        <v>ES_MM_1020_R2</v>
      </c>
      <c r="B8" t="s">
        <v>9</v>
      </c>
      <c r="C8" t="s">
        <v>8</v>
      </c>
      <c r="D8">
        <v>2</v>
      </c>
      <c r="E8" t="s">
        <v>4</v>
      </c>
      <c r="F8" t="s">
        <v>2</v>
      </c>
      <c r="G8" t="s">
        <v>111</v>
      </c>
      <c r="H8">
        <f>VLOOKUP(G8,Cylinder_weight_bulk!$A$2:$B$91,2,FALSE)</f>
        <v>89.33</v>
      </c>
      <c r="I8">
        <v>12.44</v>
      </c>
      <c r="J8">
        <v>224.16</v>
      </c>
      <c r="K8">
        <v>177.34</v>
      </c>
    </row>
    <row r="9" spans="1:11" x14ac:dyDescent="0.2">
      <c r="A9" t="str">
        <f t="shared" si="0"/>
        <v>ES_MM_1020_R1</v>
      </c>
      <c r="B9" t="s">
        <v>9</v>
      </c>
      <c r="C9" t="s">
        <v>8</v>
      </c>
      <c r="D9">
        <v>2</v>
      </c>
      <c r="E9" t="s">
        <v>0</v>
      </c>
      <c r="F9" t="s">
        <v>1</v>
      </c>
      <c r="G9" t="s">
        <v>114</v>
      </c>
      <c r="H9">
        <f>VLOOKUP(G9,Cylinder_weight_bulk!$A$2:$B$91,2,FALSE)</f>
        <v>90.13</v>
      </c>
      <c r="I9">
        <v>12.45</v>
      </c>
      <c r="J9">
        <v>237.87</v>
      </c>
      <c r="K9">
        <v>192.31</v>
      </c>
    </row>
    <row r="10" spans="1:11" x14ac:dyDescent="0.2">
      <c r="A10" t="str">
        <f t="shared" si="0"/>
        <v>ES_MM_1020_R2</v>
      </c>
      <c r="B10" t="s">
        <v>9</v>
      </c>
      <c r="C10" t="s">
        <v>8</v>
      </c>
      <c r="D10">
        <v>2</v>
      </c>
      <c r="E10" t="s">
        <v>4</v>
      </c>
      <c r="F10" t="s">
        <v>3</v>
      </c>
      <c r="G10" t="s">
        <v>110</v>
      </c>
      <c r="H10">
        <f>VLOOKUP(G10,Cylinder_weight_bulk!$A$2:$B$91,2,FALSE)</f>
        <v>90.51</v>
      </c>
      <c r="I10">
        <v>12.62</v>
      </c>
      <c r="J10">
        <v>245.29</v>
      </c>
      <c r="K10">
        <v>197.74</v>
      </c>
    </row>
    <row r="11" spans="1:11" x14ac:dyDescent="0.2">
      <c r="A11" t="str">
        <f t="shared" si="0"/>
        <v>ES_MM_1020_R1</v>
      </c>
      <c r="B11" t="s">
        <v>9</v>
      </c>
      <c r="C11" t="s">
        <v>8</v>
      </c>
      <c r="D11">
        <v>2</v>
      </c>
      <c r="E11" t="s">
        <v>0</v>
      </c>
      <c r="F11" t="s">
        <v>2</v>
      </c>
      <c r="G11" t="s">
        <v>113</v>
      </c>
      <c r="H11">
        <f>VLOOKUP(G11,Cylinder_weight_bulk!$A$2:$B$91,2,FALSE)</f>
        <v>90.42</v>
      </c>
      <c r="I11">
        <v>12.59</v>
      </c>
      <c r="J11">
        <v>248.6</v>
      </c>
      <c r="K11">
        <v>198.09</v>
      </c>
    </row>
    <row r="12" spans="1:11" x14ac:dyDescent="0.2">
      <c r="A12" t="str">
        <f t="shared" si="0"/>
        <v>ES_MM_1020_R2</v>
      </c>
      <c r="B12" t="s">
        <v>9</v>
      </c>
      <c r="C12" t="s">
        <v>8</v>
      </c>
      <c r="D12">
        <v>2</v>
      </c>
      <c r="E12" t="s">
        <v>4</v>
      </c>
      <c r="F12" t="s">
        <v>1</v>
      </c>
      <c r="G12" t="s">
        <v>109</v>
      </c>
      <c r="H12">
        <f>VLOOKUP(G12,Cylinder_weight_bulk!$A$2:$B$91,2,FALSE)</f>
        <v>89.63</v>
      </c>
      <c r="I12">
        <v>12.64</v>
      </c>
      <c r="J12">
        <v>251.76</v>
      </c>
      <c r="K12">
        <v>204.21</v>
      </c>
    </row>
    <row r="13" spans="1:11" x14ac:dyDescent="0.2">
      <c r="A13" t="str">
        <f t="shared" si="0"/>
        <v>ES_MM_1020_R1</v>
      </c>
      <c r="B13" t="s">
        <v>9</v>
      </c>
      <c r="C13" t="s">
        <v>8</v>
      </c>
      <c r="D13">
        <v>2</v>
      </c>
      <c r="E13" t="s">
        <v>0</v>
      </c>
      <c r="F13" t="s">
        <v>3</v>
      </c>
      <c r="G13" t="s">
        <v>112</v>
      </c>
      <c r="H13">
        <f>VLOOKUP(G13,Cylinder_weight_bulk!$A$2:$B$91,2,FALSE)</f>
        <v>90.29</v>
      </c>
      <c r="I13">
        <v>12.39</v>
      </c>
      <c r="J13">
        <v>261.52999999999997</v>
      </c>
      <c r="K13">
        <v>212.49</v>
      </c>
    </row>
    <row r="14" spans="1:11" x14ac:dyDescent="0.2">
      <c r="A14" t="str">
        <f t="shared" si="0"/>
        <v>ES_NM_010_R1</v>
      </c>
      <c r="B14" t="s">
        <v>9</v>
      </c>
      <c r="C14" t="s">
        <v>6</v>
      </c>
      <c r="D14">
        <v>1</v>
      </c>
      <c r="E14" t="s">
        <v>0</v>
      </c>
      <c r="F14" t="s">
        <v>1</v>
      </c>
      <c r="G14" t="s">
        <v>99</v>
      </c>
      <c r="H14">
        <f>VLOOKUP(G14,Cylinder_weight_bulk!$A$2:$B$91,2,FALSE)</f>
        <v>90.43</v>
      </c>
      <c r="I14">
        <v>12.61</v>
      </c>
      <c r="J14">
        <v>270.49</v>
      </c>
      <c r="K14">
        <v>224.52</v>
      </c>
    </row>
    <row r="15" spans="1:11" x14ac:dyDescent="0.2">
      <c r="A15" t="str">
        <f t="shared" si="0"/>
        <v>ES_NM_010_R1</v>
      </c>
      <c r="B15" t="s">
        <v>9</v>
      </c>
      <c r="C15" t="s">
        <v>6</v>
      </c>
      <c r="D15">
        <v>1</v>
      </c>
      <c r="E15" t="s">
        <v>0</v>
      </c>
      <c r="F15" t="s">
        <v>3</v>
      </c>
      <c r="G15" t="s">
        <v>97</v>
      </c>
      <c r="H15">
        <f>VLOOKUP(G15,Cylinder_weight_bulk!$A$2:$B$91,2,FALSE)</f>
        <v>89.64</v>
      </c>
      <c r="I15">
        <v>12.42</v>
      </c>
      <c r="J15">
        <v>273.17</v>
      </c>
      <c r="K15">
        <v>228.5</v>
      </c>
    </row>
    <row r="16" spans="1:11" x14ac:dyDescent="0.2">
      <c r="A16" t="str">
        <f t="shared" si="0"/>
        <v>ES_NM_010_R1</v>
      </c>
      <c r="B16" t="s">
        <v>9</v>
      </c>
      <c r="C16" t="s">
        <v>6</v>
      </c>
      <c r="D16">
        <v>1</v>
      </c>
      <c r="E16" t="s">
        <v>0</v>
      </c>
      <c r="F16" t="s">
        <v>2</v>
      </c>
      <c r="G16" t="s">
        <v>98</v>
      </c>
      <c r="H16">
        <f>VLOOKUP(G16,Cylinder_weight_bulk!$A$2:$B$91,2,FALSE)</f>
        <v>90.31</v>
      </c>
      <c r="I16">
        <v>12.61</v>
      </c>
      <c r="J16">
        <v>272.08999999999997</v>
      </c>
      <c r="K16">
        <v>230.32</v>
      </c>
    </row>
    <row r="17" spans="1:11" x14ac:dyDescent="0.2">
      <c r="A17" t="str">
        <f t="shared" si="0"/>
        <v>ES_NM_010_R2</v>
      </c>
      <c r="B17" t="s">
        <v>9</v>
      </c>
      <c r="C17" t="s">
        <v>6</v>
      </c>
      <c r="D17">
        <v>1</v>
      </c>
      <c r="E17" t="s">
        <v>4</v>
      </c>
      <c r="F17" t="s">
        <v>1</v>
      </c>
      <c r="G17" t="s">
        <v>102</v>
      </c>
      <c r="H17">
        <f>VLOOKUP(G17,Cylinder_weight_bulk!$A$2:$B$91,2,FALSE)</f>
        <v>89.86</v>
      </c>
      <c r="I17">
        <v>12.71</v>
      </c>
      <c r="J17">
        <v>261.79000000000002</v>
      </c>
      <c r="K17">
        <v>232.51</v>
      </c>
    </row>
    <row r="18" spans="1:11" x14ac:dyDescent="0.2">
      <c r="A18" t="str">
        <f t="shared" si="0"/>
        <v>ES_NM_010_R2</v>
      </c>
      <c r="B18" t="s">
        <v>9</v>
      </c>
      <c r="C18" t="s">
        <v>6</v>
      </c>
      <c r="D18">
        <v>1</v>
      </c>
      <c r="E18" t="s">
        <v>4</v>
      </c>
      <c r="F18" t="s">
        <v>3</v>
      </c>
      <c r="G18" t="s">
        <v>101</v>
      </c>
      <c r="H18">
        <f>VLOOKUP(G18,Cylinder_weight_bulk!$A$2:$B$91,2,FALSE)</f>
        <v>90.21</v>
      </c>
      <c r="I18">
        <v>12.53</v>
      </c>
      <c r="J18">
        <v>268.04000000000002</v>
      </c>
      <c r="K18">
        <v>238.92</v>
      </c>
    </row>
    <row r="19" spans="1:11" x14ac:dyDescent="0.2">
      <c r="A19" t="str">
        <f t="shared" si="0"/>
        <v>ES_NM_010_R2</v>
      </c>
      <c r="B19" t="s">
        <v>9</v>
      </c>
      <c r="C19" t="s">
        <v>6</v>
      </c>
      <c r="D19">
        <v>1</v>
      </c>
      <c r="E19" t="s">
        <v>4</v>
      </c>
      <c r="F19" t="s">
        <v>2</v>
      </c>
      <c r="G19" t="s">
        <v>100</v>
      </c>
      <c r="H19">
        <f>VLOOKUP(G19,Cylinder_weight_bulk!$A$2:$B$91,2,FALSE)</f>
        <v>89.76</v>
      </c>
      <c r="I19">
        <v>12.52</v>
      </c>
      <c r="J19">
        <v>281.14</v>
      </c>
      <c r="K19">
        <v>247.24</v>
      </c>
    </row>
    <row r="20" spans="1:11" x14ac:dyDescent="0.2">
      <c r="A20" t="str">
        <f t="shared" si="0"/>
        <v>ES_NM_1020_R2</v>
      </c>
      <c r="B20" t="s">
        <v>9</v>
      </c>
      <c r="C20" t="s">
        <v>6</v>
      </c>
      <c r="D20">
        <v>2</v>
      </c>
      <c r="E20" t="s">
        <v>4</v>
      </c>
      <c r="F20" t="s">
        <v>1</v>
      </c>
      <c r="G20" t="s">
        <v>116</v>
      </c>
      <c r="H20" t="e">
        <f>VLOOKUP(G20,Cylinder_weight_bulk!$A$2:$B$91,2,FALSE)</f>
        <v>#N/A</v>
      </c>
      <c r="I20" t="s">
        <v>116</v>
      </c>
      <c r="J20" t="s">
        <v>116</v>
      </c>
      <c r="K20" t="s">
        <v>116</v>
      </c>
    </row>
    <row r="21" spans="1:11" x14ac:dyDescent="0.2">
      <c r="A21" t="str">
        <f t="shared" si="0"/>
        <v>ES_NM_1020_R2</v>
      </c>
      <c r="B21" t="s">
        <v>9</v>
      </c>
      <c r="C21" t="s">
        <v>6</v>
      </c>
      <c r="D21">
        <v>2</v>
      </c>
      <c r="E21" t="s">
        <v>4</v>
      </c>
      <c r="F21" t="s">
        <v>2</v>
      </c>
      <c r="G21" t="s">
        <v>116</v>
      </c>
      <c r="H21" t="e">
        <f>VLOOKUP(G21,Cylinder_weight_bulk!$A$2:$B$91,2,FALSE)</f>
        <v>#N/A</v>
      </c>
      <c r="I21" t="s">
        <v>116</v>
      </c>
      <c r="J21" t="s">
        <v>116</v>
      </c>
      <c r="K21" t="s">
        <v>116</v>
      </c>
    </row>
    <row r="22" spans="1:11" x14ac:dyDescent="0.2">
      <c r="A22" t="str">
        <f t="shared" si="0"/>
        <v>ES_NM_1020_R2</v>
      </c>
      <c r="B22" t="s">
        <v>9</v>
      </c>
      <c r="C22" t="s">
        <v>6</v>
      </c>
      <c r="D22">
        <v>2</v>
      </c>
      <c r="E22" t="s">
        <v>4</v>
      </c>
      <c r="F22" t="s">
        <v>3</v>
      </c>
      <c r="G22" t="s">
        <v>116</v>
      </c>
      <c r="H22" t="e">
        <f>VLOOKUP(G22,Cylinder_weight_bulk!$A$2:$B$91,2,FALSE)</f>
        <v>#N/A</v>
      </c>
      <c r="I22" t="s">
        <v>116</v>
      </c>
      <c r="J22" t="s">
        <v>116</v>
      </c>
      <c r="K22" t="s">
        <v>116</v>
      </c>
    </row>
    <row r="23" spans="1:11" x14ac:dyDescent="0.2">
      <c r="A23" t="str">
        <f t="shared" si="0"/>
        <v>ES_NM_1020_R1</v>
      </c>
      <c r="B23" t="s">
        <v>9</v>
      </c>
      <c r="C23" t="s">
        <v>6</v>
      </c>
      <c r="D23">
        <v>2</v>
      </c>
      <c r="E23" t="s">
        <v>0</v>
      </c>
      <c r="F23" t="s">
        <v>1</v>
      </c>
      <c r="G23" t="s">
        <v>116</v>
      </c>
      <c r="H23" t="e">
        <f>VLOOKUP(G23,Cylinder_weight_bulk!$A$2:$B$91,2,FALSE)</f>
        <v>#N/A</v>
      </c>
      <c r="I23" t="s">
        <v>116</v>
      </c>
      <c r="J23" t="s">
        <v>116</v>
      </c>
      <c r="K23" t="s">
        <v>116</v>
      </c>
    </row>
    <row r="24" spans="1:11" x14ac:dyDescent="0.2">
      <c r="A24" t="str">
        <f t="shared" si="0"/>
        <v>ES_NM_1020_R1</v>
      </c>
      <c r="B24" t="s">
        <v>9</v>
      </c>
      <c r="C24" t="s">
        <v>6</v>
      </c>
      <c r="D24">
        <v>2</v>
      </c>
      <c r="E24" t="s">
        <v>0</v>
      </c>
      <c r="F24" t="s">
        <v>2</v>
      </c>
      <c r="G24" t="s">
        <v>116</v>
      </c>
      <c r="H24" t="e">
        <f>VLOOKUP(G24,Cylinder_weight_bulk!$A$2:$B$91,2,FALSE)</f>
        <v>#N/A</v>
      </c>
      <c r="I24" t="s">
        <v>116</v>
      </c>
      <c r="J24" t="s">
        <v>116</v>
      </c>
      <c r="K24" t="s">
        <v>116</v>
      </c>
    </row>
    <row r="25" spans="1:11" x14ac:dyDescent="0.2">
      <c r="A25" t="str">
        <f t="shared" si="0"/>
        <v>ES_NM_1020_R1</v>
      </c>
      <c r="B25" t="s">
        <v>9</v>
      </c>
      <c r="C25" t="s">
        <v>6</v>
      </c>
      <c r="D25">
        <v>2</v>
      </c>
      <c r="E25" t="s">
        <v>0</v>
      </c>
      <c r="F25" t="s">
        <v>3</v>
      </c>
      <c r="G25" t="s">
        <v>116</v>
      </c>
      <c r="H25" t="e">
        <f>VLOOKUP(G25,Cylinder_weight_bulk!$A$2:$B$91,2,FALSE)</f>
        <v>#N/A</v>
      </c>
      <c r="I25" t="s">
        <v>116</v>
      </c>
      <c r="J25" t="s">
        <v>116</v>
      </c>
      <c r="K25" t="s">
        <v>116</v>
      </c>
    </row>
    <row r="26" spans="1:11" x14ac:dyDescent="0.2">
      <c r="A26" t="str">
        <f t="shared" si="0"/>
        <v>FW_MM_010_R1</v>
      </c>
      <c r="B26" t="s">
        <v>10</v>
      </c>
      <c r="C26" t="s">
        <v>8</v>
      </c>
      <c r="D26">
        <v>1</v>
      </c>
      <c r="E26" t="s">
        <v>0</v>
      </c>
      <c r="F26" t="s">
        <v>3</v>
      </c>
      <c r="G26">
        <v>206</v>
      </c>
      <c r="H26">
        <f>VLOOKUP(G26,Cylinder_weight_bulk!$A$2:$B$91,2,FALSE)</f>
        <v>90.09</v>
      </c>
      <c r="I26">
        <v>12.33</v>
      </c>
      <c r="J26">
        <v>236.95</v>
      </c>
      <c r="K26">
        <v>180.85</v>
      </c>
    </row>
    <row r="27" spans="1:11" x14ac:dyDescent="0.2">
      <c r="A27" t="str">
        <f t="shared" si="0"/>
        <v>FW_MM_010_R2</v>
      </c>
      <c r="B27" t="s">
        <v>10</v>
      </c>
      <c r="C27" t="s">
        <v>8</v>
      </c>
      <c r="D27">
        <v>1</v>
      </c>
      <c r="E27" t="s">
        <v>4</v>
      </c>
      <c r="F27" t="s">
        <v>2</v>
      </c>
      <c r="G27">
        <v>216</v>
      </c>
      <c r="H27">
        <f>VLOOKUP(G27,Cylinder_weight_bulk!$A$2:$B$91,2,FALSE)</f>
        <v>90.7</v>
      </c>
      <c r="I27">
        <v>12.34</v>
      </c>
      <c r="J27">
        <v>236.92</v>
      </c>
      <c r="K27">
        <v>182.23</v>
      </c>
    </row>
    <row r="28" spans="1:11" x14ac:dyDescent="0.2">
      <c r="A28" t="str">
        <f t="shared" si="0"/>
        <v>FW_MM_010_R2</v>
      </c>
      <c r="B28" t="s">
        <v>10</v>
      </c>
      <c r="C28" t="s">
        <v>8</v>
      </c>
      <c r="D28">
        <v>1</v>
      </c>
      <c r="E28" t="s">
        <v>4</v>
      </c>
      <c r="F28" t="s">
        <v>1</v>
      </c>
      <c r="G28">
        <v>211</v>
      </c>
      <c r="H28">
        <f>VLOOKUP(G28,Cylinder_weight_bulk!$A$2:$B$91,2,FALSE)</f>
        <v>90.4</v>
      </c>
      <c r="I28">
        <v>12.35</v>
      </c>
      <c r="J28">
        <v>239.56</v>
      </c>
      <c r="K28">
        <v>184.43</v>
      </c>
    </row>
    <row r="29" spans="1:11" x14ac:dyDescent="0.2">
      <c r="A29" t="str">
        <f t="shared" si="0"/>
        <v>FW_MM_010_R2</v>
      </c>
      <c r="B29" t="s">
        <v>10</v>
      </c>
      <c r="C29" t="s">
        <v>8</v>
      </c>
      <c r="D29">
        <v>1</v>
      </c>
      <c r="E29" t="s">
        <v>4</v>
      </c>
      <c r="F29" t="s">
        <v>3</v>
      </c>
      <c r="G29">
        <v>224</v>
      </c>
      <c r="H29">
        <f>VLOOKUP(G29,Cylinder_weight_bulk!$A$2:$B$91,2,FALSE)</f>
        <v>90.29</v>
      </c>
      <c r="I29">
        <v>12.36</v>
      </c>
      <c r="J29">
        <v>236.57</v>
      </c>
      <c r="K29">
        <v>186.08</v>
      </c>
    </row>
    <row r="30" spans="1:11" x14ac:dyDescent="0.2">
      <c r="A30" t="str">
        <f t="shared" si="0"/>
        <v>FW_MM_1020_R2</v>
      </c>
      <c r="B30" t="s">
        <v>10</v>
      </c>
      <c r="C30" t="s">
        <v>8</v>
      </c>
      <c r="D30">
        <v>2</v>
      </c>
      <c r="E30" t="s">
        <v>4</v>
      </c>
      <c r="F30" t="s">
        <v>2</v>
      </c>
      <c r="G30">
        <v>219</v>
      </c>
      <c r="H30">
        <f>VLOOKUP(G30,Cylinder_weight_bulk!$A$2:$B$91,2,FALSE)</f>
        <v>89.84</v>
      </c>
      <c r="I30">
        <v>12.5</v>
      </c>
      <c r="J30">
        <v>235.25</v>
      </c>
      <c r="K30">
        <v>185.84</v>
      </c>
    </row>
    <row r="31" spans="1:11" x14ac:dyDescent="0.2">
      <c r="A31" t="str">
        <f t="shared" si="0"/>
        <v>FW_MM_010_R1</v>
      </c>
      <c r="B31" t="s">
        <v>10</v>
      </c>
      <c r="C31" t="s">
        <v>8</v>
      </c>
      <c r="D31">
        <v>1</v>
      </c>
      <c r="E31" t="s">
        <v>0</v>
      </c>
      <c r="F31" t="s">
        <v>2</v>
      </c>
      <c r="G31">
        <v>205</v>
      </c>
      <c r="H31">
        <f>VLOOKUP(G31,Cylinder_weight_bulk!$A$2:$B$91,2,FALSE)</f>
        <v>89.46</v>
      </c>
      <c r="I31">
        <v>12.57</v>
      </c>
      <c r="J31">
        <v>243.16</v>
      </c>
      <c r="K31">
        <v>189.06</v>
      </c>
    </row>
    <row r="32" spans="1:11" x14ac:dyDescent="0.2">
      <c r="A32" t="str">
        <f t="shared" si="0"/>
        <v>FW_MM_1020_R1</v>
      </c>
      <c r="B32" t="s">
        <v>10</v>
      </c>
      <c r="C32" t="s">
        <v>8</v>
      </c>
      <c r="D32">
        <v>2</v>
      </c>
      <c r="E32" t="s">
        <v>0</v>
      </c>
      <c r="F32" t="s">
        <v>1</v>
      </c>
      <c r="G32">
        <v>225</v>
      </c>
      <c r="H32">
        <f>VLOOKUP(G32,Cylinder_weight_bulk!$A$2:$B$91,2,FALSE)</f>
        <v>90.62</v>
      </c>
      <c r="I32">
        <v>12.72</v>
      </c>
      <c r="J32">
        <v>233.61</v>
      </c>
      <c r="K32">
        <v>190.41</v>
      </c>
    </row>
    <row r="33" spans="1:11" x14ac:dyDescent="0.2">
      <c r="A33" t="str">
        <f t="shared" si="0"/>
        <v>FW_NM_010_R1</v>
      </c>
      <c r="B33" t="s">
        <v>10</v>
      </c>
      <c r="C33" t="s">
        <v>6</v>
      </c>
      <c r="D33">
        <v>1</v>
      </c>
      <c r="E33" t="s">
        <v>0</v>
      </c>
      <c r="F33" t="s">
        <v>1</v>
      </c>
      <c r="G33">
        <v>207</v>
      </c>
      <c r="H33">
        <f>VLOOKUP(G33,Cylinder_weight_bulk!$A$2:$B$91,2,FALSE)</f>
        <v>90.66</v>
      </c>
      <c r="I33">
        <v>12.46</v>
      </c>
      <c r="J33">
        <v>235.26</v>
      </c>
      <c r="K33">
        <v>190.58</v>
      </c>
    </row>
    <row r="34" spans="1:11" x14ac:dyDescent="0.2">
      <c r="A34" t="str">
        <f t="shared" si="0"/>
        <v>FW_MM_1020_R2</v>
      </c>
      <c r="B34" t="s">
        <v>10</v>
      </c>
      <c r="C34" t="s">
        <v>8</v>
      </c>
      <c r="D34">
        <v>2</v>
      </c>
      <c r="E34" t="s">
        <v>4</v>
      </c>
      <c r="F34" t="s">
        <v>3</v>
      </c>
      <c r="G34">
        <v>208</v>
      </c>
      <c r="H34">
        <f>VLOOKUP(G34,Cylinder_weight_bulk!$A$2:$B$91,2,FALSE)</f>
        <v>89.99</v>
      </c>
      <c r="I34">
        <v>12.7</v>
      </c>
      <c r="J34">
        <v>243.6</v>
      </c>
      <c r="K34">
        <v>190.41</v>
      </c>
    </row>
    <row r="35" spans="1:11" x14ac:dyDescent="0.2">
      <c r="A35" t="str">
        <f t="shared" si="0"/>
        <v>FW_MM_1020_R2</v>
      </c>
      <c r="B35" t="s">
        <v>10</v>
      </c>
      <c r="C35" t="s">
        <v>8</v>
      </c>
      <c r="D35">
        <v>2</v>
      </c>
      <c r="E35" t="s">
        <v>4</v>
      </c>
      <c r="F35" t="s">
        <v>1</v>
      </c>
      <c r="G35">
        <v>222</v>
      </c>
      <c r="H35">
        <f>VLOOKUP(G35,Cylinder_weight_bulk!$A$2:$B$91,2,FALSE)</f>
        <v>90.68</v>
      </c>
      <c r="I35">
        <v>12.37</v>
      </c>
      <c r="J35">
        <v>245.85</v>
      </c>
      <c r="K35">
        <v>195.34</v>
      </c>
    </row>
    <row r="36" spans="1:11" x14ac:dyDescent="0.2">
      <c r="A36" t="str">
        <f t="shared" si="0"/>
        <v>FW_MM_1020_R1</v>
      </c>
      <c r="B36" t="s">
        <v>10</v>
      </c>
      <c r="C36" t="s">
        <v>8</v>
      </c>
      <c r="D36">
        <v>2</v>
      </c>
      <c r="E36" t="s">
        <v>0</v>
      </c>
      <c r="F36" t="s">
        <v>3</v>
      </c>
      <c r="G36">
        <v>221</v>
      </c>
      <c r="H36">
        <f>VLOOKUP(G36,Cylinder_weight_bulk!$A$2:$B$91,2,FALSE)</f>
        <v>90.75</v>
      </c>
      <c r="I36">
        <v>12.52</v>
      </c>
      <c r="J36">
        <v>240.13</v>
      </c>
      <c r="K36">
        <v>196.29</v>
      </c>
    </row>
    <row r="37" spans="1:11" x14ac:dyDescent="0.2">
      <c r="A37" t="str">
        <f t="shared" si="0"/>
        <v>FW_MM_010_R1</v>
      </c>
      <c r="B37" t="s">
        <v>10</v>
      </c>
      <c r="C37" t="s">
        <v>8</v>
      </c>
      <c r="D37">
        <v>1</v>
      </c>
      <c r="E37" t="s">
        <v>0</v>
      </c>
      <c r="F37" t="s">
        <v>1</v>
      </c>
      <c r="G37">
        <v>215</v>
      </c>
      <c r="H37">
        <f>VLOOKUP(G37,Cylinder_weight_bulk!$A$2:$B$91,2,FALSE)</f>
        <v>90.61</v>
      </c>
      <c r="I37">
        <v>12.33</v>
      </c>
      <c r="J37">
        <v>247.67</v>
      </c>
      <c r="K37">
        <v>196.36</v>
      </c>
    </row>
    <row r="38" spans="1:11" x14ac:dyDescent="0.2">
      <c r="A38" t="str">
        <f t="shared" si="0"/>
        <v>FW_MM_1020_R1</v>
      </c>
      <c r="B38" t="s">
        <v>10</v>
      </c>
      <c r="C38" t="s">
        <v>8</v>
      </c>
      <c r="D38">
        <v>2</v>
      </c>
      <c r="E38" t="s">
        <v>0</v>
      </c>
      <c r="F38" t="s">
        <v>2</v>
      </c>
      <c r="G38">
        <v>228</v>
      </c>
      <c r="H38">
        <f>VLOOKUP(G38,Cylinder_weight_bulk!$A$2:$B$91,2,FALSE)</f>
        <v>90.63</v>
      </c>
      <c r="I38">
        <v>12.59</v>
      </c>
      <c r="J38">
        <v>240.04</v>
      </c>
      <c r="K38">
        <v>198.85</v>
      </c>
    </row>
    <row r="39" spans="1:11" x14ac:dyDescent="0.2">
      <c r="A39" t="str">
        <f t="shared" si="0"/>
        <v>FW_NM_010_R1</v>
      </c>
      <c r="B39" t="s">
        <v>10</v>
      </c>
      <c r="C39" t="s">
        <v>6</v>
      </c>
      <c r="D39">
        <v>1</v>
      </c>
      <c r="E39" t="s">
        <v>0</v>
      </c>
      <c r="F39" t="s">
        <v>2</v>
      </c>
      <c r="G39">
        <v>210</v>
      </c>
      <c r="H39">
        <f>VLOOKUP(G39,Cylinder_weight_bulk!$A$2:$B$91,2,FALSE)</f>
        <v>90.28</v>
      </c>
      <c r="I39">
        <v>12.43</v>
      </c>
      <c r="J39">
        <v>240.3</v>
      </c>
      <c r="K39">
        <v>199.77</v>
      </c>
    </row>
    <row r="40" spans="1:11" x14ac:dyDescent="0.2">
      <c r="A40" t="str">
        <f t="shared" si="0"/>
        <v>FW_NM_010_R2</v>
      </c>
      <c r="B40" t="s">
        <v>10</v>
      </c>
      <c r="C40" t="s">
        <v>6</v>
      </c>
      <c r="D40">
        <v>1</v>
      </c>
      <c r="E40" t="s">
        <v>4</v>
      </c>
      <c r="F40" t="s">
        <v>2</v>
      </c>
      <c r="G40">
        <v>214</v>
      </c>
      <c r="H40">
        <f>VLOOKUP(G40,Cylinder_weight_bulk!$A$2:$B$91,2,FALSE)</f>
        <v>90.68</v>
      </c>
      <c r="I40">
        <v>12.54</v>
      </c>
      <c r="J40">
        <v>224.42</v>
      </c>
      <c r="K40">
        <v>200.25</v>
      </c>
    </row>
    <row r="41" spans="1:11" x14ac:dyDescent="0.2">
      <c r="A41" t="str">
        <f t="shared" si="0"/>
        <v>FW_NM_010_R2</v>
      </c>
      <c r="B41" t="s">
        <v>10</v>
      </c>
      <c r="C41" t="s">
        <v>6</v>
      </c>
      <c r="D41">
        <v>1</v>
      </c>
      <c r="E41" t="s">
        <v>4</v>
      </c>
      <c r="F41" t="s">
        <v>3</v>
      </c>
      <c r="G41">
        <v>217</v>
      </c>
      <c r="H41">
        <f>VLOOKUP(G41,Cylinder_weight_bulk!$A$2:$B$91,2,FALSE)</f>
        <v>90.2</v>
      </c>
      <c r="I41">
        <v>12.57</v>
      </c>
      <c r="J41">
        <v>229.43</v>
      </c>
      <c r="K41">
        <v>203.19</v>
      </c>
    </row>
    <row r="42" spans="1:11" x14ac:dyDescent="0.2">
      <c r="A42" t="str">
        <f t="shared" si="0"/>
        <v>FW_NM_010_R2</v>
      </c>
      <c r="B42" t="s">
        <v>10</v>
      </c>
      <c r="C42" t="s">
        <v>6</v>
      </c>
      <c r="D42">
        <v>1</v>
      </c>
      <c r="E42" t="s">
        <v>4</v>
      </c>
      <c r="F42" t="s">
        <v>1</v>
      </c>
      <c r="G42">
        <v>212</v>
      </c>
      <c r="H42">
        <f>VLOOKUP(G42,Cylinder_weight_bulk!$A$2:$B$91,2,FALSE)</f>
        <v>89.75</v>
      </c>
      <c r="I42">
        <v>12.5</v>
      </c>
      <c r="J42">
        <v>227.91</v>
      </c>
      <c r="K42">
        <v>204.89</v>
      </c>
    </row>
    <row r="43" spans="1:11" x14ac:dyDescent="0.2">
      <c r="A43" t="str">
        <f t="shared" si="0"/>
        <v>FW_NM_010_R1</v>
      </c>
      <c r="B43" t="s">
        <v>10</v>
      </c>
      <c r="C43" t="s">
        <v>6</v>
      </c>
      <c r="D43">
        <v>1</v>
      </c>
      <c r="E43" t="s">
        <v>0</v>
      </c>
      <c r="F43" t="s">
        <v>3</v>
      </c>
      <c r="G43">
        <v>223</v>
      </c>
      <c r="H43">
        <f>VLOOKUP(G43,Cylinder_weight_bulk!$A$2:$B$91,2,FALSE)</f>
        <v>90.22</v>
      </c>
      <c r="I43">
        <v>12.39</v>
      </c>
      <c r="J43">
        <v>243.62</v>
      </c>
      <c r="K43">
        <v>211.15</v>
      </c>
    </row>
    <row r="44" spans="1:11" x14ac:dyDescent="0.2">
      <c r="A44" t="str">
        <f t="shared" si="0"/>
        <v>FW_NM_1020_R2</v>
      </c>
      <c r="B44" t="s">
        <v>10</v>
      </c>
      <c r="C44" t="s">
        <v>6</v>
      </c>
      <c r="D44">
        <v>2</v>
      </c>
      <c r="E44" t="s">
        <v>4</v>
      </c>
      <c r="F44" t="s">
        <v>1</v>
      </c>
      <c r="G44" t="s">
        <v>116</v>
      </c>
      <c r="H44" t="e">
        <f>VLOOKUP(G44,Cylinder_weight_bulk!$A$2:$B$91,2,FALSE)</f>
        <v>#N/A</v>
      </c>
      <c r="I44" t="s">
        <v>116</v>
      </c>
      <c r="J44" t="s">
        <v>116</v>
      </c>
      <c r="K44" t="s">
        <v>116</v>
      </c>
    </row>
    <row r="45" spans="1:11" x14ac:dyDescent="0.2">
      <c r="A45" t="str">
        <f t="shared" si="0"/>
        <v>FW_NM_1020_R2</v>
      </c>
      <c r="B45" t="s">
        <v>10</v>
      </c>
      <c r="C45" t="s">
        <v>6</v>
      </c>
      <c r="D45">
        <v>2</v>
      </c>
      <c r="E45" t="s">
        <v>4</v>
      </c>
      <c r="F45" t="s">
        <v>2</v>
      </c>
      <c r="G45" t="s">
        <v>116</v>
      </c>
      <c r="H45" t="e">
        <f>VLOOKUP(G45,Cylinder_weight_bulk!$A$2:$B$91,2,FALSE)</f>
        <v>#N/A</v>
      </c>
      <c r="I45" t="s">
        <v>116</v>
      </c>
      <c r="J45" t="s">
        <v>116</v>
      </c>
      <c r="K45" t="s">
        <v>116</v>
      </c>
    </row>
    <row r="46" spans="1:11" x14ac:dyDescent="0.2">
      <c r="A46" t="str">
        <f t="shared" si="0"/>
        <v>FW_NM_1020_R2</v>
      </c>
      <c r="B46" t="s">
        <v>10</v>
      </c>
      <c r="C46" t="s">
        <v>6</v>
      </c>
      <c r="D46">
        <v>2</v>
      </c>
      <c r="E46" t="s">
        <v>4</v>
      </c>
      <c r="F46" t="s">
        <v>3</v>
      </c>
      <c r="G46" t="s">
        <v>116</v>
      </c>
      <c r="H46" t="e">
        <f>VLOOKUP(G46,Cylinder_weight_bulk!$A$2:$B$91,2,FALSE)</f>
        <v>#N/A</v>
      </c>
      <c r="I46" t="s">
        <v>116</v>
      </c>
      <c r="J46" t="s">
        <v>116</v>
      </c>
      <c r="K46" t="s">
        <v>116</v>
      </c>
    </row>
    <row r="47" spans="1:11" x14ac:dyDescent="0.2">
      <c r="A47" t="str">
        <f t="shared" si="0"/>
        <v>FW_NM_1020_R1</v>
      </c>
      <c r="B47" t="s">
        <v>10</v>
      </c>
      <c r="C47" t="s">
        <v>6</v>
      </c>
      <c r="D47">
        <v>2</v>
      </c>
      <c r="E47" t="s">
        <v>0</v>
      </c>
      <c r="F47" t="s">
        <v>1</v>
      </c>
      <c r="G47" t="s">
        <v>116</v>
      </c>
      <c r="H47" t="e">
        <f>VLOOKUP(G47,Cylinder_weight_bulk!$A$2:$B$91,2,FALSE)</f>
        <v>#N/A</v>
      </c>
      <c r="I47" t="s">
        <v>116</v>
      </c>
      <c r="J47" t="s">
        <v>116</v>
      </c>
      <c r="K47" t="s">
        <v>116</v>
      </c>
    </row>
    <row r="48" spans="1:11" x14ac:dyDescent="0.2">
      <c r="A48" t="str">
        <f t="shared" si="0"/>
        <v>FW_NM_1020_R1</v>
      </c>
      <c r="B48" t="s">
        <v>10</v>
      </c>
      <c r="C48" t="s">
        <v>6</v>
      </c>
      <c r="D48">
        <v>2</v>
      </c>
      <c r="E48" t="s">
        <v>0</v>
      </c>
      <c r="F48" t="s">
        <v>2</v>
      </c>
      <c r="G48" t="s">
        <v>116</v>
      </c>
      <c r="H48" t="e">
        <f>VLOOKUP(G48,Cylinder_weight_bulk!$A$2:$B$91,2,FALSE)</f>
        <v>#N/A</v>
      </c>
      <c r="I48" t="s">
        <v>116</v>
      </c>
      <c r="J48" t="s">
        <v>116</v>
      </c>
      <c r="K48" t="s">
        <v>116</v>
      </c>
    </row>
    <row r="49" spans="1:11" x14ac:dyDescent="0.2">
      <c r="A49" t="str">
        <f t="shared" si="0"/>
        <v>FW_NM_1020_R1</v>
      </c>
      <c r="B49" t="s">
        <v>10</v>
      </c>
      <c r="C49" t="s">
        <v>6</v>
      </c>
      <c r="D49">
        <v>2</v>
      </c>
      <c r="E49" t="s">
        <v>0</v>
      </c>
      <c r="F49" t="s">
        <v>3</v>
      </c>
      <c r="G49" t="s">
        <v>116</v>
      </c>
      <c r="H49" t="e">
        <f>VLOOKUP(G49,Cylinder_weight_bulk!$A$2:$B$91,2,FALSE)</f>
        <v>#N/A</v>
      </c>
      <c r="I49" t="s">
        <v>116</v>
      </c>
      <c r="J49" t="s">
        <v>116</v>
      </c>
      <c r="K49" t="s">
        <v>116</v>
      </c>
    </row>
    <row r="50" spans="1:11" x14ac:dyDescent="0.2">
      <c r="A50" t="str">
        <f t="shared" si="0"/>
        <v>OI_NM_010_R1</v>
      </c>
      <c r="B50" t="s">
        <v>7</v>
      </c>
      <c r="C50" t="s">
        <v>6</v>
      </c>
      <c r="D50">
        <v>1</v>
      </c>
      <c r="E50" t="s">
        <v>0</v>
      </c>
      <c r="F50" t="s">
        <v>1</v>
      </c>
      <c r="G50">
        <v>138</v>
      </c>
      <c r="H50">
        <f>VLOOKUP(G50,Cylinder_weight_bulk!$A$2:$B$91,2,FALSE)</f>
        <v>95.62</v>
      </c>
      <c r="I50">
        <v>13.48</v>
      </c>
      <c r="J50">
        <v>198.83</v>
      </c>
      <c r="K50">
        <v>169.91</v>
      </c>
    </row>
    <row r="51" spans="1:11" x14ac:dyDescent="0.2">
      <c r="A51" t="str">
        <f t="shared" si="0"/>
        <v>OI_NM_010_R2</v>
      </c>
      <c r="B51" t="s">
        <v>7</v>
      </c>
      <c r="C51" t="s">
        <v>6</v>
      </c>
      <c r="D51">
        <v>1</v>
      </c>
      <c r="E51" t="s">
        <v>4</v>
      </c>
      <c r="F51" t="s">
        <v>3</v>
      </c>
      <c r="G51">
        <v>144</v>
      </c>
      <c r="H51">
        <f>VLOOKUP(G51,Cylinder_weight_bulk!$A$2:$B$91,2,FALSE)</f>
        <v>96.44</v>
      </c>
      <c r="I51">
        <v>13.13</v>
      </c>
      <c r="J51">
        <v>206.22</v>
      </c>
      <c r="K51">
        <v>172.65</v>
      </c>
    </row>
    <row r="52" spans="1:11" x14ac:dyDescent="0.2">
      <c r="A52" t="str">
        <f t="shared" si="0"/>
        <v>OI_MM_010_R1</v>
      </c>
      <c r="B52" t="s">
        <v>7</v>
      </c>
      <c r="C52" t="s">
        <v>8</v>
      </c>
      <c r="D52">
        <v>1</v>
      </c>
      <c r="E52" t="s">
        <v>0</v>
      </c>
      <c r="F52" t="s">
        <v>2</v>
      </c>
      <c r="G52">
        <v>152</v>
      </c>
      <c r="H52">
        <f>VLOOKUP(G52,Cylinder_weight_bulk!$A$2:$B$91,2,FALSE)</f>
        <v>96.28</v>
      </c>
      <c r="I52">
        <v>13</v>
      </c>
      <c r="J52">
        <v>208.5</v>
      </c>
      <c r="K52">
        <v>174.8</v>
      </c>
    </row>
    <row r="53" spans="1:11" x14ac:dyDescent="0.2">
      <c r="A53" t="str">
        <f t="shared" si="0"/>
        <v>OI_MM_010_R2</v>
      </c>
      <c r="B53" t="s">
        <v>7</v>
      </c>
      <c r="C53" t="s">
        <v>8</v>
      </c>
      <c r="D53">
        <v>1</v>
      </c>
      <c r="E53" t="s">
        <v>4</v>
      </c>
      <c r="F53" t="s">
        <v>2</v>
      </c>
      <c r="G53">
        <v>141</v>
      </c>
      <c r="H53">
        <f>VLOOKUP(G53,Cylinder_weight_bulk!$A$2:$B$91,2,FALSE)</f>
        <v>95.76</v>
      </c>
      <c r="I53">
        <v>12.89</v>
      </c>
      <c r="J53">
        <v>208.5</v>
      </c>
      <c r="K53">
        <v>174.72</v>
      </c>
    </row>
    <row r="54" spans="1:11" x14ac:dyDescent="0.2">
      <c r="A54" t="str">
        <f t="shared" si="0"/>
        <v>OI_NM_010_R2</v>
      </c>
      <c r="B54" t="s">
        <v>7</v>
      </c>
      <c r="C54" t="s">
        <v>6</v>
      </c>
      <c r="D54">
        <v>1</v>
      </c>
      <c r="E54" t="s">
        <v>4</v>
      </c>
      <c r="F54" t="s">
        <v>1</v>
      </c>
      <c r="G54">
        <v>140</v>
      </c>
      <c r="H54">
        <f>VLOOKUP(G54,Cylinder_weight_bulk!$A$2:$B$91,2,FALSE)</f>
        <v>95.1</v>
      </c>
      <c r="I54">
        <v>12.91</v>
      </c>
      <c r="J54">
        <v>214.31</v>
      </c>
      <c r="K54">
        <v>174.51</v>
      </c>
    </row>
    <row r="55" spans="1:11" x14ac:dyDescent="0.2">
      <c r="A55" t="str">
        <f t="shared" si="0"/>
        <v>OI_MM_010_R2</v>
      </c>
      <c r="B55" t="s">
        <v>7</v>
      </c>
      <c r="C55" t="s">
        <v>8</v>
      </c>
      <c r="D55">
        <v>1</v>
      </c>
      <c r="E55" t="s">
        <v>4</v>
      </c>
      <c r="F55" t="s">
        <v>1</v>
      </c>
      <c r="G55">
        <v>142</v>
      </c>
      <c r="H55">
        <f>VLOOKUP(G55,Cylinder_weight_bulk!$A$2:$B$91,2,FALSE)</f>
        <v>93.02</v>
      </c>
      <c r="I55">
        <v>13.28</v>
      </c>
      <c r="J55">
        <v>215.91</v>
      </c>
      <c r="K55">
        <v>182.48</v>
      </c>
    </row>
    <row r="56" spans="1:11" x14ac:dyDescent="0.2">
      <c r="A56" t="str">
        <f t="shared" si="0"/>
        <v>OI_NM_010_R2</v>
      </c>
      <c r="B56" t="s">
        <v>7</v>
      </c>
      <c r="C56" t="s">
        <v>6</v>
      </c>
      <c r="D56">
        <v>1</v>
      </c>
      <c r="E56" t="s">
        <v>4</v>
      </c>
      <c r="F56" t="s">
        <v>2</v>
      </c>
      <c r="G56">
        <v>143</v>
      </c>
      <c r="H56">
        <f>VLOOKUP(G56,Cylinder_weight_bulk!$A$2:$B$91,2,FALSE)</f>
        <v>95.69</v>
      </c>
      <c r="I56">
        <v>12.81</v>
      </c>
      <c r="J56">
        <v>225.09</v>
      </c>
      <c r="K56">
        <v>186.66</v>
      </c>
    </row>
    <row r="57" spans="1:11" x14ac:dyDescent="0.2">
      <c r="A57" t="str">
        <f t="shared" si="0"/>
        <v>OI_NM_010_R1</v>
      </c>
      <c r="B57" t="s">
        <v>7</v>
      </c>
      <c r="C57" t="s">
        <v>6</v>
      </c>
      <c r="D57">
        <v>1</v>
      </c>
      <c r="E57" t="s">
        <v>0</v>
      </c>
      <c r="F57" t="s">
        <v>2</v>
      </c>
      <c r="G57">
        <v>139</v>
      </c>
      <c r="H57">
        <f>VLOOKUP(G57,Cylinder_weight_bulk!$A$2:$B$91,2,FALSE)</f>
        <v>95.34</v>
      </c>
      <c r="I57">
        <v>13.05</v>
      </c>
      <c r="J57">
        <v>221.64</v>
      </c>
      <c r="K57">
        <v>189.9</v>
      </c>
    </row>
    <row r="58" spans="1:11" x14ac:dyDescent="0.2">
      <c r="A58" t="str">
        <f t="shared" si="0"/>
        <v>OI_MM_010_R2</v>
      </c>
      <c r="B58" t="s">
        <v>7</v>
      </c>
      <c r="C58" t="s">
        <v>8</v>
      </c>
      <c r="D58">
        <v>1</v>
      </c>
      <c r="E58" t="s">
        <v>4</v>
      </c>
      <c r="F58" t="s">
        <v>3</v>
      </c>
      <c r="G58">
        <v>146</v>
      </c>
      <c r="H58">
        <f>VLOOKUP(G58,Cylinder_weight_bulk!$A$2:$B$91,2,FALSE)</f>
        <v>96.41</v>
      </c>
      <c r="I58">
        <v>12.81</v>
      </c>
      <c r="J58">
        <v>231.15</v>
      </c>
      <c r="K58">
        <v>195.51</v>
      </c>
    </row>
    <row r="59" spans="1:11" x14ac:dyDescent="0.2">
      <c r="A59" t="str">
        <f t="shared" si="0"/>
        <v>OI_MM_010_R1</v>
      </c>
      <c r="B59" t="s">
        <v>7</v>
      </c>
      <c r="C59" t="s">
        <v>8</v>
      </c>
      <c r="D59">
        <v>1</v>
      </c>
      <c r="E59" t="s">
        <v>0</v>
      </c>
      <c r="F59" t="s">
        <v>1</v>
      </c>
      <c r="G59">
        <v>149</v>
      </c>
      <c r="H59">
        <f>VLOOKUP(G59,Cylinder_weight_bulk!$A$2:$B$91,2,FALSE)</f>
        <v>93.48</v>
      </c>
      <c r="I59" s="4" t="s">
        <v>118</v>
      </c>
      <c r="J59">
        <v>236.52</v>
      </c>
      <c r="K59">
        <v>203.27</v>
      </c>
    </row>
    <row r="60" spans="1:11" x14ac:dyDescent="0.2">
      <c r="A60" t="str">
        <f t="shared" si="0"/>
        <v>OI_MM_010_R1</v>
      </c>
      <c r="B60" t="s">
        <v>7</v>
      </c>
      <c r="C60" t="s">
        <v>8</v>
      </c>
      <c r="D60">
        <v>1</v>
      </c>
      <c r="E60" t="s">
        <v>0</v>
      </c>
      <c r="F60" t="s">
        <v>3</v>
      </c>
      <c r="G60">
        <v>150</v>
      </c>
      <c r="H60">
        <f>VLOOKUP(G60,Cylinder_weight_bulk!$A$2:$B$91,2,FALSE)</f>
        <v>96.09</v>
      </c>
      <c r="I60">
        <v>12.74</v>
      </c>
      <c r="J60">
        <v>247.99</v>
      </c>
      <c r="K60">
        <v>214.13</v>
      </c>
    </row>
    <row r="61" spans="1:11" x14ac:dyDescent="0.2">
      <c r="A61" t="str">
        <f t="shared" si="0"/>
        <v>OI_NM_010_R1</v>
      </c>
      <c r="B61" t="s">
        <v>7</v>
      </c>
      <c r="C61" t="s">
        <v>6</v>
      </c>
      <c r="D61">
        <v>1</v>
      </c>
      <c r="E61" t="s">
        <v>0</v>
      </c>
      <c r="F61" t="s">
        <v>3</v>
      </c>
      <c r="G61">
        <v>147</v>
      </c>
      <c r="H61">
        <f>VLOOKUP(G61,Cylinder_weight_bulk!$A$2:$B$91,2,FALSE)</f>
        <v>98.49</v>
      </c>
      <c r="I61">
        <v>13.26</v>
      </c>
      <c r="J61">
        <v>252.44</v>
      </c>
      <c r="K61">
        <v>222.25</v>
      </c>
    </row>
    <row r="62" spans="1:11" x14ac:dyDescent="0.2">
      <c r="A62" t="str">
        <f t="shared" si="0"/>
        <v>OI_MM_1020_R2</v>
      </c>
      <c r="B62" t="s">
        <v>7</v>
      </c>
      <c r="C62" t="s">
        <v>8</v>
      </c>
      <c r="D62">
        <v>2</v>
      </c>
      <c r="E62" t="s">
        <v>4</v>
      </c>
      <c r="F62" t="s">
        <v>2</v>
      </c>
      <c r="G62" t="s">
        <v>116</v>
      </c>
      <c r="H62" t="e">
        <f>VLOOKUP(G62,Cylinder_weight_bulk!$A$2:$B$91,2,FALSE)</f>
        <v>#N/A</v>
      </c>
      <c r="I62" t="s">
        <v>116</v>
      </c>
      <c r="J62" t="s">
        <v>116</v>
      </c>
      <c r="K62" t="s">
        <v>116</v>
      </c>
    </row>
    <row r="63" spans="1:11" x14ac:dyDescent="0.2">
      <c r="A63" t="str">
        <f t="shared" si="0"/>
        <v>OI_MM_1020_R2</v>
      </c>
      <c r="B63" t="s">
        <v>7</v>
      </c>
      <c r="C63" t="s">
        <v>8</v>
      </c>
      <c r="D63">
        <v>2</v>
      </c>
      <c r="E63" t="s">
        <v>4</v>
      </c>
      <c r="F63" t="s">
        <v>3</v>
      </c>
      <c r="G63" t="s">
        <v>116</v>
      </c>
      <c r="H63" t="e">
        <f>VLOOKUP(G63,Cylinder_weight_bulk!$A$2:$B$91,2,FALSE)</f>
        <v>#N/A</v>
      </c>
      <c r="I63" t="s">
        <v>116</v>
      </c>
      <c r="J63" t="s">
        <v>116</v>
      </c>
      <c r="K63" t="s">
        <v>116</v>
      </c>
    </row>
    <row r="64" spans="1:11" x14ac:dyDescent="0.2">
      <c r="A64" t="str">
        <f t="shared" si="0"/>
        <v>OI_NM_1020_R2</v>
      </c>
      <c r="B64" t="s">
        <v>7</v>
      </c>
      <c r="C64" t="s">
        <v>6</v>
      </c>
      <c r="D64">
        <v>2</v>
      </c>
      <c r="E64" t="s">
        <v>4</v>
      </c>
      <c r="F64" t="s">
        <v>1</v>
      </c>
      <c r="G64" t="s">
        <v>116</v>
      </c>
      <c r="H64" t="e">
        <f>VLOOKUP(G64,Cylinder_weight_bulk!$A$2:$B$91,2,FALSE)</f>
        <v>#N/A</v>
      </c>
      <c r="I64" t="s">
        <v>116</v>
      </c>
      <c r="J64" t="s">
        <v>116</v>
      </c>
      <c r="K64" t="s">
        <v>116</v>
      </c>
    </row>
    <row r="65" spans="1:11" x14ac:dyDescent="0.2">
      <c r="A65" t="str">
        <f t="shared" si="0"/>
        <v>OI_NM_1020_R2</v>
      </c>
      <c r="B65" t="s">
        <v>7</v>
      </c>
      <c r="C65" t="s">
        <v>6</v>
      </c>
      <c r="D65">
        <v>2</v>
      </c>
      <c r="E65" t="s">
        <v>4</v>
      </c>
      <c r="F65" t="s">
        <v>2</v>
      </c>
      <c r="G65" t="s">
        <v>116</v>
      </c>
      <c r="H65" t="e">
        <f>VLOOKUP(G65,Cylinder_weight_bulk!$A$2:$B$91,2,FALSE)</f>
        <v>#N/A</v>
      </c>
      <c r="I65" t="s">
        <v>116</v>
      </c>
      <c r="J65" t="s">
        <v>116</v>
      </c>
      <c r="K65" t="s">
        <v>116</v>
      </c>
    </row>
    <row r="66" spans="1:11" x14ac:dyDescent="0.2">
      <c r="A66" t="str">
        <f t="shared" si="0"/>
        <v>OI_NM_1020_R2</v>
      </c>
      <c r="B66" t="s">
        <v>7</v>
      </c>
      <c r="C66" t="s">
        <v>6</v>
      </c>
      <c r="D66">
        <v>2</v>
      </c>
      <c r="E66" t="s">
        <v>4</v>
      </c>
      <c r="F66" t="s">
        <v>3</v>
      </c>
      <c r="G66" t="s">
        <v>116</v>
      </c>
      <c r="H66" t="e">
        <f>VLOOKUP(G66,Cylinder_weight_bulk!$A$2:$B$91,2,FALSE)</f>
        <v>#N/A</v>
      </c>
      <c r="I66" t="s">
        <v>116</v>
      </c>
      <c r="J66" t="s">
        <v>116</v>
      </c>
      <c r="K66" t="s">
        <v>116</v>
      </c>
    </row>
    <row r="67" spans="1:11" x14ac:dyDescent="0.2">
      <c r="A67" t="str">
        <f t="shared" ref="A67:A121" si="1">IF(D67=1,CONCATENATE(B67,"_",C67,"_010_",E67),CONCATENATE(B67,"_",C67,"_1020_",E67))</f>
        <v>OI_MM_1020_R1</v>
      </c>
      <c r="B67" t="s">
        <v>7</v>
      </c>
      <c r="C67" t="s">
        <v>8</v>
      </c>
      <c r="D67">
        <v>2</v>
      </c>
      <c r="E67" t="s">
        <v>0</v>
      </c>
      <c r="F67" t="s">
        <v>1</v>
      </c>
      <c r="G67" t="s">
        <v>116</v>
      </c>
      <c r="H67" t="e">
        <f>VLOOKUP(G67,Cylinder_weight_bulk!$A$2:$B$91,2,FALSE)</f>
        <v>#N/A</v>
      </c>
      <c r="I67" t="s">
        <v>116</v>
      </c>
      <c r="J67" t="s">
        <v>116</v>
      </c>
      <c r="K67" t="s">
        <v>116</v>
      </c>
    </row>
    <row r="68" spans="1:11" x14ac:dyDescent="0.2">
      <c r="A68" t="str">
        <f t="shared" si="1"/>
        <v>OI_MM_1020_R2</v>
      </c>
      <c r="B68" t="s">
        <v>7</v>
      </c>
      <c r="C68" t="s">
        <v>8</v>
      </c>
      <c r="D68">
        <v>2</v>
      </c>
      <c r="E68" t="s">
        <v>4</v>
      </c>
      <c r="F68" t="s">
        <v>1</v>
      </c>
      <c r="G68" t="s">
        <v>116</v>
      </c>
      <c r="H68" t="e">
        <f>VLOOKUP(G68,Cylinder_weight_bulk!$A$2:$B$91,2,FALSE)</f>
        <v>#N/A</v>
      </c>
      <c r="I68" t="s">
        <v>116</v>
      </c>
      <c r="J68" t="s">
        <v>116</v>
      </c>
      <c r="K68" t="s">
        <v>116</v>
      </c>
    </row>
    <row r="69" spans="1:11" x14ac:dyDescent="0.2">
      <c r="A69" t="str">
        <f t="shared" si="1"/>
        <v>OI_MM_1020_R1</v>
      </c>
      <c r="B69" t="s">
        <v>7</v>
      </c>
      <c r="C69" t="s">
        <v>8</v>
      </c>
      <c r="D69">
        <v>2</v>
      </c>
      <c r="E69" t="s">
        <v>0</v>
      </c>
      <c r="F69" t="s">
        <v>2</v>
      </c>
      <c r="G69" t="s">
        <v>116</v>
      </c>
      <c r="H69" t="e">
        <f>VLOOKUP(G69,Cylinder_weight_bulk!$A$2:$B$91,2,FALSE)</f>
        <v>#N/A</v>
      </c>
      <c r="I69" t="s">
        <v>116</v>
      </c>
      <c r="J69" t="s">
        <v>116</v>
      </c>
      <c r="K69" t="s">
        <v>116</v>
      </c>
    </row>
    <row r="70" spans="1:11" x14ac:dyDescent="0.2">
      <c r="A70" t="str">
        <f t="shared" si="1"/>
        <v>OI_MM_1020_R1</v>
      </c>
      <c r="B70" t="s">
        <v>7</v>
      </c>
      <c r="C70" t="s">
        <v>8</v>
      </c>
      <c r="D70">
        <v>2</v>
      </c>
      <c r="E70" t="s">
        <v>0</v>
      </c>
      <c r="F70" t="s">
        <v>3</v>
      </c>
      <c r="G70" t="s">
        <v>116</v>
      </c>
      <c r="H70" t="e">
        <f>VLOOKUP(G70,Cylinder_weight_bulk!$A$2:$B$91,2,FALSE)</f>
        <v>#N/A</v>
      </c>
      <c r="I70" t="s">
        <v>116</v>
      </c>
      <c r="J70" t="s">
        <v>116</v>
      </c>
      <c r="K70" t="s">
        <v>116</v>
      </c>
    </row>
    <row r="71" spans="1:11" x14ac:dyDescent="0.2">
      <c r="A71" t="str">
        <f t="shared" si="1"/>
        <v>OI_NM_1020_R1</v>
      </c>
      <c r="B71" t="s">
        <v>7</v>
      </c>
      <c r="C71" t="s">
        <v>6</v>
      </c>
      <c r="D71">
        <v>2</v>
      </c>
      <c r="E71" t="s">
        <v>0</v>
      </c>
      <c r="F71" t="s">
        <v>1</v>
      </c>
      <c r="G71" t="s">
        <v>116</v>
      </c>
      <c r="H71" t="e">
        <f>VLOOKUP(G71,Cylinder_weight_bulk!$A$2:$B$91,2,FALSE)</f>
        <v>#N/A</v>
      </c>
      <c r="I71" t="s">
        <v>116</v>
      </c>
      <c r="J71" t="s">
        <v>116</v>
      </c>
      <c r="K71" t="s">
        <v>116</v>
      </c>
    </row>
    <row r="72" spans="1:11" x14ac:dyDescent="0.2">
      <c r="A72" t="str">
        <f t="shared" si="1"/>
        <v>OI_NM_1020_R1</v>
      </c>
      <c r="B72" t="s">
        <v>7</v>
      </c>
      <c r="C72" t="s">
        <v>6</v>
      </c>
      <c r="D72">
        <v>2</v>
      </c>
      <c r="E72" t="s">
        <v>0</v>
      </c>
      <c r="F72" t="s">
        <v>2</v>
      </c>
      <c r="G72" t="s">
        <v>116</v>
      </c>
      <c r="H72" t="e">
        <f>VLOOKUP(G72,Cylinder_weight_bulk!$A$2:$B$91,2,FALSE)</f>
        <v>#N/A</v>
      </c>
      <c r="I72" t="s">
        <v>116</v>
      </c>
      <c r="J72" t="s">
        <v>116</v>
      </c>
      <c r="K72" t="s">
        <v>116</v>
      </c>
    </row>
    <row r="73" spans="1:11" x14ac:dyDescent="0.2">
      <c r="A73" t="str">
        <f t="shared" si="1"/>
        <v>OI_NM_1020_R1</v>
      </c>
      <c r="B73" t="s">
        <v>7</v>
      </c>
      <c r="C73" t="s">
        <v>6</v>
      </c>
      <c r="D73">
        <v>2</v>
      </c>
      <c r="E73" t="s">
        <v>0</v>
      </c>
      <c r="F73" t="s">
        <v>3</v>
      </c>
      <c r="G73" t="s">
        <v>116</v>
      </c>
      <c r="H73" t="e">
        <f>VLOOKUP(G73,Cylinder_weight_bulk!$A$2:$B$91,2,FALSE)</f>
        <v>#N/A</v>
      </c>
      <c r="I73" t="s">
        <v>116</v>
      </c>
      <c r="J73" t="s">
        <v>116</v>
      </c>
      <c r="K73" t="s">
        <v>116</v>
      </c>
    </row>
    <row r="74" spans="1:11" x14ac:dyDescent="0.2">
      <c r="A74" t="str">
        <f t="shared" si="1"/>
        <v>PP_MM_010_R1</v>
      </c>
      <c r="B74" t="s">
        <v>11</v>
      </c>
      <c r="C74" t="s">
        <v>8</v>
      </c>
      <c r="D74">
        <v>1</v>
      </c>
      <c r="E74" t="s">
        <v>0</v>
      </c>
      <c r="F74" t="s">
        <v>3</v>
      </c>
      <c r="G74">
        <v>126</v>
      </c>
      <c r="H74">
        <f>VLOOKUP(G74,Cylinder_weight_bulk!$A$2:$B$91,2,FALSE)</f>
        <v>96.76</v>
      </c>
      <c r="I74">
        <v>12.86</v>
      </c>
      <c r="J74">
        <v>263.02</v>
      </c>
      <c r="K74">
        <v>213.68</v>
      </c>
    </row>
    <row r="75" spans="1:11" x14ac:dyDescent="0.2">
      <c r="A75" t="str">
        <f t="shared" si="1"/>
        <v>PP_MM_010_R1</v>
      </c>
      <c r="B75" t="s">
        <v>11</v>
      </c>
      <c r="C75" t="s">
        <v>8</v>
      </c>
      <c r="D75">
        <v>1</v>
      </c>
      <c r="E75" t="s">
        <v>0</v>
      </c>
      <c r="F75" t="s">
        <v>2</v>
      </c>
      <c r="G75">
        <v>132</v>
      </c>
      <c r="H75">
        <f>VLOOKUP(G75,Cylinder_weight_bulk!$A$2:$B$91,2,FALSE)</f>
        <v>95.32</v>
      </c>
      <c r="I75">
        <v>12.62</v>
      </c>
      <c r="J75">
        <v>258.25</v>
      </c>
      <c r="K75">
        <v>212.29</v>
      </c>
    </row>
    <row r="76" spans="1:11" x14ac:dyDescent="0.2">
      <c r="A76" t="str">
        <f t="shared" si="1"/>
        <v>PP_MM_010_R2</v>
      </c>
      <c r="B76" t="s">
        <v>11</v>
      </c>
      <c r="C76" t="s">
        <v>8</v>
      </c>
      <c r="D76">
        <v>1</v>
      </c>
      <c r="E76" t="s">
        <v>4</v>
      </c>
      <c r="F76" t="s">
        <v>1</v>
      </c>
      <c r="G76">
        <v>129</v>
      </c>
      <c r="H76">
        <f>VLOOKUP(G76,Cylinder_weight_bulk!$A$2:$B$91,2,FALSE)</f>
        <v>96.76</v>
      </c>
      <c r="I76">
        <v>13.36</v>
      </c>
      <c r="J76">
        <v>258.92</v>
      </c>
      <c r="K76">
        <v>214.14</v>
      </c>
    </row>
    <row r="77" spans="1:11" x14ac:dyDescent="0.2">
      <c r="A77" t="str">
        <f t="shared" si="1"/>
        <v>PP_MM_010_R2</v>
      </c>
      <c r="B77" t="s">
        <v>11</v>
      </c>
      <c r="C77" t="s">
        <v>8</v>
      </c>
      <c r="D77">
        <v>1</v>
      </c>
      <c r="E77" t="s">
        <v>4</v>
      </c>
      <c r="F77" t="s">
        <v>2</v>
      </c>
      <c r="G77">
        <v>130</v>
      </c>
      <c r="H77">
        <f>VLOOKUP(G77,Cylinder_weight_bulk!$A$2:$B$91,2,FALSE)</f>
        <v>96.94</v>
      </c>
      <c r="I77">
        <v>12.75</v>
      </c>
      <c r="J77">
        <v>265.45</v>
      </c>
      <c r="K77">
        <v>216.41</v>
      </c>
    </row>
    <row r="78" spans="1:11" x14ac:dyDescent="0.2">
      <c r="A78" t="str">
        <f t="shared" si="1"/>
        <v>PP_MM_010_R2</v>
      </c>
      <c r="B78" t="s">
        <v>11</v>
      </c>
      <c r="C78" t="s">
        <v>8</v>
      </c>
      <c r="D78">
        <v>1</v>
      </c>
      <c r="E78" t="s">
        <v>4</v>
      </c>
      <c r="F78" t="s">
        <v>3</v>
      </c>
      <c r="G78">
        <v>131</v>
      </c>
      <c r="H78">
        <f>VLOOKUP(G78,Cylinder_weight_bulk!$A$2:$B$91,2,FALSE)</f>
        <v>97.95</v>
      </c>
      <c r="I78">
        <v>12.75</v>
      </c>
      <c r="J78">
        <v>267.86</v>
      </c>
      <c r="K78">
        <v>220.79</v>
      </c>
    </row>
    <row r="79" spans="1:11" x14ac:dyDescent="0.2">
      <c r="A79" t="str">
        <f t="shared" si="1"/>
        <v>PP_MM_1020_R2</v>
      </c>
      <c r="B79" t="s">
        <v>11</v>
      </c>
      <c r="C79" t="s">
        <v>8</v>
      </c>
      <c r="D79">
        <v>2</v>
      </c>
      <c r="E79" t="s">
        <v>4</v>
      </c>
      <c r="F79" t="s">
        <v>2</v>
      </c>
      <c r="G79">
        <v>128</v>
      </c>
      <c r="H79">
        <f>VLOOKUP(G79,Cylinder_weight_bulk!$A$2:$B$91,2,FALSE)</f>
        <v>97.16</v>
      </c>
      <c r="I79">
        <v>12.75</v>
      </c>
      <c r="J79">
        <v>267.69</v>
      </c>
      <c r="K79">
        <v>221.12</v>
      </c>
    </row>
    <row r="80" spans="1:11" x14ac:dyDescent="0.2">
      <c r="A80" t="str">
        <f t="shared" si="1"/>
        <v>PP_MM_1020_R1</v>
      </c>
      <c r="B80" t="s">
        <v>11</v>
      </c>
      <c r="C80" t="s">
        <v>8</v>
      </c>
      <c r="D80">
        <v>2</v>
      </c>
      <c r="E80" t="s">
        <v>0</v>
      </c>
      <c r="F80" t="s">
        <v>3</v>
      </c>
      <c r="G80">
        <v>136</v>
      </c>
      <c r="H80">
        <f>VLOOKUP(G80,Cylinder_weight_bulk!$A$2:$B$91,2,FALSE)</f>
        <v>95.03</v>
      </c>
      <c r="I80">
        <v>12.64</v>
      </c>
      <c r="J80">
        <v>271.68</v>
      </c>
      <c r="K80">
        <v>221.56</v>
      </c>
    </row>
    <row r="81" spans="1:11" x14ac:dyDescent="0.2">
      <c r="A81" t="str">
        <f t="shared" si="1"/>
        <v>PP_MM_1020_R2</v>
      </c>
      <c r="B81" t="s">
        <v>11</v>
      </c>
      <c r="C81" t="s">
        <v>8</v>
      </c>
      <c r="D81">
        <v>2</v>
      </c>
      <c r="E81" t="s">
        <v>4</v>
      </c>
      <c r="F81" t="s">
        <v>1</v>
      </c>
      <c r="G81">
        <v>127</v>
      </c>
      <c r="H81">
        <f>VLOOKUP(G81,Cylinder_weight_bulk!$A$2:$B$91,2,FALSE)</f>
        <v>96.34</v>
      </c>
      <c r="I81">
        <v>12.59</v>
      </c>
      <c r="J81">
        <v>266.97000000000003</v>
      </c>
      <c r="K81">
        <v>223.08</v>
      </c>
    </row>
    <row r="82" spans="1:11" x14ac:dyDescent="0.2">
      <c r="A82" t="str">
        <f t="shared" si="1"/>
        <v>PP_NM_010_R2</v>
      </c>
      <c r="B82" t="s">
        <v>11</v>
      </c>
      <c r="C82" t="s">
        <v>6</v>
      </c>
      <c r="D82">
        <v>1</v>
      </c>
      <c r="E82" t="s">
        <v>4</v>
      </c>
      <c r="F82" t="s">
        <v>3</v>
      </c>
      <c r="G82">
        <v>125</v>
      </c>
      <c r="H82">
        <f>VLOOKUP(G82,Cylinder_weight_bulk!$A$2:$B$91,2,FALSE)</f>
        <v>96.2</v>
      </c>
      <c r="I82">
        <v>12.93</v>
      </c>
      <c r="J82">
        <v>255.87</v>
      </c>
      <c r="K82">
        <v>223.47</v>
      </c>
    </row>
    <row r="83" spans="1:11" x14ac:dyDescent="0.2">
      <c r="A83" t="str">
        <f t="shared" si="1"/>
        <v>PP_MM_1020_R1</v>
      </c>
      <c r="B83" t="s">
        <v>11</v>
      </c>
      <c r="C83" t="s">
        <v>8</v>
      </c>
      <c r="D83">
        <v>2</v>
      </c>
      <c r="E83" t="s">
        <v>0</v>
      </c>
      <c r="F83" t="s">
        <v>1</v>
      </c>
      <c r="G83">
        <v>134</v>
      </c>
      <c r="H83">
        <f>VLOOKUP(G83,Cylinder_weight_bulk!$A$2:$B$91,2,FALSE)</f>
        <v>96.5</v>
      </c>
      <c r="I83">
        <v>12.62</v>
      </c>
      <c r="J83">
        <v>264.10000000000002</v>
      </c>
      <c r="K83">
        <v>225.5</v>
      </c>
    </row>
    <row r="84" spans="1:11" x14ac:dyDescent="0.2">
      <c r="A84" t="str">
        <f t="shared" si="1"/>
        <v>PP_NM_010_R1</v>
      </c>
      <c r="B84" t="s">
        <v>11</v>
      </c>
      <c r="C84" t="s">
        <v>6</v>
      </c>
      <c r="D84">
        <v>1</v>
      </c>
      <c r="E84" t="s">
        <v>0</v>
      </c>
      <c r="F84" t="s">
        <v>1</v>
      </c>
      <c r="G84">
        <v>123</v>
      </c>
      <c r="H84">
        <f>VLOOKUP(G84,Cylinder_weight_bulk!$A$2:$B$91,2,FALSE)</f>
        <v>96.54</v>
      </c>
      <c r="I84">
        <v>12.73</v>
      </c>
      <c r="J84">
        <v>262.83999999999997</v>
      </c>
      <c r="K84">
        <v>225.59</v>
      </c>
    </row>
    <row r="85" spans="1:11" x14ac:dyDescent="0.2">
      <c r="A85" t="str">
        <f t="shared" si="1"/>
        <v>PP_MM_010_R1</v>
      </c>
      <c r="B85" t="s">
        <v>11</v>
      </c>
      <c r="C85" t="s">
        <v>8</v>
      </c>
      <c r="D85">
        <v>1</v>
      </c>
      <c r="E85" t="s">
        <v>0</v>
      </c>
      <c r="F85" t="s">
        <v>1</v>
      </c>
      <c r="G85">
        <v>133</v>
      </c>
      <c r="H85">
        <f>VLOOKUP(G85,Cylinder_weight_bulk!$A$2:$B$91,2,FALSE)</f>
        <v>92.94</v>
      </c>
      <c r="I85">
        <v>12.42</v>
      </c>
      <c r="J85">
        <v>271.06</v>
      </c>
      <c r="K85">
        <v>222.58</v>
      </c>
    </row>
    <row r="86" spans="1:11" x14ac:dyDescent="0.2">
      <c r="A86" t="str">
        <f t="shared" si="1"/>
        <v>PP_MM_1020_R2</v>
      </c>
      <c r="B86" t="s">
        <v>11</v>
      </c>
      <c r="C86" t="s">
        <v>8</v>
      </c>
      <c r="D86">
        <v>2</v>
      </c>
      <c r="E86" t="s">
        <v>4</v>
      </c>
      <c r="F86" t="s">
        <v>3</v>
      </c>
      <c r="G86">
        <v>137</v>
      </c>
      <c r="H86">
        <f>VLOOKUP(G86,Cylinder_weight_bulk!$A$2:$B$91,2,FALSE)</f>
        <v>95.08</v>
      </c>
      <c r="I86">
        <v>12.69</v>
      </c>
      <c r="J86">
        <v>269.64999999999998</v>
      </c>
      <c r="K86">
        <v>225.62</v>
      </c>
    </row>
    <row r="87" spans="1:11" x14ac:dyDescent="0.2">
      <c r="A87" t="str">
        <f t="shared" si="1"/>
        <v>PP_NM_010_R2</v>
      </c>
      <c r="B87" t="s">
        <v>11</v>
      </c>
      <c r="C87" t="s">
        <v>6</v>
      </c>
      <c r="D87">
        <v>1</v>
      </c>
      <c r="E87" t="s">
        <v>4</v>
      </c>
      <c r="F87" t="s">
        <v>2</v>
      </c>
      <c r="G87">
        <v>122</v>
      </c>
      <c r="H87">
        <f>VLOOKUP(G87,Cylinder_weight_bulk!$A$2:$B$91,2,FALSE)</f>
        <v>96.06</v>
      </c>
      <c r="I87">
        <v>13.11</v>
      </c>
      <c r="J87">
        <v>257.45</v>
      </c>
      <c r="K87">
        <v>227.44</v>
      </c>
    </row>
    <row r="88" spans="1:11" x14ac:dyDescent="0.2">
      <c r="A88" t="str">
        <f t="shared" si="1"/>
        <v>PP_NM_010_R1</v>
      </c>
      <c r="B88" t="s">
        <v>11</v>
      </c>
      <c r="C88" t="s">
        <v>6</v>
      </c>
      <c r="D88">
        <v>1</v>
      </c>
      <c r="E88" t="s">
        <v>0</v>
      </c>
      <c r="F88" t="s">
        <v>2</v>
      </c>
      <c r="G88">
        <v>121</v>
      </c>
      <c r="H88">
        <f>VLOOKUP(G88,Cylinder_weight_bulk!$A$2:$B$91,2,FALSE)</f>
        <v>96.21</v>
      </c>
      <c r="I88">
        <v>12.99</v>
      </c>
      <c r="J88">
        <v>259.8</v>
      </c>
      <c r="K88">
        <v>227.87</v>
      </c>
    </row>
    <row r="89" spans="1:11" x14ac:dyDescent="0.2">
      <c r="A89" t="str">
        <f t="shared" si="1"/>
        <v>PP_NM_010_R1</v>
      </c>
      <c r="B89" t="s">
        <v>11</v>
      </c>
      <c r="C89" t="s">
        <v>6</v>
      </c>
      <c r="D89">
        <v>1</v>
      </c>
      <c r="E89" t="s">
        <v>0</v>
      </c>
      <c r="F89" t="s">
        <v>3</v>
      </c>
      <c r="G89">
        <v>145</v>
      </c>
      <c r="H89">
        <f>VLOOKUP(G89,Cylinder_weight_bulk!$A$2:$B$91,2,FALSE)</f>
        <v>96.22</v>
      </c>
      <c r="I89">
        <v>13.1</v>
      </c>
      <c r="J89">
        <v>258.44</v>
      </c>
      <c r="K89">
        <v>228.41</v>
      </c>
    </row>
    <row r="90" spans="1:11" x14ac:dyDescent="0.2">
      <c r="A90" t="str">
        <f t="shared" si="1"/>
        <v>PP_NM_010_R2</v>
      </c>
      <c r="B90" t="s">
        <v>11</v>
      </c>
      <c r="C90" t="s">
        <v>6</v>
      </c>
      <c r="D90">
        <v>1</v>
      </c>
      <c r="E90" t="s">
        <v>4</v>
      </c>
      <c r="F90" t="s">
        <v>1</v>
      </c>
      <c r="G90">
        <v>124</v>
      </c>
      <c r="H90">
        <f>VLOOKUP(G90,Cylinder_weight_bulk!$A$2:$B$91,2,FALSE)</f>
        <v>96.42</v>
      </c>
      <c r="I90">
        <v>13.07</v>
      </c>
      <c r="J90">
        <v>260.26</v>
      </c>
      <c r="K90">
        <v>228.72</v>
      </c>
    </row>
    <row r="91" spans="1:11" x14ac:dyDescent="0.2">
      <c r="A91" t="str">
        <f t="shared" si="1"/>
        <v>PP_MM_1020_R1</v>
      </c>
      <c r="B91" t="s">
        <v>11</v>
      </c>
      <c r="C91" t="s">
        <v>8</v>
      </c>
      <c r="D91">
        <v>2</v>
      </c>
      <c r="E91" t="s">
        <v>0</v>
      </c>
      <c r="F91" t="s">
        <v>2</v>
      </c>
      <c r="G91">
        <v>135</v>
      </c>
      <c r="H91">
        <f>VLOOKUP(G91,Cylinder_weight_bulk!$A$2:$B$91,2,FALSE)</f>
        <v>95.2</v>
      </c>
      <c r="I91">
        <v>12.42</v>
      </c>
      <c r="J91">
        <v>278.87</v>
      </c>
      <c r="K91">
        <v>233.31</v>
      </c>
    </row>
    <row r="92" spans="1:11" x14ac:dyDescent="0.2">
      <c r="A92" t="str">
        <f t="shared" si="1"/>
        <v>PP_NM_1020_R2</v>
      </c>
      <c r="B92" t="s">
        <v>11</v>
      </c>
      <c r="C92" t="s">
        <v>6</v>
      </c>
      <c r="D92">
        <v>2</v>
      </c>
      <c r="E92" t="s">
        <v>4</v>
      </c>
      <c r="F92" t="s">
        <v>1</v>
      </c>
      <c r="G92" t="s">
        <v>116</v>
      </c>
      <c r="H92" t="e">
        <f>VLOOKUP(G92,Cylinder_weight_bulk!$A$2:$B$91,2,FALSE)</f>
        <v>#N/A</v>
      </c>
      <c r="I92" t="s">
        <v>116</v>
      </c>
      <c r="J92" t="s">
        <v>116</v>
      </c>
      <c r="K92" t="s">
        <v>116</v>
      </c>
    </row>
    <row r="93" spans="1:11" x14ac:dyDescent="0.2">
      <c r="A93" t="str">
        <f t="shared" si="1"/>
        <v>PP_NM_1020_R2</v>
      </c>
      <c r="B93" t="s">
        <v>11</v>
      </c>
      <c r="C93" t="s">
        <v>6</v>
      </c>
      <c r="D93">
        <v>2</v>
      </c>
      <c r="E93" t="s">
        <v>4</v>
      </c>
      <c r="F93" t="s">
        <v>2</v>
      </c>
      <c r="G93" t="s">
        <v>116</v>
      </c>
      <c r="H93" t="e">
        <f>VLOOKUP(G93,Cylinder_weight_bulk!$A$2:$B$91,2,FALSE)</f>
        <v>#N/A</v>
      </c>
      <c r="I93" t="s">
        <v>116</v>
      </c>
      <c r="J93" t="s">
        <v>116</v>
      </c>
      <c r="K93" t="s">
        <v>116</v>
      </c>
    </row>
    <row r="94" spans="1:11" x14ac:dyDescent="0.2">
      <c r="A94" t="str">
        <f t="shared" si="1"/>
        <v>PP_NM_1020_R2</v>
      </c>
      <c r="B94" t="s">
        <v>11</v>
      </c>
      <c r="C94" t="s">
        <v>6</v>
      </c>
      <c r="D94">
        <v>2</v>
      </c>
      <c r="E94" t="s">
        <v>4</v>
      </c>
      <c r="F94" t="s">
        <v>3</v>
      </c>
      <c r="G94" t="s">
        <v>116</v>
      </c>
      <c r="H94" t="e">
        <f>VLOOKUP(G94,Cylinder_weight_bulk!$A$2:$B$91,2,FALSE)</f>
        <v>#N/A</v>
      </c>
      <c r="I94" t="s">
        <v>116</v>
      </c>
      <c r="J94" t="s">
        <v>116</v>
      </c>
      <c r="K94" t="s">
        <v>116</v>
      </c>
    </row>
    <row r="95" spans="1:11" x14ac:dyDescent="0.2">
      <c r="A95" t="str">
        <f t="shared" si="1"/>
        <v>PP_NM_1020_R1</v>
      </c>
      <c r="B95" t="s">
        <v>11</v>
      </c>
      <c r="C95" t="s">
        <v>6</v>
      </c>
      <c r="D95">
        <v>2</v>
      </c>
      <c r="E95" t="s">
        <v>0</v>
      </c>
      <c r="F95" t="s">
        <v>1</v>
      </c>
      <c r="G95" t="s">
        <v>116</v>
      </c>
      <c r="H95" t="e">
        <f>VLOOKUP(G95,Cylinder_weight_bulk!$A$2:$B$91,2,FALSE)</f>
        <v>#N/A</v>
      </c>
      <c r="I95" t="s">
        <v>116</v>
      </c>
      <c r="J95" t="s">
        <v>116</v>
      </c>
      <c r="K95" t="s">
        <v>116</v>
      </c>
    </row>
    <row r="96" spans="1:11" x14ac:dyDescent="0.2">
      <c r="A96" t="str">
        <f t="shared" si="1"/>
        <v>PP_NM_1020_R1</v>
      </c>
      <c r="B96" t="s">
        <v>11</v>
      </c>
      <c r="C96" t="s">
        <v>6</v>
      </c>
      <c r="D96">
        <v>2</v>
      </c>
      <c r="E96" t="s">
        <v>0</v>
      </c>
      <c r="F96" t="s">
        <v>2</v>
      </c>
      <c r="G96" t="s">
        <v>116</v>
      </c>
      <c r="H96" t="e">
        <f>VLOOKUP(G96,Cylinder_weight_bulk!$A$2:$B$91,2,FALSE)</f>
        <v>#N/A</v>
      </c>
      <c r="I96" t="s">
        <v>116</v>
      </c>
      <c r="J96" t="s">
        <v>116</v>
      </c>
      <c r="K96" t="s">
        <v>116</v>
      </c>
    </row>
    <row r="97" spans="1:11" x14ac:dyDescent="0.2">
      <c r="A97" t="str">
        <f t="shared" si="1"/>
        <v>PP_NM_1020_R1</v>
      </c>
      <c r="B97" t="s">
        <v>11</v>
      </c>
      <c r="C97" t="s">
        <v>6</v>
      </c>
      <c r="D97">
        <v>2</v>
      </c>
      <c r="E97" t="s">
        <v>0</v>
      </c>
      <c r="F97" t="s">
        <v>3</v>
      </c>
      <c r="G97" t="s">
        <v>116</v>
      </c>
      <c r="H97" t="e">
        <f>VLOOKUP(G97,Cylinder_weight_bulk!$A$2:$B$91,2,FALSE)</f>
        <v>#N/A</v>
      </c>
      <c r="I97" t="s">
        <v>116</v>
      </c>
      <c r="J97" t="s">
        <v>116</v>
      </c>
      <c r="K97" t="s">
        <v>116</v>
      </c>
    </row>
    <row r="98" spans="1:11" x14ac:dyDescent="0.2">
      <c r="A98" t="str">
        <f t="shared" si="1"/>
        <v>SA_MM_010_R1</v>
      </c>
      <c r="B98" t="s">
        <v>5</v>
      </c>
      <c r="C98" t="s">
        <v>8</v>
      </c>
      <c r="D98">
        <v>1</v>
      </c>
      <c r="E98" t="s">
        <v>0</v>
      </c>
      <c r="F98" t="s">
        <v>2</v>
      </c>
      <c r="G98" t="s">
        <v>91</v>
      </c>
      <c r="H98">
        <f>VLOOKUP(G98,Cylinder_weight_bulk!$A$2:$B$91,2,FALSE)</f>
        <v>90.01</v>
      </c>
      <c r="I98">
        <v>12.56</v>
      </c>
      <c r="J98">
        <v>237.84</v>
      </c>
      <c r="K98">
        <v>205.15</v>
      </c>
    </row>
    <row r="99" spans="1:11" x14ac:dyDescent="0.2">
      <c r="A99" t="str">
        <f t="shared" si="1"/>
        <v>SA_MM_010_R1</v>
      </c>
      <c r="B99" t="s">
        <v>5</v>
      </c>
      <c r="C99" t="s">
        <v>8</v>
      </c>
      <c r="D99">
        <v>1</v>
      </c>
      <c r="E99" t="s">
        <v>0</v>
      </c>
      <c r="F99" t="s">
        <v>3</v>
      </c>
      <c r="G99" t="s">
        <v>92</v>
      </c>
      <c r="H99">
        <f>VLOOKUP(G99,Cylinder_weight_bulk!$A$2:$B$91,2,FALSE)</f>
        <v>90.28</v>
      </c>
      <c r="I99">
        <v>12.62</v>
      </c>
      <c r="J99">
        <v>242.8</v>
      </c>
      <c r="K99">
        <v>208.72</v>
      </c>
    </row>
    <row r="100" spans="1:11" x14ac:dyDescent="0.2">
      <c r="A100" t="str">
        <f t="shared" si="1"/>
        <v>SA_NM_010_R2</v>
      </c>
      <c r="B100" t="s">
        <v>5</v>
      </c>
      <c r="C100" t="s">
        <v>6</v>
      </c>
      <c r="D100">
        <v>1</v>
      </c>
      <c r="E100" t="s">
        <v>4</v>
      </c>
      <c r="F100" t="s">
        <v>2</v>
      </c>
      <c r="G100" t="s">
        <v>87</v>
      </c>
      <c r="H100">
        <f>VLOOKUP(G100,Cylinder_weight_bulk!$A$2:$B$91,2,FALSE)</f>
        <v>90.34</v>
      </c>
      <c r="I100">
        <v>12.49</v>
      </c>
      <c r="J100">
        <v>239.48</v>
      </c>
      <c r="K100">
        <v>210.01</v>
      </c>
    </row>
    <row r="101" spans="1:11" x14ac:dyDescent="0.2">
      <c r="A101" t="str">
        <f t="shared" si="1"/>
        <v>SA_MM_010_R1</v>
      </c>
      <c r="B101" t="s">
        <v>5</v>
      </c>
      <c r="C101" t="s">
        <v>8</v>
      </c>
      <c r="D101">
        <v>1</v>
      </c>
      <c r="E101" t="s">
        <v>0</v>
      </c>
      <c r="F101" t="s">
        <v>1</v>
      </c>
      <c r="G101" t="s">
        <v>93</v>
      </c>
      <c r="H101">
        <f>VLOOKUP(G101,Cylinder_weight_bulk!$A$2:$B$91,2,FALSE)</f>
        <v>90.48</v>
      </c>
      <c r="I101">
        <v>12.72</v>
      </c>
      <c r="J101">
        <v>243.52</v>
      </c>
      <c r="K101">
        <v>210.7</v>
      </c>
    </row>
    <row r="102" spans="1:11" x14ac:dyDescent="0.2">
      <c r="A102" t="str">
        <f t="shared" si="1"/>
        <v>SA_NM_010_R1</v>
      </c>
      <c r="B102" t="s">
        <v>5</v>
      </c>
      <c r="C102" t="s">
        <v>6</v>
      </c>
      <c r="D102">
        <v>1</v>
      </c>
      <c r="E102" t="s">
        <v>0</v>
      </c>
      <c r="F102" t="s">
        <v>1</v>
      </c>
      <c r="G102" t="s">
        <v>86</v>
      </c>
      <c r="H102">
        <f>VLOOKUP(G102,Cylinder_weight_bulk!$A$2:$B$91,2,FALSE)</f>
        <v>90.22</v>
      </c>
      <c r="I102">
        <v>12.67</v>
      </c>
      <c r="J102">
        <v>242.15</v>
      </c>
      <c r="K102">
        <v>210.72</v>
      </c>
    </row>
    <row r="103" spans="1:11" x14ac:dyDescent="0.2">
      <c r="A103" t="str">
        <f t="shared" si="1"/>
        <v>SA_MM_1020_R2</v>
      </c>
      <c r="B103" t="s">
        <v>5</v>
      </c>
      <c r="C103" t="s">
        <v>8</v>
      </c>
      <c r="D103">
        <v>2</v>
      </c>
      <c r="E103" t="s">
        <v>4</v>
      </c>
      <c r="F103" t="s">
        <v>3</v>
      </c>
      <c r="G103" t="s">
        <v>84</v>
      </c>
      <c r="H103">
        <f>VLOOKUP(G103,Cylinder_weight_bulk!$A$2:$B$91,2,FALSE)</f>
        <v>90.12</v>
      </c>
      <c r="I103">
        <v>12.66</v>
      </c>
      <c r="J103">
        <v>243.72</v>
      </c>
      <c r="K103">
        <v>210.64</v>
      </c>
    </row>
    <row r="104" spans="1:11" x14ac:dyDescent="0.2">
      <c r="A104" t="str">
        <f t="shared" si="1"/>
        <v>SA_NM_1020_R2</v>
      </c>
      <c r="B104" t="s">
        <v>5</v>
      </c>
      <c r="C104" t="s">
        <v>6</v>
      </c>
      <c r="D104">
        <v>2</v>
      </c>
      <c r="E104" t="s">
        <v>4</v>
      </c>
      <c r="F104" t="s">
        <v>3</v>
      </c>
      <c r="G104" t="s">
        <v>85</v>
      </c>
      <c r="H104">
        <f>VLOOKUP(G104,Cylinder_weight_bulk!$A$2:$B$91,2,FALSE)</f>
        <v>90.43</v>
      </c>
      <c r="I104">
        <v>12.61</v>
      </c>
      <c r="J104">
        <v>240.97</v>
      </c>
      <c r="K104">
        <v>211.83</v>
      </c>
    </row>
    <row r="105" spans="1:11" x14ac:dyDescent="0.2">
      <c r="A105" t="str">
        <f t="shared" si="1"/>
        <v>SA_MM_010_R2</v>
      </c>
      <c r="B105" t="s">
        <v>5</v>
      </c>
      <c r="C105" t="s">
        <v>8</v>
      </c>
      <c r="D105">
        <v>1</v>
      </c>
      <c r="E105" t="s">
        <v>4</v>
      </c>
      <c r="F105" t="s">
        <v>3</v>
      </c>
      <c r="G105" t="s">
        <v>88</v>
      </c>
      <c r="H105">
        <f>VLOOKUP(G105,Cylinder_weight_bulk!$A$2:$B$91,2,FALSE)</f>
        <v>91.6</v>
      </c>
      <c r="I105">
        <v>12.82</v>
      </c>
      <c r="J105">
        <v>246.13</v>
      </c>
      <c r="K105">
        <v>213.2</v>
      </c>
    </row>
    <row r="106" spans="1:11" x14ac:dyDescent="0.2">
      <c r="A106" t="str">
        <f t="shared" si="1"/>
        <v>SA_NM_010_R2</v>
      </c>
      <c r="B106" t="s">
        <v>5</v>
      </c>
      <c r="C106" t="s">
        <v>6</v>
      </c>
      <c r="D106">
        <v>1</v>
      </c>
      <c r="E106" t="s">
        <v>4</v>
      </c>
      <c r="F106" t="s">
        <v>3</v>
      </c>
      <c r="G106" t="s">
        <v>82</v>
      </c>
      <c r="H106">
        <f>VLOOKUP(G106,Cylinder_weight_bulk!$A$2:$B$91,2,FALSE)</f>
        <v>89.91</v>
      </c>
      <c r="I106">
        <v>12.58</v>
      </c>
      <c r="J106">
        <v>242.62</v>
      </c>
      <c r="K106">
        <v>214.1</v>
      </c>
    </row>
    <row r="107" spans="1:11" x14ac:dyDescent="0.2">
      <c r="A107" t="str">
        <f t="shared" si="1"/>
        <v>SA_MM_1020_R2</v>
      </c>
      <c r="B107" t="s">
        <v>5</v>
      </c>
      <c r="C107" t="s">
        <v>8</v>
      </c>
      <c r="D107">
        <v>2</v>
      </c>
      <c r="E107" t="s">
        <v>4</v>
      </c>
      <c r="F107" t="s">
        <v>2</v>
      </c>
      <c r="G107" t="s">
        <v>81</v>
      </c>
      <c r="H107">
        <f>VLOOKUP(G107,Cylinder_weight_bulk!$A$2:$B$91,2,FALSE)</f>
        <v>90.47</v>
      </c>
      <c r="I107">
        <v>12.71</v>
      </c>
      <c r="J107">
        <v>247.98</v>
      </c>
      <c r="K107">
        <v>215.21</v>
      </c>
    </row>
    <row r="108" spans="1:11" x14ac:dyDescent="0.2">
      <c r="A108" t="str">
        <f t="shared" si="1"/>
        <v>SA_NM_010_R1</v>
      </c>
      <c r="B108" t="s">
        <v>5</v>
      </c>
      <c r="C108" t="s">
        <v>6</v>
      </c>
      <c r="D108">
        <v>1</v>
      </c>
      <c r="E108" t="s">
        <v>0</v>
      </c>
      <c r="F108" t="s">
        <v>3</v>
      </c>
      <c r="G108" t="s">
        <v>78</v>
      </c>
      <c r="H108">
        <f>VLOOKUP(G108,Cylinder_weight_bulk!$A$2:$B$91,2,FALSE)</f>
        <v>90.75</v>
      </c>
      <c r="I108">
        <v>12.46</v>
      </c>
      <c r="J108">
        <v>252.12</v>
      </c>
      <c r="K108">
        <v>216.68</v>
      </c>
    </row>
    <row r="109" spans="1:11" x14ac:dyDescent="0.2">
      <c r="A109" t="str">
        <f t="shared" si="1"/>
        <v>SA_NM_1020_R2</v>
      </c>
      <c r="B109" t="s">
        <v>5</v>
      </c>
      <c r="C109" t="s">
        <v>6</v>
      </c>
      <c r="D109">
        <v>2</v>
      </c>
      <c r="E109" t="s">
        <v>4</v>
      </c>
      <c r="F109" t="s">
        <v>2</v>
      </c>
      <c r="G109" t="s">
        <v>80</v>
      </c>
      <c r="H109">
        <f>VLOOKUP(G109,Cylinder_weight_bulk!$A$2:$B$91,2,FALSE)</f>
        <v>90.84</v>
      </c>
      <c r="I109">
        <v>12.48</v>
      </c>
      <c r="J109">
        <v>251.33</v>
      </c>
      <c r="K109">
        <v>219.25</v>
      </c>
    </row>
    <row r="110" spans="1:11" x14ac:dyDescent="0.2">
      <c r="A110" t="str">
        <f t="shared" si="1"/>
        <v>SA_NM_1020_R2</v>
      </c>
      <c r="B110" t="s">
        <v>5</v>
      </c>
      <c r="C110" t="s">
        <v>6</v>
      </c>
      <c r="D110">
        <v>2</v>
      </c>
      <c r="E110" t="s">
        <v>4</v>
      </c>
      <c r="F110" t="s">
        <v>1</v>
      </c>
      <c r="G110" t="s">
        <v>77</v>
      </c>
      <c r="H110">
        <f>VLOOKUP(G110,Cylinder_weight_bulk!$A$2:$B$91,2,FALSE)</f>
        <v>91.59</v>
      </c>
      <c r="I110">
        <v>12.51</v>
      </c>
      <c r="J110">
        <v>255.58</v>
      </c>
      <c r="K110">
        <v>220.83</v>
      </c>
    </row>
    <row r="111" spans="1:11" x14ac:dyDescent="0.2">
      <c r="A111" t="str">
        <f t="shared" si="1"/>
        <v>SA_NM_010_R2</v>
      </c>
      <c r="B111" t="s">
        <v>5</v>
      </c>
      <c r="C111" t="s">
        <v>6</v>
      </c>
      <c r="D111">
        <v>1</v>
      </c>
      <c r="E111" t="s">
        <v>4</v>
      </c>
      <c r="F111" t="s">
        <v>1</v>
      </c>
      <c r="G111" t="s">
        <v>75</v>
      </c>
      <c r="H111">
        <f>VLOOKUP(G111,Cylinder_weight_bulk!$A$2:$B$91,2,FALSE)</f>
        <v>91.26</v>
      </c>
      <c r="I111">
        <v>12.7</v>
      </c>
      <c r="J111">
        <v>251.91</v>
      </c>
      <c r="K111">
        <v>221.27</v>
      </c>
    </row>
    <row r="112" spans="1:11" x14ac:dyDescent="0.2">
      <c r="A112" t="str">
        <f t="shared" si="1"/>
        <v>SA_NM_010_R1</v>
      </c>
      <c r="B112" t="s">
        <v>5</v>
      </c>
      <c r="C112" t="s">
        <v>6</v>
      </c>
      <c r="D112">
        <v>1</v>
      </c>
      <c r="E112" t="s">
        <v>0</v>
      </c>
      <c r="F112" t="s">
        <v>2</v>
      </c>
      <c r="G112" t="s">
        <v>83</v>
      </c>
      <c r="H112">
        <f>VLOOKUP(G112,Cylinder_weight_bulk!$A$2:$B$91,2,FALSE)</f>
        <v>90.11</v>
      </c>
      <c r="I112">
        <v>12.6</v>
      </c>
      <c r="J112">
        <v>253.87</v>
      </c>
      <c r="K112">
        <v>220.5</v>
      </c>
    </row>
    <row r="113" spans="1:11" x14ac:dyDescent="0.2">
      <c r="A113" t="str">
        <f t="shared" si="1"/>
        <v>SA_MM_1020_R1</v>
      </c>
      <c r="B113" t="s">
        <v>5</v>
      </c>
      <c r="C113" t="s">
        <v>8</v>
      </c>
      <c r="D113">
        <v>2</v>
      </c>
      <c r="E113" t="s">
        <v>0</v>
      </c>
      <c r="F113" t="s">
        <v>1</v>
      </c>
      <c r="G113" t="s">
        <v>96</v>
      </c>
      <c r="H113">
        <f>VLOOKUP(G113,Cylinder_weight_bulk!$A$2:$B$91,2,FALSE)</f>
        <v>90.42</v>
      </c>
      <c r="I113">
        <v>12.39</v>
      </c>
      <c r="J113">
        <v>258.97000000000003</v>
      </c>
      <c r="K113">
        <v>222.29</v>
      </c>
    </row>
    <row r="114" spans="1:11" x14ac:dyDescent="0.2">
      <c r="A114" t="str">
        <f t="shared" si="1"/>
        <v>SA_MM_010_R2</v>
      </c>
      <c r="B114" t="s">
        <v>5</v>
      </c>
      <c r="C114" t="s">
        <v>8</v>
      </c>
      <c r="D114">
        <v>1</v>
      </c>
      <c r="E114" t="s">
        <v>4</v>
      </c>
      <c r="F114" t="s">
        <v>2</v>
      </c>
      <c r="G114" t="s">
        <v>89</v>
      </c>
      <c r="H114">
        <f>VLOOKUP(G114,Cylinder_weight_bulk!$A$2:$B$91,2,FALSE)</f>
        <v>90.57</v>
      </c>
      <c r="I114">
        <v>12.68</v>
      </c>
      <c r="J114">
        <v>257.8</v>
      </c>
      <c r="K114">
        <v>222.54</v>
      </c>
    </row>
    <row r="115" spans="1:11" x14ac:dyDescent="0.2">
      <c r="A115" t="str">
        <f t="shared" si="1"/>
        <v>SA_NM_1020_R1</v>
      </c>
      <c r="B115" t="s">
        <v>5</v>
      </c>
      <c r="C115" t="s">
        <v>6</v>
      </c>
      <c r="D115">
        <v>2</v>
      </c>
      <c r="E115" t="s">
        <v>0</v>
      </c>
      <c r="F115" t="s">
        <v>1</v>
      </c>
      <c r="G115" t="s">
        <v>73</v>
      </c>
      <c r="H115">
        <f>VLOOKUP(G115,Cylinder_weight_bulk!$A$2:$B$91,2,FALSE)</f>
        <v>90.63</v>
      </c>
      <c r="I115">
        <v>12.61</v>
      </c>
      <c r="J115">
        <v>253.5</v>
      </c>
      <c r="K115">
        <v>223.65</v>
      </c>
    </row>
    <row r="116" spans="1:11" x14ac:dyDescent="0.2">
      <c r="A116" t="str">
        <f t="shared" si="1"/>
        <v>SA_MM_010_R2</v>
      </c>
      <c r="B116" t="s">
        <v>5</v>
      </c>
      <c r="C116" t="s">
        <v>8</v>
      </c>
      <c r="D116">
        <v>1</v>
      </c>
      <c r="E116" t="s">
        <v>4</v>
      </c>
      <c r="F116" t="s">
        <v>1</v>
      </c>
      <c r="G116" t="s">
        <v>90</v>
      </c>
      <c r="H116">
        <f>VLOOKUP(G116,Cylinder_weight_bulk!$A$2:$B$91,2,FALSE)</f>
        <v>90.25</v>
      </c>
      <c r="I116">
        <v>12.62</v>
      </c>
      <c r="J116">
        <v>255.03</v>
      </c>
      <c r="K116">
        <v>223.35</v>
      </c>
    </row>
    <row r="117" spans="1:11" x14ac:dyDescent="0.2">
      <c r="A117" t="str">
        <f t="shared" si="1"/>
        <v>SA_MM_1020_R2</v>
      </c>
      <c r="B117" t="s">
        <v>5</v>
      </c>
      <c r="C117" t="s">
        <v>8</v>
      </c>
      <c r="D117">
        <v>2</v>
      </c>
      <c r="E117" t="s">
        <v>4</v>
      </c>
      <c r="F117" t="s">
        <v>1</v>
      </c>
      <c r="G117" t="s">
        <v>76</v>
      </c>
      <c r="H117">
        <f>VLOOKUP(G117,Cylinder_weight_bulk!$A$2:$B$91,2,FALSE)</f>
        <v>90.78</v>
      </c>
      <c r="I117">
        <v>12.71</v>
      </c>
      <c r="J117">
        <v>255.83</v>
      </c>
      <c r="K117">
        <v>223.96</v>
      </c>
    </row>
    <row r="118" spans="1:11" x14ac:dyDescent="0.2">
      <c r="A118" t="str">
        <f t="shared" si="1"/>
        <v>SA_MM_1020_R1</v>
      </c>
      <c r="B118" t="s">
        <v>5</v>
      </c>
      <c r="C118" t="s">
        <v>8</v>
      </c>
      <c r="D118">
        <v>2</v>
      </c>
      <c r="E118" t="s">
        <v>0</v>
      </c>
      <c r="F118" t="s">
        <v>3</v>
      </c>
      <c r="G118" t="s">
        <v>94</v>
      </c>
      <c r="H118">
        <f>VLOOKUP(G118,Cylinder_weight_bulk!$A$2:$B$91,2,FALSE)</f>
        <v>90.51</v>
      </c>
      <c r="I118">
        <v>12.71</v>
      </c>
      <c r="J118">
        <v>261.42</v>
      </c>
      <c r="K118">
        <v>224.12</v>
      </c>
    </row>
    <row r="119" spans="1:11" x14ac:dyDescent="0.2">
      <c r="A119" t="str">
        <f t="shared" si="1"/>
        <v>SA_NM_1020_R1</v>
      </c>
      <c r="B119" t="s">
        <v>5</v>
      </c>
      <c r="C119" t="s">
        <v>6</v>
      </c>
      <c r="D119">
        <v>2</v>
      </c>
      <c r="E119" t="s">
        <v>0</v>
      </c>
      <c r="F119" t="s">
        <v>3</v>
      </c>
      <c r="G119" t="s">
        <v>79</v>
      </c>
      <c r="H119">
        <f>VLOOKUP(G119,Cylinder_weight_bulk!$A$2:$B$91,2,FALSE)</f>
        <v>90.79</v>
      </c>
      <c r="I119">
        <v>12.72</v>
      </c>
      <c r="J119">
        <v>255.26</v>
      </c>
      <c r="K119">
        <v>224.68</v>
      </c>
    </row>
    <row r="120" spans="1:11" x14ac:dyDescent="0.2">
      <c r="A120" t="str">
        <f t="shared" si="1"/>
        <v>SA_MM_1020_R1</v>
      </c>
      <c r="B120" t="s">
        <v>5</v>
      </c>
      <c r="C120" t="s">
        <v>8</v>
      </c>
      <c r="D120">
        <v>2</v>
      </c>
      <c r="E120" t="s">
        <v>0</v>
      </c>
      <c r="F120" t="s">
        <v>2</v>
      </c>
      <c r="G120" t="s">
        <v>95</v>
      </c>
      <c r="H120">
        <f>VLOOKUP(G120,Cylinder_weight_bulk!$A$2:$B$91,2,FALSE)</f>
        <v>90.36</v>
      </c>
      <c r="I120">
        <v>12.63</v>
      </c>
      <c r="J120">
        <v>265.94</v>
      </c>
      <c r="K120">
        <v>229.11</v>
      </c>
    </row>
    <row r="121" spans="1:11" x14ac:dyDescent="0.2">
      <c r="A121" t="str">
        <f t="shared" si="1"/>
        <v>SA_NM_1020_R1</v>
      </c>
      <c r="B121" t="s">
        <v>5</v>
      </c>
      <c r="C121" t="s">
        <v>6</v>
      </c>
      <c r="D121">
        <v>2</v>
      </c>
      <c r="E121" t="s">
        <v>0</v>
      </c>
      <c r="F121" t="s">
        <v>2</v>
      </c>
      <c r="G121" t="s">
        <v>74</v>
      </c>
      <c r="H121">
        <f>VLOOKUP(G121,Cylinder_weight_bulk!$A$2:$B$91,2,FALSE)</f>
        <v>90.08</v>
      </c>
      <c r="I121">
        <v>12.59</v>
      </c>
      <c r="J121">
        <v>261.64999999999998</v>
      </c>
      <c r="K121">
        <v>233.26</v>
      </c>
    </row>
  </sheetData>
  <autoFilter ref="B1:L121" xr:uid="{80014393-4468-442F-BAA0-E2EA3C1A8F98}">
    <sortState xmlns:xlrd2="http://schemas.microsoft.com/office/spreadsheetml/2017/richdata2" ref="B2:L121">
      <sortCondition ref="B1:B12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ECED6-4E9E-4B72-9582-FA9423F9D46C}">
  <dimension ref="B1:C10"/>
  <sheetViews>
    <sheetView zoomScale="185" workbookViewId="0">
      <selection activeCell="C22" sqref="C22"/>
    </sheetView>
  </sheetViews>
  <sheetFormatPr baseColWidth="10" defaultColWidth="8.83203125" defaultRowHeight="15" x14ac:dyDescent="0.2"/>
  <sheetData>
    <row r="1" spans="2:3" x14ac:dyDescent="0.2">
      <c r="B1" t="s">
        <v>70</v>
      </c>
      <c r="C1" t="s">
        <v>69</v>
      </c>
    </row>
    <row r="2" spans="2:3" x14ac:dyDescent="0.2">
      <c r="B2">
        <v>8.6999999999999994E-2</v>
      </c>
      <c r="C2">
        <v>5.0000000000000001E-3</v>
      </c>
    </row>
    <row r="3" spans="2:3" x14ac:dyDescent="0.2">
      <c r="B3">
        <v>8.5000000000000006E-2</v>
      </c>
      <c r="C3">
        <v>5.0000000000000001E-3</v>
      </c>
    </row>
    <row r="4" spans="2:3" x14ac:dyDescent="0.2">
      <c r="B4">
        <v>0.09</v>
      </c>
      <c r="C4">
        <v>5.0000000000000001E-3</v>
      </c>
    </row>
    <row r="5" spans="2:3" x14ac:dyDescent="0.2">
      <c r="B5">
        <v>0.189</v>
      </c>
      <c r="C5">
        <v>0.01</v>
      </c>
    </row>
    <row r="6" spans="2:3" x14ac:dyDescent="0.2">
      <c r="B6">
        <v>0.19600000000000001</v>
      </c>
      <c r="C6">
        <v>0.01</v>
      </c>
    </row>
    <row r="7" spans="2:3" x14ac:dyDescent="0.2">
      <c r="B7">
        <v>0.19600000000000001</v>
      </c>
      <c r="C7">
        <v>0.01</v>
      </c>
    </row>
    <row r="8" spans="2:3" x14ac:dyDescent="0.2">
      <c r="B8">
        <v>0.38900000000000001</v>
      </c>
      <c r="C8">
        <v>0.02</v>
      </c>
    </row>
    <row r="9" spans="2:3" x14ac:dyDescent="0.2">
      <c r="B9">
        <v>0.38100000000000001</v>
      </c>
      <c r="C9">
        <v>0.02</v>
      </c>
    </row>
    <row r="10" spans="2:3" x14ac:dyDescent="0.2">
      <c r="B10">
        <v>0.39600000000000002</v>
      </c>
      <c r="C10">
        <v>0.02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B20B8-4C1D-45E8-8B88-8C461829327C}">
  <dimension ref="A1:I91"/>
  <sheetViews>
    <sheetView workbookViewId="0">
      <selection activeCell="C1" sqref="C1"/>
    </sheetView>
  </sheetViews>
  <sheetFormatPr baseColWidth="10" defaultColWidth="8.83203125" defaultRowHeight="15" x14ac:dyDescent="0.2"/>
  <cols>
    <col min="2" max="2" width="14.5" bestFit="1" customWidth="1"/>
  </cols>
  <sheetData>
    <row r="1" spans="1:9" x14ac:dyDescent="0.2">
      <c r="A1" t="s">
        <v>72</v>
      </c>
      <c r="B1" t="s">
        <v>115</v>
      </c>
    </row>
    <row r="2" spans="1:9" x14ac:dyDescent="0.2">
      <c r="A2" s="2">
        <v>127</v>
      </c>
      <c r="B2">
        <v>96.34</v>
      </c>
    </row>
    <row r="3" spans="1:9" x14ac:dyDescent="0.2">
      <c r="A3" s="2">
        <v>131</v>
      </c>
      <c r="B3">
        <v>97.95</v>
      </c>
    </row>
    <row r="4" spans="1:9" x14ac:dyDescent="0.2">
      <c r="A4" s="2">
        <v>124</v>
      </c>
      <c r="B4">
        <v>96.42</v>
      </c>
    </row>
    <row r="5" spans="1:9" x14ac:dyDescent="0.2">
      <c r="A5" s="2">
        <v>135</v>
      </c>
      <c r="B5">
        <v>95.2</v>
      </c>
    </row>
    <row r="6" spans="1:9" x14ac:dyDescent="0.2">
      <c r="A6" s="2">
        <v>121</v>
      </c>
      <c r="B6">
        <v>96.21</v>
      </c>
    </row>
    <row r="7" spans="1:9" x14ac:dyDescent="0.2">
      <c r="A7" s="2">
        <v>130</v>
      </c>
      <c r="B7">
        <v>96.94</v>
      </c>
    </row>
    <row r="8" spans="1:9" x14ac:dyDescent="0.2">
      <c r="A8" s="2">
        <v>145</v>
      </c>
      <c r="B8">
        <v>96.22</v>
      </c>
      <c r="I8" t="s">
        <v>117</v>
      </c>
    </row>
    <row r="9" spans="1:9" x14ac:dyDescent="0.2">
      <c r="A9" s="2">
        <v>123</v>
      </c>
      <c r="B9">
        <v>96.54</v>
      </c>
    </row>
    <row r="10" spans="1:9" x14ac:dyDescent="0.2">
      <c r="A10" s="2">
        <v>133</v>
      </c>
      <c r="B10">
        <v>92.94</v>
      </c>
    </row>
    <row r="11" spans="1:9" x14ac:dyDescent="0.2">
      <c r="A11" s="2">
        <v>137</v>
      </c>
      <c r="B11">
        <v>95.08</v>
      </c>
    </row>
    <row r="12" spans="1:9" x14ac:dyDescent="0.2">
      <c r="A12" s="2">
        <v>128</v>
      </c>
      <c r="B12">
        <v>97.16</v>
      </c>
    </row>
    <row r="13" spans="1:9" x14ac:dyDescent="0.2">
      <c r="A13" s="2">
        <v>134</v>
      </c>
      <c r="B13">
        <v>96.5</v>
      </c>
    </row>
    <row r="14" spans="1:9" x14ac:dyDescent="0.2">
      <c r="A14" s="2">
        <v>122</v>
      </c>
      <c r="B14">
        <v>96.06</v>
      </c>
    </row>
    <row r="15" spans="1:9" x14ac:dyDescent="0.2">
      <c r="A15" s="2">
        <v>132</v>
      </c>
      <c r="B15">
        <v>95.32</v>
      </c>
    </row>
    <row r="16" spans="1:9" x14ac:dyDescent="0.2">
      <c r="A16" s="2">
        <v>136</v>
      </c>
      <c r="B16">
        <v>95.03</v>
      </c>
    </row>
    <row r="17" spans="1:2" x14ac:dyDescent="0.2">
      <c r="A17" s="2" t="s">
        <v>73</v>
      </c>
      <c r="B17">
        <v>90.63</v>
      </c>
    </row>
    <row r="18" spans="1:2" x14ac:dyDescent="0.2">
      <c r="A18" s="2" t="s">
        <v>74</v>
      </c>
      <c r="B18">
        <v>90.08</v>
      </c>
    </row>
    <row r="19" spans="1:2" x14ac:dyDescent="0.2">
      <c r="A19" s="2" t="s">
        <v>79</v>
      </c>
      <c r="B19">
        <v>90.79</v>
      </c>
    </row>
    <row r="20" spans="1:2" x14ac:dyDescent="0.2">
      <c r="A20" s="2" t="s">
        <v>80</v>
      </c>
      <c r="B20">
        <v>90.84</v>
      </c>
    </row>
    <row r="21" spans="1:2" x14ac:dyDescent="0.2">
      <c r="A21" s="2" t="s">
        <v>75</v>
      </c>
      <c r="B21">
        <v>91.26</v>
      </c>
    </row>
    <row r="22" spans="1:2" x14ac:dyDescent="0.2">
      <c r="A22" s="2" t="s">
        <v>76</v>
      </c>
      <c r="B22">
        <v>90.78</v>
      </c>
    </row>
    <row r="23" spans="1:2" x14ac:dyDescent="0.2">
      <c r="A23" s="2" t="s">
        <v>77</v>
      </c>
      <c r="B23">
        <v>91.59</v>
      </c>
    </row>
    <row r="24" spans="1:2" x14ac:dyDescent="0.2">
      <c r="A24" s="2" t="s">
        <v>78</v>
      </c>
      <c r="B24">
        <v>90.75</v>
      </c>
    </row>
    <row r="25" spans="1:2" x14ac:dyDescent="0.2">
      <c r="A25" s="2" t="s">
        <v>81</v>
      </c>
      <c r="B25">
        <v>90.47</v>
      </c>
    </row>
    <row r="26" spans="1:2" x14ac:dyDescent="0.2">
      <c r="A26" s="2" t="s">
        <v>82</v>
      </c>
      <c r="B26">
        <v>89.91</v>
      </c>
    </row>
    <row r="27" spans="1:2" x14ac:dyDescent="0.2">
      <c r="A27" s="2" t="s">
        <v>83</v>
      </c>
      <c r="B27">
        <v>90.11</v>
      </c>
    </row>
    <row r="28" spans="1:2" x14ac:dyDescent="0.2">
      <c r="A28" s="2" t="s">
        <v>84</v>
      </c>
      <c r="B28">
        <v>90.12</v>
      </c>
    </row>
    <row r="29" spans="1:2" x14ac:dyDescent="0.2">
      <c r="A29" s="2" t="s">
        <v>85</v>
      </c>
      <c r="B29">
        <v>90.43</v>
      </c>
    </row>
    <row r="30" spans="1:2" x14ac:dyDescent="0.2">
      <c r="A30" s="2" t="s">
        <v>86</v>
      </c>
      <c r="B30">
        <v>90.22</v>
      </c>
    </row>
    <row r="31" spans="1:2" x14ac:dyDescent="0.2">
      <c r="A31" s="2" t="s">
        <v>87</v>
      </c>
      <c r="B31">
        <v>90.34</v>
      </c>
    </row>
    <row r="32" spans="1:2" x14ac:dyDescent="0.2">
      <c r="A32" s="2">
        <v>125</v>
      </c>
      <c r="B32">
        <v>96.2</v>
      </c>
    </row>
    <row r="33" spans="1:2" x14ac:dyDescent="0.2">
      <c r="A33" s="2">
        <v>126</v>
      </c>
      <c r="B33">
        <v>96.76</v>
      </c>
    </row>
    <row r="34" spans="1:2" x14ac:dyDescent="0.2">
      <c r="A34" s="2">
        <v>129</v>
      </c>
      <c r="B34">
        <v>96.76</v>
      </c>
    </row>
    <row r="35" spans="1:2" x14ac:dyDescent="0.2">
      <c r="A35" s="2">
        <v>139</v>
      </c>
      <c r="B35">
        <v>95.34</v>
      </c>
    </row>
    <row r="36" spans="1:2" x14ac:dyDescent="0.2">
      <c r="A36" s="2">
        <v>142</v>
      </c>
      <c r="B36">
        <v>93.02</v>
      </c>
    </row>
    <row r="37" spans="1:2" x14ac:dyDescent="0.2">
      <c r="A37" s="2">
        <v>147</v>
      </c>
      <c r="B37">
        <v>98.49</v>
      </c>
    </row>
    <row r="38" spans="1:2" x14ac:dyDescent="0.2">
      <c r="A38" s="2">
        <v>144</v>
      </c>
      <c r="B38">
        <v>96.44</v>
      </c>
    </row>
    <row r="39" spans="1:2" x14ac:dyDescent="0.2">
      <c r="A39" s="2">
        <v>140</v>
      </c>
      <c r="B39">
        <v>95.1</v>
      </c>
    </row>
    <row r="40" spans="1:2" x14ac:dyDescent="0.2">
      <c r="A40" s="2">
        <v>143</v>
      </c>
      <c r="B40">
        <v>95.69</v>
      </c>
    </row>
    <row r="41" spans="1:2" x14ac:dyDescent="0.2">
      <c r="A41" s="2">
        <v>141</v>
      </c>
      <c r="B41">
        <v>95.76</v>
      </c>
    </row>
    <row r="42" spans="1:2" x14ac:dyDescent="0.2">
      <c r="A42" s="2">
        <v>146</v>
      </c>
      <c r="B42">
        <v>96.41</v>
      </c>
    </row>
    <row r="43" spans="1:2" x14ac:dyDescent="0.2">
      <c r="A43" s="2">
        <v>138</v>
      </c>
      <c r="B43">
        <v>95.62</v>
      </c>
    </row>
    <row r="44" spans="1:2" x14ac:dyDescent="0.2">
      <c r="A44" s="2">
        <v>150</v>
      </c>
      <c r="B44">
        <v>96.09</v>
      </c>
    </row>
    <row r="45" spans="1:2" x14ac:dyDescent="0.2">
      <c r="A45" s="2">
        <v>152</v>
      </c>
      <c r="B45">
        <v>96.28</v>
      </c>
    </row>
    <row r="46" spans="1:2" x14ac:dyDescent="0.2">
      <c r="A46" s="2">
        <v>149</v>
      </c>
      <c r="B46">
        <v>93.48</v>
      </c>
    </row>
    <row r="47" spans="1:2" x14ac:dyDescent="0.2">
      <c r="A47" s="2" t="s">
        <v>88</v>
      </c>
      <c r="B47">
        <v>91.6</v>
      </c>
    </row>
    <row r="48" spans="1:2" x14ac:dyDescent="0.2">
      <c r="A48" s="2" t="s">
        <v>89</v>
      </c>
      <c r="B48">
        <v>90.57</v>
      </c>
    </row>
    <row r="49" spans="1:2" x14ac:dyDescent="0.2">
      <c r="A49" s="2" t="s">
        <v>90</v>
      </c>
      <c r="B49">
        <v>90.25</v>
      </c>
    </row>
    <row r="50" spans="1:2" x14ac:dyDescent="0.2">
      <c r="A50" s="2" t="s">
        <v>92</v>
      </c>
      <c r="B50">
        <v>90.28</v>
      </c>
    </row>
    <row r="51" spans="1:2" x14ac:dyDescent="0.2">
      <c r="A51" s="2" t="s">
        <v>91</v>
      </c>
      <c r="B51">
        <v>90.01</v>
      </c>
    </row>
    <row r="52" spans="1:2" x14ac:dyDescent="0.2">
      <c r="A52" s="2" t="s">
        <v>93</v>
      </c>
      <c r="B52">
        <v>90.48</v>
      </c>
    </row>
    <row r="53" spans="1:2" x14ac:dyDescent="0.2">
      <c r="A53" s="2" t="s">
        <v>94</v>
      </c>
      <c r="B53">
        <v>90.51</v>
      </c>
    </row>
    <row r="54" spans="1:2" x14ac:dyDescent="0.2">
      <c r="A54" s="2" t="s">
        <v>95</v>
      </c>
      <c r="B54">
        <v>90.36</v>
      </c>
    </row>
    <row r="55" spans="1:2" x14ac:dyDescent="0.2">
      <c r="A55" s="2" t="s">
        <v>96</v>
      </c>
      <c r="B55">
        <v>90.42</v>
      </c>
    </row>
    <row r="56" spans="1:2" x14ac:dyDescent="0.2">
      <c r="A56" s="2">
        <v>208</v>
      </c>
      <c r="B56">
        <v>89.99</v>
      </c>
    </row>
    <row r="57" spans="1:2" x14ac:dyDescent="0.2">
      <c r="A57" s="2">
        <v>221</v>
      </c>
      <c r="B57">
        <v>90.75</v>
      </c>
    </row>
    <row r="58" spans="1:2" x14ac:dyDescent="0.2">
      <c r="A58" s="2">
        <v>219</v>
      </c>
      <c r="B58">
        <v>89.84</v>
      </c>
    </row>
    <row r="59" spans="1:2" x14ac:dyDescent="0.2">
      <c r="A59" s="2">
        <v>224</v>
      </c>
      <c r="B59">
        <v>90.29</v>
      </c>
    </row>
    <row r="60" spans="1:2" x14ac:dyDescent="0.2">
      <c r="A60" s="2">
        <v>206</v>
      </c>
      <c r="B60">
        <v>90.09</v>
      </c>
    </row>
    <row r="61" spans="1:2" x14ac:dyDescent="0.2">
      <c r="A61" s="2">
        <v>228</v>
      </c>
      <c r="B61">
        <v>90.63</v>
      </c>
    </row>
    <row r="62" spans="1:2" x14ac:dyDescent="0.2">
      <c r="A62" s="2">
        <v>222</v>
      </c>
      <c r="B62">
        <v>90.68</v>
      </c>
    </row>
    <row r="63" spans="1:2" x14ac:dyDescent="0.2">
      <c r="A63" s="2">
        <v>225</v>
      </c>
      <c r="B63">
        <v>90.62</v>
      </c>
    </row>
    <row r="64" spans="1:2" x14ac:dyDescent="0.2">
      <c r="A64" s="2">
        <v>216</v>
      </c>
      <c r="B64">
        <v>90.7</v>
      </c>
    </row>
    <row r="65" spans="1:2" x14ac:dyDescent="0.2">
      <c r="A65" s="2">
        <v>211</v>
      </c>
      <c r="B65">
        <v>90.4</v>
      </c>
    </row>
    <row r="66" spans="1:2" x14ac:dyDescent="0.2">
      <c r="A66" s="2">
        <v>205</v>
      </c>
      <c r="B66">
        <v>89.46</v>
      </c>
    </row>
    <row r="67" spans="1:2" x14ac:dyDescent="0.2">
      <c r="A67" s="2">
        <v>215</v>
      </c>
      <c r="B67">
        <v>90.61</v>
      </c>
    </row>
    <row r="68" spans="1:2" x14ac:dyDescent="0.2">
      <c r="A68" s="2" t="s">
        <v>97</v>
      </c>
      <c r="B68">
        <v>89.64</v>
      </c>
    </row>
    <row r="69" spans="1:2" x14ac:dyDescent="0.2">
      <c r="A69" s="2" t="s">
        <v>98</v>
      </c>
      <c r="B69">
        <v>90.31</v>
      </c>
    </row>
    <row r="70" spans="1:2" x14ac:dyDescent="0.2">
      <c r="A70" s="2" t="s">
        <v>99</v>
      </c>
      <c r="B70">
        <v>90.43</v>
      </c>
    </row>
    <row r="71" spans="1:2" x14ac:dyDescent="0.2">
      <c r="A71" s="2" t="s">
        <v>100</v>
      </c>
      <c r="B71">
        <v>89.76</v>
      </c>
    </row>
    <row r="72" spans="1:2" x14ac:dyDescent="0.2">
      <c r="A72" s="2" t="s">
        <v>101</v>
      </c>
      <c r="B72">
        <v>90.21</v>
      </c>
    </row>
    <row r="73" spans="1:2" x14ac:dyDescent="0.2">
      <c r="A73" s="2" t="s">
        <v>102</v>
      </c>
      <c r="B73">
        <v>89.86</v>
      </c>
    </row>
    <row r="74" spans="1:2" x14ac:dyDescent="0.2">
      <c r="A74" s="2" t="s">
        <v>103</v>
      </c>
      <c r="B74">
        <v>90.48</v>
      </c>
    </row>
    <row r="75" spans="1:2" x14ac:dyDescent="0.2">
      <c r="A75" s="2" t="s">
        <v>104</v>
      </c>
      <c r="B75">
        <v>90.07</v>
      </c>
    </row>
    <row r="76" spans="1:2" x14ac:dyDescent="0.2">
      <c r="A76" s="2" t="s">
        <v>105</v>
      </c>
      <c r="B76" s="3">
        <v>90.1</v>
      </c>
    </row>
    <row r="77" spans="1:2" x14ac:dyDescent="0.2">
      <c r="A77" s="2" t="s">
        <v>106</v>
      </c>
      <c r="B77">
        <v>90.57</v>
      </c>
    </row>
    <row r="78" spans="1:2" x14ac:dyDescent="0.2">
      <c r="A78" s="2" t="s">
        <v>107</v>
      </c>
      <c r="B78">
        <v>90.69</v>
      </c>
    </row>
    <row r="79" spans="1:2" x14ac:dyDescent="0.2">
      <c r="A79" s="2" t="s">
        <v>108</v>
      </c>
      <c r="B79">
        <v>89.72</v>
      </c>
    </row>
    <row r="80" spans="1:2" x14ac:dyDescent="0.2">
      <c r="A80" s="2">
        <v>214</v>
      </c>
      <c r="B80">
        <v>90.68</v>
      </c>
    </row>
    <row r="81" spans="1:2" x14ac:dyDescent="0.2">
      <c r="A81" s="2">
        <v>217</v>
      </c>
      <c r="B81">
        <v>90.2</v>
      </c>
    </row>
    <row r="82" spans="1:2" x14ac:dyDescent="0.2">
      <c r="A82" s="2">
        <v>212</v>
      </c>
      <c r="B82">
        <v>89.75</v>
      </c>
    </row>
    <row r="83" spans="1:2" x14ac:dyDescent="0.2">
      <c r="A83" s="2">
        <v>223</v>
      </c>
      <c r="B83">
        <v>90.22</v>
      </c>
    </row>
    <row r="84" spans="1:2" x14ac:dyDescent="0.2">
      <c r="A84" s="2">
        <v>210</v>
      </c>
      <c r="B84">
        <v>90.28</v>
      </c>
    </row>
    <row r="85" spans="1:2" x14ac:dyDescent="0.2">
      <c r="A85" s="2">
        <v>207</v>
      </c>
      <c r="B85">
        <v>90.66</v>
      </c>
    </row>
    <row r="86" spans="1:2" x14ac:dyDescent="0.2">
      <c r="A86" s="2" t="s">
        <v>109</v>
      </c>
      <c r="B86">
        <v>89.63</v>
      </c>
    </row>
    <row r="87" spans="1:2" x14ac:dyDescent="0.2">
      <c r="A87" s="2" t="s">
        <v>110</v>
      </c>
      <c r="B87">
        <v>90.51</v>
      </c>
    </row>
    <row r="88" spans="1:2" x14ac:dyDescent="0.2">
      <c r="A88" s="2" t="s">
        <v>111</v>
      </c>
      <c r="B88">
        <v>89.33</v>
      </c>
    </row>
    <row r="89" spans="1:2" x14ac:dyDescent="0.2">
      <c r="A89" s="2" t="s">
        <v>112</v>
      </c>
      <c r="B89">
        <v>90.29</v>
      </c>
    </row>
    <row r="90" spans="1:2" x14ac:dyDescent="0.2">
      <c r="A90" s="2" t="s">
        <v>113</v>
      </c>
      <c r="B90">
        <v>90.42</v>
      </c>
    </row>
    <row r="91" spans="1:2" x14ac:dyDescent="0.2">
      <c r="A91" s="2" t="s">
        <v>114</v>
      </c>
      <c r="B91">
        <v>90.13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DD6CA-07BB-484D-AFEE-3E117E0DD466}">
  <dimension ref="A1:D55"/>
  <sheetViews>
    <sheetView workbookViewId="0">
      <selection activeCell="F31" sqref="F31"/>
    </sheetView>
  </sheetViews>
  <sheetFormatPr baseColWidth="10" defaultColWidth="8.83203125" defaultRowHeight="15" x14ac:dyDescent="0.2"/>
  <cols>
    <col min="3" max="3" width="11.33203125" bestFit="1" customWidth="1"/>
  </cols>
  <sheetData>
    <row r="1" spans="1:4" x14ac:dyDescent="0.2">
      <c r="A1" t="s">
        <v>13</v>
      </c>
      <c r="B1" t="s">
        <v>14</v>
      </c>
      <c r="C1" t="s">
        <v>66</v>
      </c>
      <c r="D1" t="s">
        <v>71</v>
      </c>
    </row>
    <row r="2" spans="1:4" x14ac:dyDescent="0.2">
      <c r="A2" t="s">
        <v>29</v>
      </c>
      <c r="B2">
        <v>31</v>
      </c>
    </row>
    <row r="3" spans="1:4" x14ac:dyDescent="0.2">
      <c r="A3" t="s">
        <v>30</v>
      </c>
      <c r="B3">
        <v>30.51</v>
      </c>
    </row>
    <row r="4" spans="1:4" x14ac:dyDescent="0.2">
      <c r="A4" t="s">
        <v>31</v>
      </c>
      <c r="B4">
        <v>30.43</v>
      </c>
    </row>
    <row r="5" spans="1:4" x14ac:dyDescent="0.2">
      <c r="A5" t="s">
        <v>32</v>
      </c>
      <c r="B5">
        <v>30.59</v>
      </c>
    </row>
    <row r="6" spans="1:4" x14ac:dyDescent="0.2">
      <c r="A6" t="s">
        <v>33</v>
      </c>
      <c r="B6">
        <v>30.23</v>
      </c>
    </row>
    <row r="7" spans="1:4" x14ac:dyDescent="0.2">
      <c r="A7" t="s">
        <v>34</v>
      </c>
      <c r="B7">
        <v>30.27</v>
      </c>
    </row>
    <row r="8" spans="1:4" x14ac:dyDescent="0.2">
      <c r="A8" t="s">
        <v>35</v>
      </c>
      <c r="B8">
        <v>30.21</v>
      </c>
    </row>
    <row r="9" spans="1:4" x14ac:dyDescent="0.2">
      <c r="A9" t="s">
        <v>36</v>
      </c>
      <c r="B9">
        <v>30.92</v>
      </c>
    </row>
    <row r="10" spans="1:4" x14ac:dyDescent="0.2">
      <c r="A10" t="s">
        <v>37</v>
      </c>
      <c r="B10">
        <v>30.31</v>
      </c>
    </row>
    <row r="11" spans="1:4" x14ac:dyDescent="0.2">
      <c r="A11" t="s">
        <v>38</v>
      </c>
      <c r="B11">
        <v>30.38</v>
      </c>
    </row>
    <row r="12" spans="1:4" x14ac:dyDescent="0.2">
      <c r="A12" t="s">
        <v>39</v>
      </c>
      <c r="B12">
        <v>30.16</v>
      </c>
    </row>
    <row r="13" spans="1:4" x14ac:dyDescent="0.2">
      <c r="A13" t="s">
        <v>40</v>
      </c>
      <c r="B13">
        <v>30.48</v>
      </c>
    </row>
    <row r="14" spans="1:4" x14ac:dyDescent="0.2">
      <c r="A14" t="s">
        <v>41</v>
      </c>
      <c r="B14">
        <v>31.01</v>
      </c>
    </row>
    <row r="15" spans="1:4" x14ac:dyDescent="0.2">
      <c r="A15" t="s">
        <v>42</v>
      </c>
      <c r="B15">
        <v>30.45</v>
      </c>
    </row>
    <row r="16" spans="1:4" x14ac:dyDescent="0.2">
      <c r="A16" t="s">
        <v>43</v>
      </c>
      <c r="B16">
        <v>30.45</v>
      </c>
    </row>
    <row r="17" spans="1:2" x14ac:dyDescent="0.2">
      <c r="A17" t="s">
        <v>44</v>
      </c>
      <c r="B17">
        <v>30.59</v>
      </c>
    </row>
    <row r="18" spans="1:2" x14ac:dyDescent="0.2">
      <c r="A18" t="s">
        <v>45</v>
      </c>
      <c r="B18">
        <v>30.51</v>
      </c>
    </row>
    <row r="19" spans="1:2" x14ac:dyDescent="0.2">
      <c r="A19" t="s">
        <v>46</v>
      </c>
      <c r="B19">
        <v>30.29</v>
      </c>
    </row>
    <row r="20" spans="1:2" x14ac:dyDescent="0.2">
      <c r="A20" t="s">
        <v>47</v>
      </c>
      <c r="B20">
        <v>30.33</v>
      </c>
    </row>
    <row r="21" spans="1:2" x14ac:dyDescent="0.2">
      <c r="A21" t="s">
        <v>48</v>
      </c>
      <c r="B21">
        <v>30.34</v>
      </c>
    </row>
    <row r="22" spans="1:2" x14ac:dyDescent="0.2">
      <c r="A22" t="s">
        <v>54</v>
      </c>
      <c r="B22">
        <v>30.23</v>
      </c>
    </row>
    <row r="23" spans="1:2" x14ac:dyDescent="0.2">
      <c r="A23" t="s">
        <v>55</v>
      </c>
      <c r="B23">
        <v>30.84</v>
      </c>
    </row>
    <row r="24" spans="1:2" x14ac:dyDescent="0.2">
      <c r="A24" t="s">
        <v>56</v>
      </c>
      <c r="B24">
        <v>30.32</v>
      </c>
    </row>
    <row r="25" spans="1:2" x14ac:dyDescent="0.2">
      <c r="A25" t="s">
        <v>57</v>
      </c>
      <c r="B25">
        <v>30.25</v>
      </c>
    </row>
    <row r="26" spans="1:2" x14ac:dyDescent="0.2">
      <c r="A26" t="s">
        <v>12</v>
      </c>
      <c r="B26">
        <v>30.41</v>
      </c>
    </row>
    <row r="27" spans="1:2" x14ac:dyDescent="0.2">
      <c r="A27" t="s">
        <v>15</v>
      </c>
      <c r="B27">
        <v>30.37</v>
      </c>
    </row>
    <row r="28" spans="1:2" x14ac:dyDescent="0.2">
      <c r="A28" t="s">
        <v>16</v>
      </c>
      <c r="B28">
        <v>30.39</v>
      </c>
    </row>
    <row r="29" spans="1:2" x14ac:dyDescent="0.2">
      <c r="A29" t="s">
        <v>17</v>
      </c>
      <c r="B29">
        <v>30.37</v>
      </c>
    </row>
    <row r="30" spans="1:2" x14ac:dyDescent="0.2">
      <c r="A30" t="s">
        <v>18</v>
      </c>
      <c r="B30">
        <v>30.57</v>
      </c>
    </row>
    <row r="31" spans="1:2" x14ac:dyDescent="0.2">
      <c r="A31" t="s">
        <v>19</v>
      </c>
      <c r="B31">
        <v>30.37</v>
      </c>
    </row>
    <row r="32" spans="1:2" x14ac:dyDescent="0.2">
      <c r="A32" t="s">
        <v>20</v>
      </c>
      <c r="B32">
        <v>30.37</v>
      </c>
    </row>
    <row r="33" spans="1:2" x14ac:dyDescent="0.2">
      <c r="A33" t="s">
        <v>21</v>
      </c>
      <c r="B33">
        <v>30.31</v>
      </c>
    </row>
    <row r="34" spans="1:2" x14ac:dyDescent="0.2">
      <c r="A34" t="s">
        <v>22</v>
      </c>
      <c r="B34">
        <v>30.36</v>
      </c>
    </row>
    <row r="35" spans="1:2" x14ac:dyDescent="0.2">
      <c r="A35" t="s">
        <v>23</v>
      </c>
      <c r="B35">
        <v>30.33</v>
      </c>
    </row>
    <row r="36" spans="1:2" x14ac:dyDescent="0.2">
      <c r="A36" t="s">
        <v>24</v>
      </c>
      <c r="B36">
        <v>30.27</v>
      </c>
    </row>
    <row r="37" spans="1:2" x14ac:dyDescent="0.2">
      <c r="A37" t="s">
        <v>25</v>
      </c>
      <c r="B37">
        <v>30.46</v>
      </c>
    </row>
    <row r="38" spans="1:2" x14ac:dyDescent="0.2">
      <c r="A38" t="s">
        <v>26</v>
      </c>
      <c r="B38">
        <v>30.17</v>
      </c>
    </row>
    <row r="39" spans="1:2" x14ac:dyDescent="0.2">
      <c r="A39" t="s">
        <v>27</v>
      </c>
      <c r="B39">
        <v>30.26</v>
      </c>
    </row>
    <row r="40" spans="1:2" x14ac:dyDescent="0.2">
      <c r="A40" t="s">
        <v>28</v>
      </c>
      <c r="B40">
        <v>30.4</v>
      </c>
    </row>
    <row r="41" spans="1:2" x14ac:dyDescent="0.2">
      <c r="A41" t="s">
        <v>49</v>
      </c>
      <c r="B41">
        <v>30.01</v>
      </c>
    </row>
    <row r="42" spans="1:2" x14ac:dyDescent="0.2">
      <c r="A42" t="s">
        <v>50</v>
      </c>
      <c r="B42">
        <v>30.43</v>
      </c>
    </row>
    <row r="43" spans="1:2" x14ac:dyDescent="0.2">
      <c r="A43" t="s">
        <v>51</v>
      </c>
      <c r="B43">
        <v>30.32</v>
      </c>
    </row>
    <row r="44" spans="1:2" x14ac:dyDescent="0.2">
      <c r="A44" t="s">
        <v>52</v>
      </c>
      <c r="B44">
        <v>30.5</v>
      </c>
    </row>
    <row r="45" spans="1:2" x14ac:dyDescent="0.2">
      <c r="A45" t="s">
        <v>53</v>
      </c>
      <c r="B45">
        <v>30.19</v>
      </c>
    </row>
    <row r="46" spans="1:2" x14ac:dyDescent="0.2">
      <c r="A46" t="s">
        <v>58</v>
      </c>
      <c r="B46">
        <v>30.22</v>
      </c>
    </row>
    <row r="47" spans="1:2" x14ac:dyDescent="0.2">
      <c r="A47" t="s">
        <v>59</v>
      </c>
      <c r="B47">
        <v>30.49</v>
      </c>
    </row>
    <row r="48" spans="1:2" x14ac:dyDescent="0.2">
      <c r="A48" t="s">
        <v>60</v>
      </c>
      <c r="B48">
        <v>30.35</v>
      </c>
    </row>
    <row r="49" spans="1:2" x14ac:dyDescent="0.2">
      <c r="A49" t="s">
        <v>61</v>
      </c>
      <c r="B49">
        <v>30.44</v>
      </c>
    </row>
    <row r="50" spans="1:2" x14ac:dyDescent="0.2">
      <c r="A50" s="1" t="s">
        <v>62</v>
      </c>
    </row>
    <row r="51" spans="1:2" x14ac:dyDescent="0.2">
      <c r="A51" s="1" t="s">
        <v>63</v>
      </c>
    </row>
    <row r="52" spans="1:2" x14ac:dyDescent="0.2">
      <c r="A52" s="1" t="s">
        <v>64</v>
      </c>
    </row>
    <row r="53" spans="1:2" x14ac:dyDescent="0.2">
      <c r="A53" s="1" t="s">
        <v>65</v>
      </c>
    </row>
    <row r="54" spans="1:2" x14ac:dyDescent="0.2">
      <c r="A54" s="1" t="s">
        <v>67</v>
      </c>
    </row>
    <row r="55" spans="1:2" x14ac:dyDescent="0.2">
      <c r="A55" s="1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D157B-64F6-1C47-9E63-6DCB449F26FA}">
  <dimension ref="A2:F13"/>
  <sheetViews>
    <sheetView tabSelected="1" zoomScale="162" workbookViewId="0">
      <selection activeCell="C21" sqref="C21"/>
    </sheetView>
  </sheetViews>
  <sheetFormatPr baseColWidth="10" defaultRowHeight="15" x14ac:dyDescent="0.2"/>
  <cols>
    <col min="1" max="1" width="38.83203125" bestFit="1" customWidth="1"/>
    <col min="2" max="2" width="16" customWidth="1"/>
    <col min="3" max="3" width="18.1640625" customWidth="1"/>
  </cols>
  <sheetData>
    <row r="2" spans="1:6" x14ac:dyDescent="0.2">
      <c r="A2" t="s">
        <v>162</v>
      </c>
      <c r="B2" t="s">
        <v>164</v>
      </c>
      <c r="C2" t="s">
        <v>165</v>
      </c>
      <c r="D2" t="s">
        <v>163</v>
      </c>
    </row>
    <row r="3" spans="1:6" x14ac:dyDescent="0.2">
      <c r="A3" s="7">
        <v>1.2</v>
      </c>
      <c r="B3">
        <f>A3/0.025</f>
        <v>47.999999999999993</v>
      </c>
      <c r="C3">
        <f>B3/18</f>
        <v>2.6666666666666661</v>
      </c>
      <c r="D3">
        <v>7.9887640449437997E-2</v>
      </c>
    </row>
    <row r="4" spans="1:6" x14ac:dyDescent="0.2">
      <c r="A4">
        <v>2.5</v>
      </c>
      <c r="B4">
        <f>A4/0.025</f>
        <v>100</v>
      </c>
      <c r="C4">
        <f>B4/18</f>
        <v>5.5555555555555554</v>
      </c>
      <c r="D4">
        <v>0.132977528089887</v>
      </c>
      <c r="F4" t="s">
        <v>166</v>
      </c>
    </row>
    <row r="5" spans="1:6" x14ac:dyDescent="0.2">
      <c r="A5">
        <v>7.5</v>
      </c>
      <c r="B5">
        <f>A5/0.025</f>
        <v>300</v>
      </c>
      <c r="C5">
        <f>B5/18</f>
        <v>16.666666666666668</v>
      </c>
      <c r="D5">
        <v>0.390842696629213</v>
      </c>
    </row>
    <row r="6" spans="1:6" x14ac:dyDescent="0.2">
      <c r="A6">
        <v>12.5</v>
      </c>
      <c r="B6">
        <f>A6/0.025</f>
        <v>500</v>
      </c>
      <c r="C6">
        <f>B6/18</f>
        <v>27.777777777777779</v>
      </c>
      <c r="D6">
        <v>0.64112359550561804</v>
      </c>
    </row>
    <row r="9" spans="1:6" x14ac:dyDescent="0.2">
      <c r="C9" t="s">
        <v>163</v>
      </c>
      <c r="D9" t="s">
        <v>165</v>
      </c>
    </row>
    <row r="10" spans="1:6" x14ac:dyDescent="0.2">
      <c r="C10">
        <v>7.9887640449437997E-2</v>
      </c>
      <c r="D10">
        <v>2.6666666666666661</v>
      </c>
    </row>
    <row r="11" spans="1:6" x14ac:dyDescent="0.2">
      <c r="C11">
        <v>0.132977528089887</v>
      </c>
      <c r="D11">
        <v>5.5555555555555554</v>
      </c>
    </row>
    <row r="12" spans="1:6" x14ac:dyDescent="0.2">
      <c r="C12">
        <v>0.390842696629213</v>
      </c>
      <c r="D12">
        <v>16.666666666666668</v>
      </c>
    </row>
    <row r="13" spans="1:6" x14ac:dyDescent="0.2">
      <c r="C13">
        <v>0.64112359550561804</v>
      </c>
      <c r="D13">
        <v>27.777777777777779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3413D-2178-4862-B9C9-90D1008852A6}">
  <dimension ref="A1:D55"/>
  <sheetViews>
    <sheetView workbookViewId="0">
      <selection activeCell="E60" sqref="E60"/>
    </sheetView>
  </sheetViews>
  <sheetFormatPr baseColWidth="10" defaultColWidth="8.83203125" defaultRowHeight="15" x14ac:dyDescent="0.2"/>
  <cols>
    <col min="3" max="3" width="11.33203125" bestFit="1" customWidth="1"/>
  </cols>
  <sheetData>
    <row r="1" spans="1:4" x14ac:dyDescent="0.2">
      <c r="A1" t="s">
        <v>13</v>
      </c>
      <c r="B1" t="s">
        <v>14</v>
      </c>
      <c r="C1" t="s">
        <v>66</v>
      </c>
      <c r="D1" t="s">
        <v>71</v>
      </c>
    </row>
    <row r="2" spans="1:4" x14ac:dyDescent="0.2">
      <c r="A2" t="s">
        <v>29</v>
      </c>
      <c r="B2">
        <v>30.99</v>
      </c>
      <c r="C2">
        <v>41.17</v>
      </c>
    </row>
    <row r="3" spans="1:4" x14ac:dyDescent="0.2">
      <c r="A3" t="s">
        <v>30</v>
      </c>
      <c r="B3">
        <v>30.5</v>
      </c>
      <c r="C3">
        <v>40.1</v>
      </c>
    </row>
    <row r="4" spans="1:4" x14ac:dyDescent="0.2">
      <c r="A4" t="s">
        <v>31</v>
      </c>
      <c r="B4">
        <v>30.41</v>
      </c>
      <c r="C4">
        <v>39.83</v>
      </c>
    </row>
    <row r="5" spans="1:4" x14ac:dyDescent="0.2">
      <c r="A5" t="s">
        <v>32</v>
      </c>
      <c r="B5">
        <v>30.58</v>
      </c>
      <c r="C5">
        <v>39.17</v>
      </c>
    </row>
    <row r="6" spans="1:4" x14ac:dyDescent="0.2">
      <c r="A6" t="s">
        <v>33</v>
      </c>
      <c r="B6">
        <v>30.2</v>
      </c>
      <c r="C6">
        <v>40.83</v>
      </c>
    </row>
    <row r="7" spans="1:4" x14ac:dyDescent="0.2">
      <c r="A7" t="s">
        <v>34</v>
      </c>
      <c r="B7">
        <v>30.26</v>
      </c>
      <c r="C7">
        <v>41.55</v>
      </c>
    </row>
    <row r="8" spans="1:4" x14ac:dyDescent="0.2">
      <c r="A8" t="s">
        <v>35</v>
      </c>
      <c r="B8">
        <v>30.18</v>
      </c>
      <c r="C8">
        <v>41.41</v>
      </c>
    </row>
    <row r="9" spans="1:4" x14ac:dyDescent="0.2">
      <c r="A9" t="s">
        <v>36</v>
      </c>
      <c r="B9">
        <v>30.89</v>
      </c>
      <c r="C9">
        <v>40.26</v>
      </c>
    </row>
    <row r="10" spans="1:4" x14ac:dyDescent="0.2">
      <c r="A10" t="s">
        <v>37</v>
      </c>
      <c r="B10">
        <v>30.29</v>
      </c>
      <c r="C10">
        <v>41.14</v>
      </c>
    </row>
    <row r="11" spans="1:4" x14ac:dyDescent="0.2">
      <c r="A11" t="s">
        <v>38</v>
      </c>
      <c r="B11">
        <v>30.36</v>
      </c>
      <c r="C11">
        <v>39.770000000000003</v>
      </c>
    </row>
    <row r="12" spans="1:4" x14ac:dyDescent="0.2">
      <c r="A12" t="s">
        <v>39</v>
      </c>
      <c r="B12">
        <v>30.14</v>
      </c>
      <c r="C12">
        <v>39.97</v>
      </c>
    </row>
    <row r="13" spans="1:4" x14ac:dyDescent="0.2">
      <c r="A13" t="s">
        <v>40</v>
      </c>
      <c r="B13">
        <v>30.48</v>
      </c>
      <c r="C13">
        <v>39.32</v>
      </c>
    </row>
    <row r="14" spans="1:4" x14ac:dyDescent="0.2">
      <c r="A14" t="s">
        <v>41</v>
      </c>
      <c r="B14">
        <v>30.99</v>
      </c>
      <c r="C14">
        <v>42.5</v>
      </c>
    </row>
    <row r="15" spans="1:4" x14ac:dyDescent="0.2">
      <c r="A15" t="s">
        <v>42</v>
      </c>
      <c r="B15">
        <v>30.44</v>
      </c>
      <c r="C15">
        <v>40.950000000000003</v>
      </c>
    </row>
    <row r="16" spans="1:4" x14ac:dyDescent="0.2">
      <c r="A16" t="s">
        <v>43</v>
      </c>
      <c r="B16">
        <v>30.44</v>
      </c>
      <c r="C16">
        <v>41.39</v>
      </c>
      <c r="D16">
        <v>41.39</v>
      </c>
    </row>
    <row r="17" spans="1:4" x14ac:dyDescent="0.2">
      <c r="A17" t="s">
        <v>44</v>
      </c>
      <c r="B17">
        <v>30.58</v>
      </c>
      <c r="C17">
        <v>40.159999999999997</v>
      </c>
      <c r="D17">
        <v>42.97</v>
      </c>
    </row>
    <row r="18" spans="1:4" x14ac:dyDescent="0.2">
      <c r="A18" t="s">
        <v>45</v>
      </c>
      <c r="B18">
        <v>30.52</v>
      </c>
      <c r="C18">
        <v>41.48</v>
      </c>
      <c r="D18">
        <v>42.03</v>
      </c>
    </row>
    <row r="19" spans="1:4" x14ac:dyDescent="0.2">
      <c r="A19" t="s">
        <v>46</v>
      </c>
      <c r="B19">
        <v>30.29</v>
      </c>
      <c r="C19">
        <v>40.6</v>
      </c>
      <c r="D19">
        <v>39.909999999999997</v>
      </c>
    </row>
    <row r="20" spans="1:4" x14ac:dyDescent="0.2">
      <c r="A20" t="s">
        <v>47</v>
      </c>
      <c r="B20">
        <v>30.35</v>
      </c>
      <c r="C20">
        <v>40.200000000000003</v>
      </c>
      <c r="D20">
        <v>40.619999999999997</v>
      </c>
    </row>
    <row r="21" spans="1:4" x14ac:dyDescent="0.2">
      <c r="A21" t="s">
        <v>48</v>
      </c>
      <c r="B21">
        <v>30.34</v>
      </c>
      <c r="C21">
        <v>40.07</v>
      </c>
      <c r="D21">
        <v>41.58</v>
      </c>
    </row>
    <row r="22" spans="1:4" x14ac:dyDescent="0.2">
      <c r="A22" t="s">
        <v>54</v>
      </c>
      <c r="B22">
        <v>30.23</v>
      </c>
      <c r="C22">
        <v>40.15</v>
      </c>
    </row>
    <row r="23" spans="1:4" x14ac:dyDescent="0.2">
      <c r="A23" t="s">
        <v>55</v>
      </c>
      <c r="B23">
        <v>30.81</v>
      </c>
      <c r="C23">
        <v>42.39</v>
      </c>
    </row>
    <row r="24" spans="1:4" x14ac:dyDescent="0.2">
      <c r="A24" t="s">
        <v>56</v>
      </c>
      <c r="B24">
        <v>30.3</v>
      </c>
      <c r="C24">
        <v>40.880000000000003</v>
      </c>
    </row>
    <row r="25" spans="1:4" x14ac:dyDescent="0.2">
      <c r="A25" t="s">
        <v>57</v>
      </c>
      <c r="B25">
        <v>30.23</v>
      </c>
      <c r="C25">
        <v>41.51</v>
      </c>
    </row>
    <row r="26" spans="1:4" x14ac:dyDescent="0.2">
      <c r="A26" t="s">
        <v>12</v>
      </c>
      <c r="B26">
        <v>30.41</v>
      </c>
      <c r="C26">
        <v>33.33</v>
      </c>
      <c r="D26">
        <v>33.14</v>
      </c>
    </row>
    <row r="27" spans="1:4" x14ac:dyDescent="0.2">
      <c r="A27" t="s">
        <v>15</v>
      </c>
      <c r="B27">
        <v>30.36</v>
      </c>
      <c r="C27">
        <v>33.479999999999997</v>
      </c>
      <c r="D27">
        <v>32.270000000000003</v>
      </c>
    </row>
    <row r="28" spans="1:4" x14ac:dyDescent="0.2">
      <c r="A28" t="s">
        <v>16</v>
      </c>
      <c r="B28">
        <v>30.36</v>
      </c>
      <c r="C28">
        <v>33.44</v>
      </c>
      <c r="D28">
        <v>32.47</v>
      </c>
    </row>
    <row r="29" spans="1:4" x14ac:dyDescent="0.2">
      <c r="A29" t="s">
        <v>17</v>
      </c>
      <c r="B29">
        <v>30.35</v>
      </c>
      <c r="C29">
        <v>33.94</v>
      </c>
      <c r="D29">
        <v>31.79</v>
      </c>
    </row>
    <row r="30" spans="1:4" x14ac:dyDescent="0.2">
      <c r="A30" t="s">
        <v>18</v>
      </c>
      <c r="B30">
        <v>30.56</v>
      </c>
      <c r="C30">
        <v>32.6</v>
      </c>
      <c r="D30">
        <v>32.61</v>
      </c>
    </row>
    <row r="31" spans="1:4" x14ac:dyDescent="0.2">
      <c r="A31" t="s">
        <v>19</v>
      </c>
      <c r="B31">
        <v>30.36</v>
      </c>
      <c r="C31">
        <v>32.43</v>
      </c>
      <c r="D31">
        <v>31.74</v>
      </c>
    </row>
    <row r="32" spans="1:4" x14ac:dyDescent="0.2">
      <c r="A32" t="s">
        <v>20</v>
      </c>
      <c r="B32">
        <v>30.35</v>
      </c>
      <c r="C32">
        <v>32.090000000000003</v>
      </c>
      <c r="D32">
        <v>34.159999999999997</v>
      </c>
    </row>
    <row r="33" spans="1:4" x14ac:dyDescent="0.2">
      <c r="A33" t="s">
        <v>21</v>
      </c>
      <c r="B33">
        <v>30.28</v>
      </c>
      <c r="C33">
        <v>33.21</v>
      </c>
      <c r="D33">
        <v>31.88</v>
      </c>
    </row>
    <row r="34" spans="1:4" x14ac:dyDescent="0.2">
      <c r="A34" t="s">
        <v>22</v>
      </c>
      <c r="B34">
        <v>30.34</v>
      </c>
      <c r="C34">
        <v>32.369999999999997</v>
      </c>
      <c r="D34">
        <v>33.94</v>
      </c>
    </row>
    <row r="35" spans="1:4" x14ac:dyDescent="0.2">
      <c r="A35" t="s">
        <v>23</v>
      </c>
      <c r="B35">
        <v>30.33</v>
      </c>
      <c r="C35">
        <v>33.07</v>
      </c>
      <c r="D35">
        <v>31.8</v>
      </c>
    </row>
    <row r="36" spans="1:4" x14ac:dyDescent="0.2">
      <c r="A36" t="s">
        <v>24</v>
      </c>
      <c r="B36">
        <v>30.26</v>
      </c>
      <c r="C36">
        <v>32.700000000000003</v>
      </c>
      <c r="D36">
        <v>32.450000000000003</v>
      </c>
    </row>
    <row r="37" spans="1:4" x14ac:dyDescent="0.2">
      <c r="A37" t="s">
        <v>25</v>
      </c>
      <c r="B37">
        <v>30.44</v>
      </c>
      <c r="C37">
        <v>33.07</v>
      </c>
      <c r="D37">
        <v>31.78</v>
      </c>
    </row>
    <row r="38" spans="1:4" x14ac:dyDescent="0.2">
      <c r="A38" t="s">
        <v>26</v>
      </c>
      <c r="B38">
        <v>30.15</v>
      </c>
      <c r="C38">
        <v>31.85</v>
      </c>
      <c r="D38">
        <v>32.71</v>
      </c>
    </row>
    <row r="39" spans="1:4" x14ac:dyDescent="0.2">
      <c r="A39" t="s">
        <v>27</v>
      </c>
      <c r="B39">
        <v>30.22</v>
      </c>
      <c r="C39">
        <v>32.5</v>
      </c>
      <c r="D39">
        <v>31.82</v>
      </c>
    </row>
    <row r="40" spans="1:4" x14ac:dyDescent="0.2">
      <c r="A40" t="s">
        <v>28</v>
      </c>
      <c r="B40">
        <v>30.38</v>
      </c>
      <c r="C40">
        <v>32.4</v>
      </c>
      <c r="D40">
        <v>32.35</v>
      </c>
    </row>
    <row r="41" spans="1:4" x14ac:dyDescent="0.2">
      <c r="A41" t="s">
        <v>49</v>
      </c>
      <c r="B41">
        <v>30.02</v>
      </c>
      <c r="C41">
        <v>33.25</v>
      </c>
      <c r="D41">
        <v>31.26</v>
      </c>
    </row>
    <row r="42" spans="1:4" x14ac:dyDescent="0.2">
      <c r="A42" t="s">
        <v>50</v>
      </c>
      <c r="B42">
        <v>30.44</v>
      </c>
      <c r="C42">
        <v>32.21</v>
      </c>
      <c r="D42">
        <v>32.54</v>
      </c>
    </row>
    <row r="43" spans="1:4" x14ac:dyDescent="0.2">
      <c r="A43" t="s">
        <v>51</v>
      </c>
      <c r="B43">
        <v>30.33</v>
      </c>
      <c r="C43">
        <v>32.99</v>
      </c>
      <c r="D43">
        <v>33.21</v>
      </c>
    </row>
    <row r="44" spans="1:4" x14ac:dyDescent="0.2">
      <c r="A44" t="s">
        <v>52</v>
      </c>
      <c r="B44">
        <v>30.51</v>
      </c>
      <c r="C44">
        <v>32.71</v>
      </c>
      <c r="D44">
        <v>32.96</v>
      </c>
    </row>
    <row r="45" spans="1:4" x14ac:dyDescent="0.2">
      <c r="A45" t="s">
        <v>53</v>
      </c>
      <c r="B45">
        <v>30.2</v>
      </c>
      <c r="C45">
        <v>33.950000000000003</v>
      </c>
      <c r="D45">
        <v>31.92</v>
      </c>
    </row>
    <row r="46" spans="1:4" x14ac:dyDescent="0.2">
      <c r="A46" t="s">
        <v>58</v>
      </c>
      <c r="B46">
        <v>30.22</v>
      </c>
      <c r="C46">
        <v>41.03</v>
      </c>
    </row>
    <row r="47" spans="1:4" x14ac:dyDescent="0.2">
      <c r="A47" t="s">
        <v>59</v>
      </c>
      <c r="B47">
        <v>30.44</v>
      </c>
      <c r="C47">
        <v>40.97</v>
      </c>
    </row>
    <row r="48" spans="1:4" x14ac:dyDescent="0.2">
      <c r="A48" t="s">
        <v>60</v>
      </c>
      <c r="B48">
        <v>30.33</v>
      </c>
      <c r="C48">
        <v>38.71</v>
      </c>
    </row>
    <row r="49" spans="1:3" x14ac:dyDescent="0.2">
      <c r="A49" t="s">
        <v>61</v>
      </c>
      <c r="B49">
        <v>30.43</v>
      </c>
      <c r="C49">
        <v>42.11</v>
      </c>
    </row>
    <row r="50" spans="1:3" x14ac:dyDescent="0.2">
      <c r="A50" s="1" t="s">
        <v>62</v>
      </c>
      <c r="B50">
        <v>60.17</v>
      </c>
      <c r="C50">
        <v>68.63</v>
      </c>
    </row>
    <row r="51" spans="1:3" x14ac:dyDescent="0.2">
      <c r="A51" s="1" t="s">
        <v>63</v>
      </c>
      <c r="B51">
        <v>61.63</v>
      </c>
      <c r="C51">
        <v>73.25</v>
      </c>
    </row>
    <row r="52" spans="1:3" x14ac:dyDescent="0.2">
      <c r="A52" s="1" t="s">
        <v>64</v>
      </c>
      <c r="B52">
        <v>57.86</v>
      </c>
      <c r="C52">
        <v>68.2</v>
      </c>
    </row>
    <row r="53" spans="1:3" x14ac:dyDescent="0.2">
      <c r="A53" s="1" t="s">
        <v>65</v>
      </c>
      <c r="B53">
        <v>55.9</v>
      </c>
      <c r="C53">
        <v>67.83</v>
      </c>
    </row>
    <row r="54" spans="1:3" x14ac:dyDescent="0.2">
      <c r="A54" s="1" t="s">
        <v>67</v>
      </c>
      <c r="B54">
        <v>64.739999999999995</v>
      </c>
      <c r="C54">
        <v>73.75</v>
      </c>
    </row>
    <row r="55" spans="1:3" x14ac:dyDescent="0.2">
      <c r="A55" s="1" t="s">
        <v>68</v>
      </c>
      <c r="B55">
        <v>59.76</v>
      </c>
      <c r="C55">
        <v>71.12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var_1</vt:lpstr>
      <vt:lpstr>var_2</vt:lpstr>
      <vt:lpstr>bulk_den</vt:lpstr>
      <vt:lpstr>AC_cal</vt:lpstr>
      <vt:lpstr>Cylinder_weight_bulk</vt:lpstr>
      <vt:lpstr>Texture2</vt:lpstr>
      <vt:lpstr>cec_cal</vt:lpstr>
      <vt:lpstr>Texture</vt:lpstr>
      <vt:lpstr>cec_cal!Default_Dataset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Benitez</dc:creator>
  <cp:lastModifiedBy>Jorge Alberto Benítez Arévalo (ES)</cp:lastModifiedBy>
  <cp:lastPrinted>2021-06-14T07:14:49Z</cp:lastPrinted>
  <dcterms:created xsi:type="dcterms:W3CDTF">2021-06-14T06:42:29Z</dcterms:created>
  <dcterms:modified xsi:type="dcterms:W3CDTF">2023-10-25T21:14:19Z</dcterms:modified>
</cp:coreProperties>
</file>