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8.xml" ContentType="application/vnd.ms-excel.controlproperties+xml"/>
  <Override PartName="/xl/comments8.xml" ContentType="application/vnd.openxmlformats-officedocument.spreadsheetml.comments+xml"/>
  <Override PartName="/xl/drawings/drawing16.xml" ContentType="application/vnd.openxmlformats-officedocument.drawing+xml"/>
  <Override PartName="/xl/ctrlProps/ctrlProp19.xml" ContentType="application/vnd.ms-excel.controlpropertie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comments10.xml" ContentType="application/vnd.openxmlformats-officedocument.spreadsheetml.comments+xml"/>
  <Override PartName="/xl/drawings/drawing19.xml" ContentType="application/vnd.openxmlformats-officedocument.drawing+xml"/>
  <Override PartName="/xl/comments11.xml" ContentType="application/vnd.openxmlformats-officedocument.spreadsheetml.comments+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trlProps/ctrlProp20.xml" ContentType="application/vnd.ms-excel.controlproperties+xml"/>
  <Override PartName="/xl/comments13.xml" ContentType="application/vnd.openxmlformats-officedocument.spreadsheetml.comments+xml"/>
  <Override PartName="/xl/drawings/drawing26.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trlProps/ctrlProp21.xml" ContentType="application/vnd.ms-excel.controlproperties+xml"/>
  <Override PartName="/xl/ctrlProps/ctrlProp22.xml" ContentType="application/vnd.ms-excel.controlproperties+xml"/>
  <Override PartName="/xl/comments14.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15.xml" ContentType="application/vnd.openxmlformats-officedocument.spreadsheetml.comments+xml"/>
  <Override PartName="/xl/drawings/drawing30.xml" ContentType="application/vnd.openxmlformats-officedocument.drawing+xml"/>
  <Override PartName="/xl/drawings/drawing31.xml" ContentType="application/vnd.openxmlformats-officedocument.drawing+xml"/>
  <Override PartName="/xl/comments16.xml" ContentType="application/vnd.openxmlformats-officedocument.spreadsheetml.comments+xml"/>
  <Override PartName="/xl/drawings/drawing32.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7.xml" ContentType="application/vnd.openxmlformats-officedocument.spreadsheetml.comments+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38.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0.xml" ContentType="application/vnd.openxmlformats-officedocument.spreadsheetml.comments+xml"/>
  <Override PartName="/xl/drawings/drawing45.xml" ContentType="application/vnd.openxmlformats-officedocument.drawing+xml"/>
  <Override PartName="/xl/comments21.xml" ContentType="application/vnd.openxmlformats-officedocument.spreadsheetml.comments+xml"/>
  <Override PartName="/xl/drawings/drawing46.xml" ContentType="application/vnd.openxmlformats-officedocument.drawing+xml"/>
  <Override PartName="/xl/comments22.xml" ContentType="application/vnd.openxmlformats-officedocument.spreadsheetml.comments+xml"/>
  <Override PartName="/xl/drawings/drawing47.xml" ContentType="application/vnd.openxmlformats-officedocument.drawing+xml"/>
  <Override PartName="/xl/ctrlProps/ctrlProp28.xml" ContentType="application/vnd.ms-excel.controlproperties+xml"/>
  <Override PartName="/xl/comments23.xml" ContentType="application/vnd.openxmlformats-officedocument.spreadsheetml.comments+xml"/>
  <Override PartName="/xl/drawings/drawing48.xml" ContentType="application/vnd.openxmlformats-officedocument.drawing+xml"/>
  <Override PartName="/xl/activeX/activeX38.xml" ContentType="application/vnd.ms-office.activeX+xml"/>
  <Override PartName="/xl/activeX/activeX3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24.xml" ContentType="application/vnd.openxmlformats-officedocument.spreadsheetml.comments+xml"/>
  <Override PartName="/xl/drawings/drawing49.xml" ContentType="application/vnd.openxmlformats-officedocument.drawing+xml"/>
  <Override PartName="/xl/drawings/drawing50.xml" ContentType="application/vnd.openxmlformats-officedocument.drawing+xml"/>
  <Override PartName="/xl/comments25.xml" ContentType="application/vnd.openxmlformats-officedocument.spreadsheetml.comments+xml"/>
  <Override PartName="/xl/drawings/drawing51.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2.xml" ContentType="application/vnd.openxmlformats-officedocument.drawing+xml"/>
  <Override PartName="/xl/drawings/drawing53.xml" ContentType="application/vnd.openxmlformats-officedocument.drawing+xml"/>
  <Override PartName="/xl/ctrlProps/ctrlProp35.xml" ContentType="application/vnd.ms-excel.controlproperties+xml"/>
  <Override PartName="/xl/drawings/drawing54.xml" ContentType="application/vnd.openxmlformats-officedocument.drawing+xml"/>
  <Override PartName="/xl/drawings/drawing55.xml" ContentType="application/vnd.openxmlformats-officedocument.drawing+xml"/>
  <Override PartName="/xl/ctrlProps/ctrlProp36.xml" ContentType="application/vnd.ms-excel.controlproperties+xml"/>
  <Override PartName="/xl/comments26.xml" ContentType="application/vnd.openxmlformats-officedocument.spreadsheetml.comments+xml"/>
  <Override PartName="/xl/drawings/drawing56.xml" ContentType="application/vnd.openxmlformats-officedocument.drawing+xml"/>
  <Override PartName="/xl/drawings/drawing57.xml" ContentType="application/vnd.openxmlformats-officedocument.drawing+xml"/>
  <Override PartName="/xl/activeX/activeX39.xml" ContentType="application/vnd.ms-office.activeX+xml"/>
  <Override PartName="/xl/activeX/activeX39.bin" ContentType="application/vnd.ms-office.activeX"/>
  <Override PartName="/xl/drawings/drawing58.xml" ContentType="application/vnd.openxmlformats-officedocument.drawing+xml"/>
  <Override PartName="/xl/ctrlProps/ctrlProp37.xml" ContentType="application/vnd.ms-excel.controlproperties+xml"/>
  <Override PartName="/xl/comments27.xml" ContentType="application/vnd.openxmlformats-officedocument.spreadsheetml.comments+xml"/>
  <Override PartName="/xl/drawings/drawing59.xml" ContentType="application/vnd.openxmlformats-officedocument.drawing+xml"/>
  <Override PartName="/xl/ctrlProps/ctrlProp38.xml" ContentType="application/vnd.ms-excel.controlproperties+xml"/>
  <Override PartName="/xl/drawings/drawing60.xml" ContentType="application/vnd.openxmlformats-officedocument.drawing+xml"/>
  <Override PartName="/xl/activeX/activeX40.xml" ContentType="application/vnd.ms-office.activeX+xml"/>
  <Override PartName="/xl/activeX/activeX40.bin" ContentType="application/vnd.ms-office.activeX"/>
  <Override PartName="/xl/comments28.xml" ContentType="application/vnd.openxmlformats-officedocument.spreadsheetml.comments+xml"/>
  <Override PartName="/xl/drawings/drawing61.xml" ContentType="application/vnd.openxmlformats-officedocument.drawing+xml"/>
  <Override PartName="/xl/comments29.xml" ContentType="application/vnd.openxmlformats-officedocument.spreadsheetml.comments+xml"/>
  <Override PartName="/xl/drawings/drawing62.xml" ContentType="application/vnd.openxmlformats-officedocument.drawing+xml"/>
  <Override PartName="/xl/ctrlProps/ctrlProp39.xml" ContentType="application/vnd.ms-excel.controlproperties+xml"/>
  <Override PartName="/xl/ctrlProps/ctrlProp40.xml" ContentType="application/vnd.ms-excel.controlproperties+xml"/>
  <Override PartName="/xl/comments30.xml" ContentType="application/vnd.openxmlformats-officedocument.spreadsheetml.comments+xml"/>
  <Override PartName="/xl/drawings/drawing63.xml" ContentType="application/vnd.openxmlformats-officedocument.drawing+xml"/>
  <Override PartName="/xl/comments31.xml" ContentType="application/vnd.openxmlformats-officedocument.spreadsheetml.comments+xml"/>
  <Override PartName="/xl/drawings/drawing64.xml" ContentType="application/vnd.openxmlformats-officedocument.drawing+xml"/>
  <Override PartName="/xl/ctrlProps/ctrlProp41.xml" ContentType="application/vnd.ms-excel.controlproperties+xml"/>
  <Override PartName="/xl/comments32.xml" ContentType="application/vnd.openxmlformats-officedocument.spreadsheetml.comments+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comments33.xml" ContentType="application/vnd.openxmlformats-officedocument.spreadsheetml.comments+xml"/>
  <Override PartName="/xl/drawings/drawing70.xml" ContentType="application/vnd.openxmlformats-officedocument.drawing+xml"/>
  <Override PartName="/xl/drawings/drawing71.xml" ContentType="application/vnd.openxmlformats-officedocument.drawing+xml"/>
  <Override PartName="/xl/comments3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2.xml" ContentType="application/vnd.openxmlformats-officedocument.drawing+xml"/>
  <Override PartName="/xl/activeX/activeX41.xml" ContentType="application/vnd.ms-office.activeX+xml"/>
  <Override PartName="/xl/activeX/activeX41.bin" ContentType="application/vnd.ms-office.activeX"/>
  <Override PartName="/xl/ctrlProps/ctrlProp42.xml" ContentType="application/vnd.ms-excel.controlproperties+xml"/>
  <Override PartName="/xl/comments35.xml" ContentType="application/vnd.openxmlformats-officedocument.spreadsheetml.comments+xml"/>
  <Override PartName="/xl/drawings/drawing73.xml" ContentType="application/vnd.openxmlformats-officedocument.drawing+xml"/>
  <Override PartName="/xl/drawings/drawing7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findexgrp-my.sharepoint.com/personal/jordan_edwards_findex_com_au/Documents/Documents/Knowledge base/Trusts/"/>
    </mc:Choice>
  </mc:AlternateContent>
  <xr:revisionPtr revIDLastSave="1" documentId="13_ncr:1_{2FC8B46E-5809-4B44-A435-92E15A58951A}" xr6:coauthVersionLast="47" xr6:coauthVersionMax="47" xr10:uidLastSave="{64791E01-A98C-4620-9512-073F97F070BA}"/>
  <bookViews>
    <workbookView xWindow="-32430" yWindow="1485" windowWidth="28800" windowHeight="15345" tabRatio="920" activeTab="15" xr2:uid="{00000000-000D-0000-FFFF-FFFF00000000}"/>
  </bookViews>
  <sheets>
    <sheet name="Input Info" sheetId="1" r:id="rId1"/>
    <sheet name="WPIndex" sheetId="73" r:id="rId2"/>
    <sheet name="WP Index" sheetId="2" state="veryHidden" r:id="rId3"/>
    <sheet name="Standard Rates" sheetId="3" state="veryHidden" r:id="rId4"/>
    <sheet name="Standard Thresholds" sheetId="4" state="hidden" r:id="rId5"/>
    <sheet name="Projected Income &amp; Expenses" sheetId="6" state="hidden" r:id="rId6"/>
    <sheet name="Livestock Est" sheetId="22" state="hidden" r:id="rId7"/>
    <sheet name="Tax Planning Summary" sheetId="72" state="hidden" r:id="rId8"/>
    <sheet name="Tax Timetable" sheetId="79" state="hidden" r:id="rId9"/>
    <sheet name="Recommendations &amp; Ideas" sheetId="59" state="hidden" r:id="rId10"/>
    <sheet name="Planning Checklist" sheetId="5" state="hidden" r:id="rId11"/>
    <sheet name="Stage 3 Tax Cuts" sheetId="77" state="hidden" r:id="rId12"/>
    <sheet name="Meeting Agenda" sheetId="70" state="hidden" r:id="rId13"/>
    <sheet name="Client Cover Sheet" sheetId="61" state="hidden" r:id="rId14"/>
    <sheet name="Summary of Tax Position" sheetId="17" state="hidden" r:id="rId15"/>
    <sheet name="Tax Rec" sheetId="7" r:id="rId16"/>
    <sheet name="Tax Rec Report" sheetId="8" state="hidden" r:id="rId17"/>
    <sheet name="S.100A Notification" sheetId="76" state="hidden" r:id="rId18"/>
    <sheet name="SBE Worksheet" sheetId="11" state="hidden" r:id="rId19"/>
    <sheet name="Loss Carry Back" sheetId="65" state="hidden" r:id="rId20"/>
    <sheet name="Trust Streaming" sheetId="9" state="hidden" r:id="rId21"/>
    <sheet name="Tech Boost" sheetId="74" state="hidden" r:id="rId22"/>
    <sheet name="Skills Boost" sheetId="75" state="hidden" r:id="rId23"/>
    <sheet name="Comparative Tax Recn" sheetId="10" state="hidden" r:id="rId24"/>
    <sheet name="Temp Full Expense Checklist" sheetId="69" state="hidden" r:id="rId25"/>
    <sheet name="Dist - Non Averaging" sheetId="12" state="veryHidden" r:id="rId26"/>
    <sheet name="Dist - Averaging" sheetId="13" state="veryHidden" r:id="rId27"/>
    <sheet name="Drought Write-Off (s385-105)" sheetId="15" state="hidden" r:id="rId28"/>
    <sheet name="Drought Write-Off (s385-110)" sheetId="16" state="hidden" r:id="rId29"/>
    <sheet name="Averaging Calculator" sheetId="14" state="hidden" r:id="rId30"/>
    <sheet name="Debtors" sheetId="18" state="hidden" r:id="rId31"/>
    <sheet name="Bank Rec" sheetId="19" state="hidden" r:id="rId32"/>
    <sheet name="Cash Book" sheetId="67" state="hidden" r:id="rId33"/>
    <sheet name="Prepayments" sheetId="20" state="hidden" r:id="rId34"/>
    <sheet name="Livestock" sheetId="21" state="hidden" r:id="rId35"/>
    <sheet name="Commercial Bill Pre" sheetId="23" state="hidden" r:id="rId36"/>
    <sheet name="Trading Stock" sheetId="24" state="hidden" r:id="rId37"/>
    <sheet name="Borrowing Costs" sheetId="25" state="veryHidden" r:id="rId38"/>
    <sheet name="Blackhole Expenses" sheetId="26" state="veryHidden" r:id="rId39"/>
    <sheet name="Low Value Pool" sheetId="27" state="hidden" r:id="rId40"/>
    <sheet name="Capital Asset Schedule" sheetId="28" state="veryHidden" r:id="rId41"/>
    <sheet name="Building Write-Off" sheetId="29" state="hidden" r:id="rId42"/>
    <sheet name="Water Improvements Write-Off" sheetId="30" state="hidden" r:id="rId43"/>
    <sheet name="Mains Electricity Write-Off" sheetId="31" state="hidden" r:id="rId44"/>
    <sheet name="Div7A Loan" sheetId="32" state="hidden" r:id="rId45"/>
    <sheet name="Sale or Purch Business" sheetId="33" state="hidden" r:id="rId46"/>
    <sheet name="Creditors" sheetId="34" state="hidden" r:id="rId47"/>
    <sheet name="AWB Loans" sheetId="35" state="hidden" r:id="rId48"/>
    <sheet name="GST Rec" sheetId="36" state="hidden" r:id="rId49"/>
    <sheet name="Superannuation Liability" sheetId="37" state="hidden" r:id="rId50"/>
    <sheet name="Interest Calc" sheetId="38" state="hidden" r:id="rId51"/>
    <sheet name="Loan Schedule" sheetId="39" state="hidden" r:id="rId52"/>
    <sheet name="HP Summary" sheetId="40" state="veryHidden" r:id="rId53"/>
    <sheet name="Inter Entity Loans" sheetId="41" state="hidden" r:id="rId54"/>
    <sheet name="Interest Deduct" sheetId="42" state="hidden" r:id="rId55"/>
    <sheet name="Long Service Leave" sheetId="43" state="hidden" r:id="rId56"/>
    <sheet name="Farm Income Split" sheetId="44" state="hidden" r:id="rId57"/>
    <sheet name="Schedule B" sheetId="45" state="hidden" r:id="rId58"/>
    <sheet name="Inv Income" sheetId="46" state="hidden" r:id="rId59"/>
    <sheet name="Dividend Summary" sheetId="47" state="veryHidden" r:id="rId60"/>
    <sheet name="Rental" sheetId="48" state="veryHidden" r:id="rId61"/>
    <sheet name="Pvt Use" sheetId="49" state="hidden" r:id="rId62"/>
    <sheet name="Motor Vec WP" sheetId="50" state="hidden" r:id="rId63"/>
    <sheet name="Car FBT" sheetId="51" state="hidden" r:id="rId64"/>
    <sheet name="Wages Reconciliation" sheetId="52" state="hidden" r:id="rId65"/>
    <sheet name="Total Debt" sheetId="53" state="hidden" r:id="rId66"/>
    <sheet name="FMD's" sheetId="54" state="hidden" r:id="rId67"/>
    <sheet name="TFN Register" sheetId="55" state="hidden" r:id="rId68"/>
    <sheet name="ATO Benchmark" sheetId="57" state="hidden" r:id="rId69"/>
    <sheet name="Net Worth Calculator" sheetId="58" state="hidden" r:id="rId70"/>
    <sheet name="How are we doing" sheetId="60" state="hidden" r:id="rId71"/>
    <sheet name="Household Budget" sheetId="78" state="hidden" r:id="rId72"/>
    <sheet name="Rental Summary" sheetId="64" state="hidden" r:id="rId73"/>
    <sheet name="Home Office" sheetId="66" state="hidden" r:id="rId74"/>
    <sheet name="Template Workpaper" sheetId="62" state="hidden" r:id="rId75"/>
    <sheet name="Defined Name Ranges" sheetId="63" state="veryHidden" r:id="rId76"/>
    <sheet name="APS" sheetId="80" state="hidden" r:id="rId77"/>
  </sheets>
  <functionGroups builtInGroupCount="19"/>
  <externalReferences>
    <externalReference r:id="rId78"/>
  </externalReferences>
  <definedNames>
    <definedName name="_APS_Client">APS!$B$2</definedName>
    <definedName name="_APS_Client_ID">APS!$C$2</definedName>
    <definedName name="_APS_Created_By">APS!$B$12</definedName>
    <definedName name="_APS_Date_Created">APS!$B$11</definedName>
    <definedName name="_APS_Ledger">APS!$B$4</definedName>
    <definedName name="_APS_Ledger_ID">APS!$C$4</definedName>
    <definedName name="_APS_Matter">APS!$B$3</definedName>
    <definedName name="_APS_Matter_ID">APS!$C$3</definedName>
    <definedName name="_APS_Partner">APS!$B$13</definedName>
    <definedName name="_APS_Period_End">APS!$B$9</definedName>
    <definedName name="_APS_Prepared_By">APS!$B$14</definedName>
    <definedName name="_APS_Project">APS!$B$5</definedName>
    <definedName name="_APS_Project_ID">APS!$C$5</definedName>
    <definedName name="_APS_Project_Status">APS!$B$6</definedName>
    <definedName name="_APS_Reviewed_By">APS!$B$15</definedName>
    <definedName name="_APS_Template">APS!$B$10</definedName>
    <definedName name="_APS_Title">APS!$B$8</definedName>
    <definedName name="_APS_Year">APS!$B$7</definedName>
    <definedName name="_xlnm._FilterDatabase" localSheetId="14" hidden="1">'Summary of Tax Position'!#REF!</definedName>
    <definedName name="_Mth2" localSheetId="48">'GST Rec'!$57:$57</definedName>
    <definedName name="_Qtr1" localSheetId="48">'GST Rec'!$25:$34</definedName>
    <definedName name="_Qtr3" localSheetId="48">'GST Rec'!$67:$76</definedName>
    <definedName name="April_PP">'Projected Income &amp; Expenses'!$Z:$Z</definedName>
    <definedName name="at_call_loan_na" localSheetId="10">'Planning Checklist'!$E$153</definedName>
    <definedName name="bs_cash_start" localSheetId="10">'Planning Checklist'!$E$13</definedName>
    <definedName name="bs_start" localSheetId="10">'Planning Checklist'!$E$12</definedName>
    <definedName name="CarFBTCurrentYearColumn">IF(MATCH('Car FBT'!$K$17,CarFBTRateDate,1)=1,1,MATCH('Car FBT'!$F$14,CarFBTRateDate,1)+IF(OR('Car FBT'!$K$19="",'Car FBT'!$K$17&lt;='Car FBT'!$F$13),0,IF(AND(MATCH('Car FBT'!$K$19,CarFBTRateDate,1)&lt;MATCH('Car FBT'!$K$17,CarFBTRateDate,1),'Car FBT'!$K$17&gt;INDEX(CarFBTRateDate,,MATCH('Car FBT'!$K$17,CarFBTRateDate,1)-1)),-1,0)))</definedName>
    <definedName name="CarFBTRateDate">'Car FBT'!$O$11:$S$11</definedName>
    <definedName name="CarFBTRateKms">'Car FBT'!$N$12:$N$15</definedName>
    <definedName name="CarFBTRates">'Car FBT'!$O$12:$S$15</definedName>
    <definedName name="CGTGeneralDiscount">'Capital Asset Schedule'!$L:$L</definedName>
    <definedName name="CIQWBGuid" hidden="1">"c32b2b5a-5970-489e-bfeb-fdf1ece5fc65"</definedName>
    <definedName name="ClientName">'Input Info'!$C$6</definedName>
    <definedName name="COY_2015_Carry_Limit">'Standard Thresholds'!#REF!</definedName>
    <definedName name="COY_NORMAL_RATE">'Standard Thresholds'!$D$13</definedName>
    <definedName name="COY_SMALL_BUSINESS_RATE">'Standard Thresholds'!$D$14</definedName>
    <definedName name="COY_Tax_Rate">'Standard Thresholds'!$D$71</definedName>
    <definedName name="Date">'Tax Timetable'!$A$17:$A$42</definedName>
    <definedName name="DatePrepared" localSheetId="11">'[1]Input Info'!$F$12</definedName>
    <definedName name="DatePrepared">'Input Info'!$F$12</definedName>
    <definedName name="Debtors_Summary">'WP Index'!$E$29</definedName>
    <definedName name="div7a_range">'Standard Thresholds'!$A$193:$B$218</definedName>
    <definedName name="div7a_year">'Standard Thresholds'!$A$193:$A$218</definedName>
    <definedName name="Div7AAll">'Div7A Loan'!$90:$121</definedName>
    <definedName name="Div7AEntriesAvailableOption">'Div7A Loan'!$B$88</definedName>
    <definedName name="Div7AMax10">'Div7A Loan'!$101:$120</definedName>
    <definedName name="Div7AMax15">'Div7A Loan'!$106:$120</definedName>
    <definedName name="Div7AMax20">'Div7A Loan'!$111:$120</definedName>
    <definedName name="Div7AMax5">'Div7A Loan'!$96:$120</definedName>
    <definedName name="Dividend_10_Entries">'Dividend Summary'!$17:$56</definedName>
    <definedName name="dividend_10_hide">'Dividend Summary'!$A$53:$M$142</definedName>
    <definedName name="Dividend_20_Entries">'Dividend Summary'!$17:$96</definedName>
    <definedName name="Dividend_All_Entries">'Dividend Summary'!$17:$136</definedName>
    <definedName name="Dividend_Entries_Display">'Dividend Summary'!$N$10</definedName>
    <definedName name="end_cell">'WP Index'!$F$73</definedName>
    <definedName name="ending_cell">'WP Index'!$F$73</definedName>
    <definedName name="Entity_State" localSheetId="0">'Input Info'!$C$12</definedName>
    <definedName name="Entity_Type" localSheetId="0">'Input Info'!$C$11</definedName>
    <definedName name="Entity_Type_Index">'Input Info'!$P$13</definedName>
    <definedName name="EW_YesNo">'Input Info'!$F$13</definedName>
    <definedName name="Exclude_Company">'Planning Checklist'!$J$10</definedName>
    <definedName name="Exclude_GST">'Planning Checklist'!$Q$10</definedName>
    <definedName name="Exclude_IndividualBusiness">'Planning Checklist'!$M$10</definedName>
    <definedName name="Exclude_Partnership">'Planning Checklist'!$L$10</definedName>
    <definedName name="Exclude_PP">'Planning Checklist'!$P$10</definedName>
    <definedName name="Exclude_Salary_And_Wage">'Planning Checklist'!$N$10</definedName>
    <definedName name="Exclude_SBE">'Planning Checklist'!$O$10</definedName>
    <definedName name="Exclude_Trust">'Planning Checklist'!$K$10</definedName>
    <definedName name="Excluded_Items">'Planning Checklist'!$J$10:$N$10</definedName>
    <definedName name="expense_entertainment_start" localSheetId="10">'Planning Checklist'!$E$48</definedName>
    <definedName name="expense_hp_start" localSheetId="10">'Planning Checklist'!$E$66</definedName>
    <definedName name="expense_insurance_start" localSheetId="10">'Planning Checklist'!$E$68</definedName>
    <definedName name="expense_interest_end" localSheetId="10">'Planning Checklist'!$E$73</definedName>
    <definedName name="expense_start" localSheetId="10">'Planning Checklist'!$E$46</definedName>
    <definedName name="expense_super_individual_specific" localSheetId="10">'Planning Checklist'!$E$79:$E$79</definedName>
    <definedName name="expense_travel_start" localSheetId="10">'Planning Checklist'!$E$80</definedName>
    <definedName name="FarmManagementDeposits">'Projected Income &amp; Expenses'!$A$45</definedName>
    <definedName name="FBT_DATES">'Standard Thresholds'!$C$22:$C$27</definedName>
    <definedName name="FBT_GROSSUP_GST">'Standard Thresholds'!$D$33:$I$33</definedName>
    <definedName name="FBT_GROSSUP_NOTGST">'Standard Thresholds'!$D$34:$I$34</definedName>
    <definedName name="FBT_RATE">'Standard Thresholds'!$D$32:$I$32</definedName>
    <definedName name="FBT_RATE_YEAR">'Standard Thresholds'!$D$31:$I$31</definedName>
    <definedName name="FBT_RATES">'Standard Thresholds'!$D$22:$D$27</definedName>
    <definedName name="FBT_TABLE">'Standard Thresholds'!$C$22:$D$27</definedName>
    <definedName name="FirmCroweHorwath">'Input Info'!$N$9</definedName>
    <definedName name="FirmNames">'Input Info'!$N$8:$N$9</definedName>
    <definedName name="FirmWHK">'Input Info'!$N$8</definedName>
    <definedName name="GrossProfitFromLivestock">'Projected Income &amp; Expenses'!$A$22</definedName>
    <definedName name="GST_Entity" localSheetId="0">'Input Info'!$C$15</definedName>
    <definedName name="GST_Entity_Creditor_Hide">Creditors!$F:$G</definedName>
    <definedName name="GST_Entity_Debtor_Hide">Debtors!$C:$D</definedName>
    <definedName name="GST_MonthlyEntries">'GST Rec'!$21:$22,'GST Rec'!$24:$25,'GST Rec'!$27:$28,'GST Rec'!$30:$31,'GST Rec'!$41:$42,'GST Rec'!$44:$45,'GST Rec'!$47:$48,'GST Rec'!$50:$51,'GST Rec'!$63:$64,'GST Rec'!$66:$67,'GST Rec'!$69:$70,'GST Rec'!$72:$73</definedName>
    <definedName name="GST_Rec_Capital">'GST Rec'!$N:$O</definedName>
    <definedName name="HECS_Repayment">'Standard Thresholds'!$A$52:$O$71</definedName>
    <definedName name="Hide">'Defined Name Ranges'!$A$1</definedName>
    <definedName name="HideShow">'Defined Name Ranges'!$A$1:$A$2</definedName>
    <definedName name="income_start" localSheetId="10">'Planning Checklist'!$E$21</definedName>
    <definedName name="income_trust_dist_start" localSheetId="10">'Planning Checklist'!$E$34</definedName>
    <definedName name="Individuals_A">'Dist - Averaging'!$E$15:$N$15</definedName>
    <definedName name="Individuals_NA">'Dist - Non Averaging'!$E$14:$N$14</definedName>
    <definedName name="Input_Firm_Name">'Input Info'!$N$5</definedName>
    <definedName name="Input_GSTIndex">'Input Info'!$P$17</definedName>
    <definedName name="Input_PlanningLevelIndex">'Input Info'!$P$3</definedName>
    <definedName name="Input_PurposeIndex">'Input Info'!$O$3</definedName>
    <definedName name="Inter_Entity_Loan_Matrix">'Inter Entity Loans'!$D$31:$L$39</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"06/14/2016 01:02:35"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t_rec_addback_end" localSheetId="10">'Planning Checklist'!$E$91</definedName>
    <definedName name="it_rec_start" localSheetId="10">'Planning Checklist'!$E$90</definedName>
    <definedName name="it_return_interest_start" localSheetId="10">'Planning Checklist'!$E$110</definedName>
    <definedName name="it_return_pship_na_range" localSheetId="10">'Planning Checklist'!$E$110:$E$139</definedName>
    <definedName name="it_return_start" localSheetId="10">'Planning Checklist'!$E$94</definedName>
    <definedName name="June_PP">'Projected Income &amp; Expenses'!$AD:$AD</definedName>
    <definedName name="Loan_GST">'Loan Schedule'!$J$2:$K$2</definedName>
    <definedName name="Loan_Schedule_PIR_Range" localSheetId="51">'Loan Schedule'!$A$18:$I$23</definedName>
    <definedName name="Loan_Schedule_PIT_Range" localSheetId="51">'Loan Schedule'!$A$24:$I$29</definedName>
    <definedName name="Loan_Schedule_PRT_Range" localSheetId="51">'Loan Schedule'!$A$30:$I$35</definedName>
    <definedName name="Loan_Schedule_Start" localSheetId="51">'Loan Schedule'!$A$37</definedName>
    <definedName name="Loan_Schedule_Type" localSheetId="51">'Loan Schedule'!$L$16</definedName>
    <definedName name="LongServiceLeaveEmployeeMax10">'Long Service Leave'!$28:$47</definedName>
    <definedName name="LongServiceLeaveEmployeeMax15">'Long Service Leave'!$33:$47</definedName>
    <definedName name="LongServiceLeaveEmployeeMax20">'Long Service Leave'!$38:$47</definedName>
    <definedName name="LongServiceLeaveEmployeeMax5">'Long Service Leave'!$23:$47</definedName>
    <definedName name="LongServiceLeaveEmployeeMaxAll">'Long Service Leave'!$23:$47</definedName>
    <definedName name="LongServiceLeaveEmployeeOption">'Long Service Leave'!$N$14</definedName>
    <definedName name="May_PP">'Projected Income &amp; Expenses'!$AB:$AB</definedName>
    <definedName name="medicare" localSheetId="14">'Summary of Tax Position'!$C$69:$I$72</definedName>
    <definedName name="Minors_Tax_Rates">'Standard Thresholds'!$A$146:$C$148</definedName>
    <definedName name="Minors_Thresholds">'Standard Thresholds'!$A$146:$A$148</definedName>
    <definedName name="MLS">'Standard Thresholds'!$B$45:$E$47</definedName>
    <definedName name="MLS_Child">'Standard Thresholds'!$E$45</definedName>
    <definedName name="MLS_Family">'Standard Thresholds'!$C$45</definedName>
    <definedName name="MLS_Family_C">'Standard Thresholds'!$C$45:$C$47</definedName>
    <definedName name="MLS_Rate">'Standard Thresholds'!$D$45</definedName>
    <definedName name="MLS_Rate_C">'Standard Thresholds'!$D$45:$D$47</definedName>
    <definedName name="MLS_Single">'Standard Thresholds'!$B$45</definedName>
    <definedName name="MLS_Single_C">'Standard Thresholds'!$B$45:$B$47</definedName>
    <definedName name="na_range" localSheetId="10">'Planning Checklist'!$E$12:$E$159</definedName>
    <definedName name="Natural_Increase">Livestock!$Z$5:$AA$12</definedName>
    <definedName name="oe_start" localSheetId="10">'Planning Checklist'!$E$149</definedName>
    <definedName name="ow_na" localSheetId="10">'Planning Checklist'!$E$149</definedName>
    <definedName name="Paid_NotPaid">'Tax Timetable'!$D$17:$D$42</definedName>
    <definedName name="Partner_Beneficiary_Label">'Tax Rec'!$A$185</definedName>
    <definedName name="Pay_at" localSheetId="51">'Loan Schedule'!$L$17</definedName>
    <definedName name="Period_Days">'Input Info'!$F$9</definedName>
    <definedName name="Period_End">'Input Info'!$F$8</definedName>
    <definedName name="Period_Start">'Input Info'!$C$8</definedName>
    <definedName name="PP">'Input Info'!$C$13</definedName>
    <definedName name="PreparedBy" localSheetId="23">'Input Info'!$F$11</definedName>
    <definedName name="PreparedBy" localSheetId="11">'[1]Input Info'!$F$11</definedName>
    <definedName name="PreparedBy">'Input Info'!$F$11</definedName>
    <definedName name="Primary_Producer" localSheetId="0">'Input Info'!$C$13</definedName>
    <definedName name="Primary_Producer">'Input Info'!$C$8</definedName>
    <definedName name="_xlnm.Print_Area" localSheetId="29">'Averaging Calculator'!$A$2:$H$48</definedName>
    <definedName name="_xlnm.Print_Area" localSheetId="40">'Capital Asset Schedule'!$A$1:$V$136</definedName>
    <definedName name="_xlnm.Print_Area" localSheetId="63">'Car FBT'!$A:$K</definedName>
    <definedName name="_xlnm.Print_Area" localSheetId="32">'Cash Book'!$A$2:$BK$126</definedName>
    <definedName name="_xlnm.Print_Area" localSheetId="13">'Client Cover Sheet'!$C$3:$H$20</definedName>
    <definedName name="_xlnm.Print_Area" localSheetId="23">'Comparative Tax Recn'!$A$1:$G$146</definedName>
    <definedName name="_xlnm.Print_Area" localSheetId="46">Creditors!$A$1:$I$64</definedName>
    <definedName name="_xlnm.Print_Area" localSheetId="30">Debtors!$A$1:$F$66</definedName>
    <definedName name="_xlnm.Print_Area" localSheetId="26">'Dist - Averaging'!$A$11:$Z$148</definedName>
    <definedName name="_xlnm.Print_Area" localSheetId="25">'Dist - Non Averaging'!$A$11:$Z$92</definedName>
    <definedName name="_xlnm.Print_Area" localSheetId="44">'Div7A Loan'!$A$2:$E$126</definedName>
    <definedName name="_xlnm.Print_Area" localSheetId="48">'GST Rec'!$A$1:$O$111</definedName>
    <definedName name="_xlnm.Print_Area" localSheetId="71">'Household Budget'!$A$1:$D$192</definedName>
    <definedName name="_xlnm.Print_Area" localSheetId="70">'How are we doing'!$A$1:$C$28</definedName>
    <definedName name="_xlnm.Print_Area" localSheetId="0">'Input Info'!$A$1:$F$43</definedName>
    <definedName name="_xlnm.Print_Area" localSheetId="53">'Inter Entity Loans'!$A$2:$L$42</definedName>
    <definedName name="_xlnm.Print_Area" localSheetId="54">'Interest Deduct'!$A$2:$O$36</definedName>
    <definedName name="_xlnm.Print_Area" localSheetId="6">'Livestock Est'!$A$1:$O$85</definedName>
    <definedName name="_xlnm.Print_Area" localSheetId="12">'Meeting Agenda'!$A$2:$J$29</definedName>
    <definedName name="_xlnm.Print_Area" localSheetId="69">'Net Worth Calculator'!$B$2:$L$83</definedName>
    <definedName name="_xlnm.Print_Area" localSheetId="5">'Projected Income &amp; Expenses'!$A$1:$AJ$85</definedName>
    <definedName name="_xlnm.Print_Area" localSheetId="9">'Recommendations &amp; Ideas'!$A$1:$Q$58</definedName>
    <definedName name="_xlnm.Print_Area" localSheetId="17">'S.100A Notification'!$A$32:$E$236</definedName>
    <definedName name="_xlnm.Print_Area" localSheetId="18">'SBE Worksheet'!$E$2:$T$110</definedName>
    <definedName name="_xlnm.Print_Area" localSheetId="4">'Standard Thresholds'!$A$1:$I$225</definedName>
    <definedName name="_xlnm.Print_Area" localSheetId="14">'Summary of Tax Position'!$A$6:$X$66</definedName>
    <definedName name="_xlnm.Print_Area" localSheetId="49">'Superannuation Liability'!$A$1:$F$36</definedName>
    <definedName name="_xlnm.Print_Area" localSheetId="7">'Tax Planning Summary'!$A$6:$T$238</definedName>
    <definedName name="_xlnm.Print_Area" localSheetId="15">'Tax Rec'!$A$1:$I$334</definedName>
    <definedName name="_xlnm.Print_Area" localSheetId="16">'Tax Rec Report'!$A$1:$I$85</definedName>
    <definedName name="_xlnm.Print_Area" localSheetId="8">'Tax Timetable'!$A$9:$K$107</definedName>
    <definedName name="_xlnm.Print_Area" localSheetId="21">'Tech Boost'!$A$1:$H$72</definedName>
    <definedName name="_xlnm.Print_Area" localSheetId="24">'Temp Full Expense Checklist'!$A$11:$D$40</definedName>
    <definedName name="_xlnm.Print_Area" localSheetId="74">'Template Workpaper'!$A$1:$H$53</definedName>
    <definedName name="_xlnm.Print_Area" localSheetId="20">'Trust Streaming'!$A$2:$J$131</definedName>
    <definedName name="_xlnm.Print_Area" localSheetId="42">'Water Improvements Write-Off'!$A$1:$J$57</definedName>
    <definedName name="_xlnm.Print_Area" localSheetId="1">WPIndex!$A$1:$E$90</definedName>
    <definedName name="_xlnm.Print_Titles" localSheetId="59">'Dividend Summary'!$13:$16</definedName>
    <definedName name="_xlnm.Print_Titles" localSheetId="48">'GST Rec'!$2:$13</definedName>
    <definedName name="_xlnm.Print_Titles" localSheetId="71">'Household Budget'!$1:$4</definedName>
    <definedName name="_xlnm.Print_Titles" localSheetId="51">'Loan Schedule'!$37:$38</definedName>
    <definedName name="_xlnm.Print_Titles" localSheetId="10">'Planning Checklist'!$7:$11</definedName>
    <definedName name="_xlnm.Print_Titles" localSheetId="4">'Standard Thresholds'!$1:$5</definedName>
    <definedName name="_xlnm.Print_Titles" localSheetId="7">'Tax Planning Summary'!$6:$9</definedName>
    <definedName name="_xlnm.Print_Titles" localSheetId="36">'Trading Stock'!$2:$8</definedName>
    <definedName name="Project_Expenses_Extrapolate">'Projected Income &amp; Expenses'!$AM$2</definedName>
    <definedName name="Project_Income_Extrapolate">'Projected Income &amp; Expenses'!$AM$1</definedName>
    <definedName name="Project_Income_PP_Cols">'Projected Income &amp; Expenses'!$Z:$Z,'Projected Income &amp; Expenses'!$AB:$AB,'Projected Income &amp; Expenses'!$AD:$AD,'Projected Income &amp; Expenses'!$AF:$AF</definedName>
    <definedName name="Projected_Income_Actual_Index">'Projected Income &amp; Expenses'!$AL$12</definedName>
    <definedName name="Projected_Income_Comparatives">'Projected Income &amp; Expenses'!$AG:$AJ</definedName>
    <definedName name="Projected_Income_PP">'Projected Income &amp; Expenses'!$H:$H,'Projected Income &amp; Expenses'!$J:$J,'Projected Income &amp; Expenses'!$L:$L,'Projected Income &amp; Expenses'!$N:$N,'Projected Income &amp; Expenses'!$P:$P,'Projected Income &amp; Expenses'!$R:$R,'Projected Income &amp; Expenses'!$T:$T,'Projected Income &amp; Expenses'!$V:$V,'Projected Income &amp; Expenses'!$X:$X,'Projected Income &amp; Expenses'!$Z:$Z,'Projected Income &amp; Expenses'!$AB:$AB,'Projected Income &amp; Expenses'!$AD:$AD,'Projected Income &amp; Expenses'!$AF:$AF,'Projected Income &amp; Expenses'!$AI:$AI</definedName>
    <definedName name="QA_Checklist_All_Rows" localSheetId="10">'Planning Checklist'!$11:$159</definedName>
    <definedName name="QA_Checklist_Trus_Dist" localSheetId="10">'Planning Checklist'!$34:$41</definedName>
    <definedName name="QA_NA_Column">'Planning Checklist'!$E$11</definedName>
    <definedName name="QA_No_Column">'Planning Checklist'!$D$11</definedName>
    <definedName name="QA_SBE_Large_co" localSheetId="10">'Planning Checklist'!$154:$158</definedName>
    <definedName name="QA_Yes_Column">'Planning Checklist'!$C$11</definedName>
    <definedName name="Qtr2a" localSheetId="48">'GST Rec'!$45:$52</definedName>
    <definedName name="Qtr2b" localSheetId="48">'GST Rec'!$56:$56</definedName>
    <definedName name="RealEstateProperty">'Capital Asset Schedule'!XES1048576:XES5</definedName>
    <definedName name="RefColumn" localSheetId="68">'ATO Benchmark'!$I$13</definedName>
    <definedName name="RefColumn" localSheetId="47">'AWB Loans'!$I$13</definedName>
    <definedName name="RefColumn" localSheetId="31">'Bank Rec'!$J$12</definedName>
    <definedName name="RefColumn" localSheetId="38">'Blackhole Expenses'!$J$10</definedName>
    <definedName name="RefColumn" localSheetId="37">'Borrowing Costs'!$J$10</definedName>
    <definedName name="RefColumn" localSheetId="41">'Building Write-Off'!$O$18</definedName>
    <definedName name="RefColumn" localSheetId="40">'Capital Asset Schedule'!$W$13</definedName>
    <definedName name="RefColumn" localSheetId="63">'Car FBT'!$L$12</definedName>
    <definedName name="RefColumn" localSheetId="35">'Commercial Bill Pre'!$H$14</definedName>
    <definedName name="RefColumn" localSheetId="46">Creditors!$J$13</definedName>
    <definedName name="RefColumn" localSheetId="30">Debtors!$G$13</definedName>
    <definedName name="RefColumn" localSheetId="26">'Dist - Averaging'!$AS$15</definedName>
    <definedName name="RefColumn" localSheetId="25">'Dist - Non Averaging'!$AP$14</definedName>
    <definedName name="RefColumn" localSheetId="44">'Div7A Loan'!$H$12</definedName>
    <definedName name="RefColumn" localSheetId="59">'Dividend Summary'!$O$13</definedName>
    <definedName name="RefColumn" localSheetId="27">'Drought Write-Off (s385-105)'!$G$16</definedName>
    <definedName name="RefColumn" localSheetId="28">'Drought Write-Off (s385-110)'!$H$15</definedName>
    <definedName name="RefColumn" localSheetId="56">'Farm Income Split'!$F$12</definedName>
    <definedName name="RefColumn" localSheetId="66">'FMD''s'!$M$13</definedName>
    <definedName name="RefColumn" localSheetId="48">'GST Rec'!$R$13</definedName>
    <definedName name="RefColumn" localSheetId="53">'Inter Entity Loans'!$M$23</definedName>
    <definedName name="RefColumn" localSheetId="50">'Interest Calc'!$L$12</definedName>
    <definedName name="RefColumn" localSheetId="54">'Interest Deduct'!$N$18</definedName>
    <definedName name="RefColumn" localSheetId="58">'Inv Income'!$J$11</definedName>
    <definedName name="RefColumn" localSheetId="34">Livestock!$X$14</definedName>
    <definedName name="RefColumn" localSheetId="51">'Loan Schedule'!$O$12</definedName>
    <definedName name="RefColumn" localSheetId="39">'Low Value Pool'!$I$13</definedName>
    <definedName name="RefColumn" localSheetId="43">'Mains Electricity Write-Off'!$J$16</definedName>
    <definedName name="RefColumn" localSheetId="12">'Meeting Agenda'!#REF!</definedName>
    <definedName name="RefColumn" localSheetId="62">'Motor Vec WP'!$K$12</definedName>
    <definedName name="RefColumn" localSheetId="33">Prepayments!$H$14</definedName>
    <definedName name="RefColumn" localSheetId="61">'Pvt Use'!$F$11</definedName>
    <definedName name="RefColumn" localSheetId="60">Rental!$P$17</definedName>
    <definedName name="RefColumn" localSheetId="72">'Rental Summary'!$S$20</definedName>
    <definedName name="RefColumn" localSheetId="45">'Sale or Purch Business'!$H$12</definedName>
    <definedName name="RefColumn" localSheetId="18">'SBE Worksheet'!$Z$16</definedName>
    <definedName name="RefColumn" localSheetId="57">'Schedule B'!$K$12</definedName>
    <definedName name="RefColumn" localSheetId="7">'Tax Planning Summary'!$X$12</definedName>
    <definedName name="RefColumn" localSheetId="15">'Tax Rec'!$L$10</definedName>
    <definedName name="RefColumn" localSheetId="74">'Template Workpaper'!$I$13</definedName>
    <definedName name="RefColumn" localSheetId="67">'TFN Register'!$I$12</definedName>
    <definedName name="RefColumn" localSheetId="65">'Total Debt'!$I$12</definedName>
    <definedName name="RefColumn" localSheetId="36">'Trading Stock'!$D$13</definedName>
    <definedName name="RefColumn" localSheetId="20">'Trust Streaming'!$K$13</definedName>
    <definedName name="RefColumn" localSheetId="64">'Wages Reconciliation'!$Q$16</definedName>
    <definedName name="RefColumn" localSheetId="42">'Water Improvements Write-Off'!$J$16</definedName>
    <definedName name="Relevantyear">'Tax Timetable'!$E$17:$E$42</definedName>
    <definedName name="Repayment_Amount">'Div7A Loan'!$B$91:$B$120</definedName>
    <definedName name="Repayment_Date">'Div7A Loan'!$A$91:$A$120</definedName>
    <definedName name="SBE">'Input Info'!$C$14</definedName>
    <definedName name="SBE_Asset_Type">'Standard Thresholds'!$A$141:$A$141</definedName>
    <definedName name="SBE_Immediate_Deduction">'Standard Thresholds'!$A$141:$C$141</definedName>
    <definedName name="Sch_B_PP">'Schedule B'!$J:$J</definedName>
    <definedName name="SetAccountingPercentage">'Tax Rec'!$D$160:$D$179</definedName>
    <definedName name="SetAccountingValue">'Tax Rec'!$E$160:$E$179</definedName>
    <definedName name="SetTaxable">'Tax Rec'!$G$160:$G$179</definedName>
    <definedName name="sgc">'Wages Reconciliation'!$J$15</definedName>
    <definedName name="SGC_Rates">'Standard Thresholds'!$A$154:$B$167</definedName>
    <definedName name="Sheet_Type">'Loan Schedule'!$L$18</definedName>
    <definedName name="ShowRefs">'Input Info'!$C$17</definedName>
    <definedName name="start_cell">'WP Index'!$F$7</definedName>
    <definedName name="starting_cell">'WP Index'!$F$12</definedName>
    <definedName name="STS">'Input Info'!$C$16</definedName>
    <definedName name="STS_Sheet">'WP Index'!$E$18</definedName>
    <definedName name="surcharge" localSheetId="14">'Summary of Tax Position'!$E$74:$K$77</definedName>
    <definedName name="tax_rec_company_section">'Tax Rec'!$A$94:$H$146</definedName>
    <definedName name="Tax_Rec_cy_debtors">'Tax Rec'!$49:$49</definedName>
    <definedName name="tax_rec_individual_section">'Tax Rec'!$231:$237</definedName>
    <definedName name="Tax_Rec_Items">'Tax Rec'!$H$10:$H$90</definedName>
    <definedName name="Tax_Rec_PP">'Tax Rec'!$J:$J</definedName>
    <definedName name="Tax_Rec_Prov_Tax_Frank_Acc">'Tax Rec'!$239:$307</definedName>
    <definedName name="Tax_Rec_SBE_py_debtors">'Tax Rec'!$22:$22</definedName>
    <definedName name="tax_rec_tax_losses_transferred_in">'Tax Rec'!$H$89</definedName>
    <definedName name="tax_rec_trust_section">'Tax Rec'!$A$147:$I$230</definedName>
    <definedName name="Tax_Reconciliation">'WP Index'!$E$14</definedName>
    <definedName name="TaxRecMaxBeneficiary10">'Tax Rec'!$170:$179,'Tax Rec'!$196:$205,'Tax Rec'!$219:$228</definedName>
    <definedName name="TaxRecMaxBeneficiary15">'Tax Rec'!$201:$205,'Tax Rec'!$175:$179,'Tax Rec'!$224:$228</definedName>
    <definedName name="TaxRecMaxBeneficiary5">'Tax Rec'!$165:$179,'Tax Rec'!$191:$205,'Tax Rec'!$214:$228</definedName>
    <definedName name="TaxRecMaxBeneficiaryAll">'Tax Rec'!$186:$205,'Tax Rec'!$160:$179,'Tax Rec'!$209:$228</definedName>
    <definedName name="TaxRecMaxBeneficiaryOption">'Tax Rec'!$K$158</definedName>
    <definedName name="Threshold_Super_Over_50">'Standard Thresholds'!#REF!</definedName>
    <definedName name="Threshold_Super_Under_50">'Standard Thresholds'!$D$112</definedName>
    <definedName name="Total_PP">'Projected Income &amp; Expenses'!$AF:$AF</definedName>
    <definedName name="twenty_five_year_hidden_range">'Div7A Loan'!$A$56:$A$73</definedName>
    <definedName name="wages_rec_end">'Wages Reconciliation'!$A$48</definedName>
    <definedName name="wages_rec_max_10_hide">'Wages Reconciliation'!$A$28:$A$47</definedName>
    <definedName name="wages_rec_max_15_hide">'Wages Reconciliation'!$A$33:$A$47</definedName>
    <definedName name="wages_rec_max_20_hide">'Wages Reconciliation'!$A$38:$A$47</definedName>
    <definedName name="wages_rec_max_5_hide">'Wages Reconciliation'!$A$23:$A$47</definedName>
    <definedName name="wages_rec_max_employees">'Wages Reconciliation'!$O$13</definedName>
    <definedName name="wages_rec_nbr_employees">'Wages Reconciliation'!$N$13</definedName>
    <definedName name="wages_rec_salary_range">'Wages Reconciliation'!$A$18:$A$47</definedName>
    <definedName name="wages_rec_start_row">'Wages Reconciliation'!$A$18</definedName>
    <definedName name="WP_AWB_Loan">'WP Index'!$E$49</definedName>
    <definedName name="WP_Bank_Reconciliation">'WP Index'!$E$30</definedName>
    <definedName name="WP_Blackhole">'WP Index'!$E$39</definedName>
    <definedName name="WP_Borrowing_Costs">'WP Index'!$E$38</definedName>
    <definedName name="WP_Building_Write_Off">'WP Index'!$E$42</definedName>
    <definedName name="WP_Capital_Asset_Transaction_Register">'WP Index'!$E$41</definedName>
    <definedName name="WP_Car_FBT">'WP Index'!$E$67</definedName>
    <definedName name="WP_Commercial_Bill_Prepayments">'WP Index'!$E$34</definedName>
    <definedName name="WP_Creditors_Summary">'WP Index'!$E$48</definedName>
    <definedName name="WP_Debtors_Summary" localSheetId="11">'[1]WP Index'!$E$29</definedName>
    <definedName name="WP_Debtors_Summary">'WP Index'!$E$29</definedName>
    <definedName name="WP_Dividend_Summary">'WP Index'!$E$63</definedName>
    <definedName name="WP_Division_7A">'WP Index'!$E$45</definedName>
    <definedName name="WP_Drought_Write_Off_s385_105">'WP Index'!$E$23</definedName>
    <definedName name="WP_Drought_Write_Off_s385_110">'WP Index'!$E$24</definedName>
    <definedName name="WP_Farm_Income_Split">'WP Index'!$E$60</definedName>
    <definedName name="WP_FMD_Record">'WP Index'!$E$22</definedName>
    <definedName name="WP_GST_Reconciliation" localSheetId="11">'[1]WP Index'!$E$50</definedName>
    <definedName name="WP_GST_Reconciliation">'WP Index'!$E$50</definedName>
    <definedName name="WP_Index_Asset_Dep_Sch">'WP Index'!$E$37</definedName>
    <definedName name="WP_Inter_Entity_Loan">'WP Index'!$E$56</definedName>
    <definedName name="WP_Interest_Calculation_Irregular_Payments">'WP Index'!$E$53</definedName>
    <definedName name="WP_Interest_Deduct">'WP Index'!$E$57</definedName>
    <definedName name="WP_Investment_Income">'WP Index'!$E$62</definedName>
    <definedName name="WP_Journals_Computer_Sheets">'WP Index'!#REF!</definedName>
    <definedName name="WP_Livestock">'WP Index'!$E$32</definedName>
    <definedName name="WP_Loan_Chattel_Schedule">'WP Index'!$E$54</definedName>
    <definedName name="WP_Loan_Schedule">'WP Index'!$E$54</definedName>
    <definedName name="WP_Low_Value_Pool">'WP Index'!$E$40</definedName>
    <definedName name="WP_Mains_Electricity_Write_Off">'WP Index'!$E$44</definedName>
    <definedName name="WP_MV_Substantiation">'WP Index'!$E$66</definedName>
    <definedName name="WP_Prepayments">'WP Index'!$E$31</definedName>
    <definedName name="WP_Private_Use_Adj">'WP Index'!$E$65</definedName>
    <definedName name="WP_Rental_Property_Summary">'WP Index'!$E$64</definedName>
    <definedName name="WP_Sale_Purchase_Business">'WP Index'!$E$46</definedName>
    <definedName name="WP_Schedule_B">'WP Index'!$E$61</definedName>
    <definedName name="WP_Tax_Dist_Averaging">'WP Index'!#REF!</definedName>
    <definedName name="WP_Tax_Dist_Non_Averaging">'WP Index'!$E$19</definedName>
    <definedName name="WP_Tax_Reconciliation">'WP Index'!$E$14</definedName>
    <definedName name="WP_Total_Debt">'WP Index'!$E$21</definedName>
    <definedName name="WP_Trading_Stock">'WP Index'!$E$35</definedName>
    <definedName name="WP_Wages_Rec">'WP Index'!$E$68</definedName>
    <definedName name="WP_Water_Improvements_Write_Off">'WP Index'!$E$43</definedName>
    <definedName name="YesNo">'Defined Name Ranges'!$B$1:$B$2</definedName>
    <definedName name="Z_BCBE45D4_3C45_4659_992E_5C5D3E9FD81C_.wvu.Cols" localSheetId="68" hidden="1">'ATO Benchmark'!$I:$I</definedName>
    <definedName name="Z_BCBE45D4_3C45_4659_992E_5C5D3E9FD81C_.wvu.Cols" localSheetId="47" hidden="1">'AWB Loans'!$I:$I</definedName>
    <definedName name="Z_BCBE45D4_3C45_4659_992E_5C5D3E9FD81C_.wvu.Cols" localSheetId="31" hidden="1">'Bank Rec'!$J:$J</definedName>
    <definedName name="Z_BCBE45D4_3C45_4659_992E_5C5D3E9FD81C_.wvu.Cols" localSheetId="38" hidden="1">'Blackhole Expenses'!$B:$B,'Blackhole Expenses'!$H:$H,'Blackhole Expenses'!$J:$K</definedName>
    <definedName name="Z_BCBE45D4_3C45_4659_992E_5C5D3E9FD81C_.wvu.Cols" localSheetId="37" hidden="1">'Borrowing Costs'!$B:$B,'Borrowing Costs'!$H:$H,'Borrowing Costs'!$J:$J</definedName>
    <definedName name="Z_BCBE45D4_3C45_4659_992E_5C5D3E9FD81C_.wvu.Cols" localSheetId="41" hidden="1">'Building Write-Off'!$L:$O</definedName>
    <definedName name="Z_BCBE45D4_3C45_4659_992E_5C5D3E9FD81C_.wvu.Cols" localSheetId="40" hidden="1">'Capital Asset Schedule'!$L:$L,'Capital Asset Schedule'!$W:$W</definedName>
    <definedName name="Z_BCBE45D4_3C45_4659_992E_5C5D3E9FD81C_.wvu.Cols" localSheetId="63" hidden="1">'Car FBT'!$L:$L</definedName>
    <definedName name="Z_BCBE45D4_3C45_4659_992E_5C5D3E9FD81C_.wvu.Cols" localSheetId="13" hidden="1">'Client Cover Sheet'!$A:$B</definedName>
    <definedName name="Z_BCBE45D4_3C45_4659_992E_5C5D3E9FD81C_.wvu.Cols" localSheetId="35" hidden="1">'Commercial Bill Pre'!$H:$H</definedName>
    <definedName name="Z_BCBE45D4_3C45_4659_992E_5C5D3E9FD81C_.wvu.Cols" localSheetId="46" hidden="1">Creditors!$J:$J</definedName>
    <definedName name="Z_BCBE45D4_3C45_4659_992E_5C5D3E9FD81C_.wvu.Cols" localSheetId="30" hidden="1">Debtors!$G:$G</definedName>
    <definedName name="Z_BCBE45D4_3C45_4659_992E_5C5D3E9FD81C_.wvu.Cols" localSheetId="25" hidden="1">'Dist - Non Averaging'!$I:$N,'Dist - Non Averaging'!$Q:$X,'Dist - Non Averaging'!$AB:$AI</definedName>
    <definedName name="Z_BCBE45D4_3C45_4659_992E_5C5D3E9FD81C_.wvu.Cols" localSheetId="44" hidden="1">'Div7A Loan'!$F:$H</definedName>
    <definedName name="Z_BCBE45D4_3C45_4659_992E_5C5D3E9FD81C_.wvu.Cols" localSheetId="59" hidden="1">'Dividend Summary'!$N:$O</definedName>
    <definedName name="Z_BCBE45D4_3C45_4659_992E_5C5D3E9FD81C_.wvu.Cols" localSheetId="27" hidden="1">'Drought Write-Off (s385-105)'!$G:$G</definedName>
    <definedName name="Z_BCBE45D4_3C45_4659_992E_5C5D3E9FD81C_.wvu.Cols" localSheetId="28" hidden="1">'Drought Write-Off (s385-110)'!$H:$H</definedName>
    <definedName name="Z_BCBE45D4_3C45_4659_992E_5C5D3E9FD81C_.wvu.Cols" localSheetId="56" hidden="1">'Farm Income Split'!$F:$F</definedName>
    <definedName name="Z_BCBE45D4_3C45_4659_992E_5C5D3E9FD81C_.wvu.Cols" localSheetId="66" hidden="1">'FMD''s'!$M:$M</definedName>
    <definedName name="Z_BCBE45D4_3C45_4659_992E_5C5D3E9FD81C_.wvu.Cols" localSheetId="48" hidden="1">'GST Rec'!$A:$A,'GST Rec'!$E:$E,'GST Rec'!$P:$P</definedName>
    <definedName name="Z_BCBE45D4_3C45_4659_992E_5C5D3E9FD81C_.wvu.Cols" localSheetId="52" hidden="1">'HP Summary'!$P:$P</definedName>
    <definedName name="Z_BCBE45D4_3C45_4659_992E_5C5D3E9FD81C_.wvu.Cols" localSheetId="0" hidden="1">'Input Info'!$G:$P</definedName>
    <definedName name="Z_BCBE45D4_3C45_4659_992E_5C5D3E9FD81C_.wvu.Cols" localSheetId="53" hidden="1">'Inter Entity Loans'!$M:$M</definedName>
    <definedName name="Z_BCBE45D4_3C45_4659_992E_5C5D3E9FD81C_.wvu.Cols" localSheetId="50" hidden="1">'Interest Calc'!$L:$L</definedName>
    <definedName name="Z_BCBE45D4_3C45_4659_992E_5C5D3E9FD81C_.wvu.Cols" localSheetId="54" hidden="1">'Interest Deduct'!$N:$N</definedName>
    <definedName name="Z_BCBE45D4_3C45_4659_992E_5C5D3E9FD81C_.wvu.Cols" localSheetId="58" hidden="1">'Inv Income'!$J:$J</definedName>
    <definedName name="Z_BCBE45D4_3C45_4659_992E_5C5D3E9FD81C_.wvu.Cols" localSheetId="34" hidden="1">Livestock!$X:$X,Livestock!$Z:$AA</definedName>
    <definedName name="Z_BCBE45D4_3C45_4659_992E_5C5D3E9FD81C_.wvu.Cols" localSheetId="51" hidden="1">'Loan Schedule'!$J:$O</definedName>
    <definedName name="Z_BCBE45D4_3C45_4659_992E_5C5D3E9FD81C_.wvu.Cols" localSheetId="55" hidden="1">'Long Service Leave'!$K:$K,'Long Service Leave'!$M:$N</definedName>
    <definedName name="Z_BCBE45D4_3C45_4659_992E_5C5D3E9FD81C_.wvu.Cols" localSheetId="39" hidden="1">'Low Value Pool'!$I:$I</definedName>
    <definedName name="Z_BCBE45D4_3C45_4659_992E_5C5D3E9FD81C_.wvu.Cols" localSheetId="43" hidden="1">'Mains Electricity Write-Off'!$H:$J</definedName>
    <definedName name="Z_BCBE45D4_3C45_4659_992E_5C5D3E9FD81C_.wvu.Cols" localSheetId="12" hidden="1">'Meeting Agenda'!#REF!</definedName>
    <definedName name="Z_BCBE45D4_3C45_4659_992E_5C5D3E9FD81C_.wvu.Cols" localSheetId="62" hidden="1">'Motor Vec WP'!$K:$K</definedName>
    <definedName name="Z_BCBE45D4_3C45_4659_992E_5C5D3E9FD81C_.wvu.Cols" localSheetId="10" hidden="1">'Planning Checklist'!$J:$Q</definedName>
    <definedName name="Z_BCBE45D4_3C45_4659_992E_5C5D3E9FD81C_.wvu.Cols" localSheetId="33" hidden="1">Prepayments!$H:$H</definedName>
    <definedName name="Z_BCBE45D4_3C45_4659_992E_5C5D3E9FD81C_.wvu.Cols" localSheetId="5" hidden="1">'Projected Income &amp; Expenses'!$AL:$AM</definedName>
    <definedName name="Z_BCBE45D4_3C45_4659_992E_5C5D3E9FD81C_.wvu.Cols" localSheetId="61" hidden="1">'Pvt Use'!$F:$F</definedName>
    <definedName name="Z_BCBE45D4_3C45_4659_992E_5C5D3E9FD81C_.wvu.Cols" localSheetId="60" hidden="1">Rental!$P:$P</definedName>
    <definedName name="Z_BCBE45D4_3C45_4659_992E_5C5D3E9FD81C_.wvu.Cols" localSheetId="45" hidden="1">'Sale or Purch Business'!$H:$H</definedName>
    <definedName name="Z_BCBE45D4_3C45_4659_992E_5C5D3E9FD81C_.wvu.Cols" localSheetId="18" hidden="1">'SBE Worksheet'!$U:$Y,'SBE Worksheet'!$AA:$AA</definedName>
    <definedName name="Z_BCBE45D4_3C45_4659_992E_5C5D3E9FD81C_.wvu.Cols" localSheetId="57" hidden="1">'Schedule B'!$K:$K</definedName>
    <definedName name="Z_BCBE45D4_3C45_4659_992E_5C5D3E9FD81C_.wvu.Cols" localSheetId="14" hidden="1">'Summary of Tax Position'!$L:$P,'Summary of Tax Position'!$S:$V</definedName>
    <definedName name="Z_BCBE45D4_3C45_4659_992E_5C5D3E9FD81C_.wvu.Cols" localSheetId="7" hidden="1">'Tax Planning Summary'!$X:$X</definedName>
    <definedName name="Z_BCBE45D4_3C45_4659_992E_5C5D3E9FD81C_.wvu.Cols" localSheetId="15" hidden="1">'Tax Rec'!$K:$M</definedName>
    <definedName name="Z_BCBE45D4_3C45_4659_992E_5C5D3E9FD81C_.wvu.Cols" localSheetId="74" hidden="1">'Template Workpaper'!$I:$I</definedName>
    <definedName name="Z_BCBE45D4_3C45_4659_992E_5C5D3E9FD81C_.wvu.Cols" localSheetId="67" hidden="1">'TFN Register'!$I:$I</definedName>
    <definedName name="Z_BCBE45D4_3C45_4659_992E_5C5D3E9FD81C_.wvu.Cols" localSheetId="65" hidden="1">'Total Debt'!$I:$I</definedName>
    <definedName name="Z_BCBE45D4_3C45_4659_992E_5C5D3E9FD81C_.wvu.Cols" localSheetId="36" hidden="1">'Trading Stock'!$D:$D</definedName>
    <definedName name="Z_BCBE45D4_3C45_4659_992E_5C5D3E9FD81C_.wvu.Cols" localSheetId="20" hidden="1">'Trust Streaming'!#REF!,'Trust Streaming'!$K:$K</definedName>
    <definedName name="Z_BCBE45D4_3C45_4659_992E_5C5D3E9FD81C_.wvu.Cols" localSheetId="64" hidden="1">'Wages Reconciliation'!$N:$O,'Wages Reconciliation'!$Q:$Q</definedName>
    <definedName name="Z_BCBE45D4_3C45_4659_992E_5C5D3E9FD81C_.wvu.Cols" localSheetId="42" hidden="1">'Water Improvements Write-Off'!$H:$J</definedName>
    <definedName name="Z_BCBE45D4_3C45_4659_992E_5C5D3E9FD81C_.wvu.PrintArea" localSheetId="29" hidden="1">'Averaging Calculator'!$A$2:$H$47</definedName>
    <definedName name="Z_BCBE45D4_3C45_4659_992E_5C5D3E9FD81C_.wvu.PrintArea" localSheetId="63" hidden="1">'Car FBT'!$A:$K</definedName>
    <definedName name="Z_BCBE45D4_3C45_4659_992E_5C5D3E9FD81C_.wvu.PrintArea" localSheetId="13" hidden="1">'Client Cover Sheet'!$C$3:$H$20</definedName>
    <definedName name="Z_BCBE45D4_3C45_4659_992E_5C5D3E9FD81C_.wvu.PrintArea" localSheetId="23" hidden="1">'Comparative Tax Recn'!$A$1:$G$146</definedName>
    <definedName name="Z_BCBE45D4_3C45_4659_992E_5C5D3E9FD81C_.wvu.PrintArea" localSheetId="70" hidden="1">'How are we doing'!$A$1:$C$28</definedName>
    <definedName name="Z_BCBE45D4_3C45_4659_992E_5C5D3E9FD81C_.wvu.PrintArea" localSheetId="0" hidden="1">'Input Info'!$A$1:$F$43</definedName>
    <definedName name="Z_BCBE45D4_3C45_4659_992E_5C5D3E9FD81C_.wvu.PrintArea" localSheetId="53" hidden="1">'Inter Entity Loans'!$A$2:$L$42</definedName>
    <definedName name="Z_BCBE45D4_3C45_4659_992E_5C5D3E9FD81C_.wvu.PrintArea" localSheetId="6" hidden="1">'Livestock Est'!$A$5:$O$87</definedName>
    <definedName name="Z_BCBE45D4_3C45_4659_992E_5C5D3E9FD81C_.wvu.PrintArea" localSheetId="5" hidden="1">'Projected Income &amp; Expenses'!$A$1:$AI$85</definedName>
    <definedName name="Z_BCBE45D4_3C45_4659_992E_5C5D3E9FD81C_.wvu.PrintArea" localSheetId="9" hidden="1">'Recommendations &amp; Ideas'!$A$1:$Q$58</definedName>
    <definedName name="Z_BCBE45D4_3C45_4659_992E_5C5D3E9FD81C_.wvu.PrintArea" localSheetId="18" hidden="1">'SBE Worksheet'!$E$2:$T$110</definedName>
    <definedName name="Z_BCBE45D4_3C45_4659_992E_5C5D3E9FD81C_.wvu.PrintArea" localSheetId="14" hidden="1">'Summary of Tax Position'!$A$6:$X$61</definedName>
    <definedName name="Z_BCBE45D4_3C45_4659_992E_5C5D3E9FD81C_.wvu.PrintArea" localSheetId="20" hidden="1">'Trust Streaming'!$A$2:$J$131</definedName>
    <definedName name="Z_BCBE45D4_3C45_4659_992E_5C5D3E9FD81C_.wvu.PrintTitles" localSheetId="59" hidden="1">'Dividend Summary'!$13:$16</definedName>
    <definedName name="Z_BCBE45D4_3C45_4659_992E_5C5D3E9FD81C_.wvu.PrintTitles" localSheetId="48" hidden="1">'GST Rec'!$2:$13</definedName>
    <definedName name="Z_BCBE45D4_3C45_4659_992E_5C5D3E9FD81C_.wvu.PrintTitles" localSheetId="51" hidden="1">'Loan Schedule'!$37:$38</definedName>
    <definedName name="Z_BCBE45D4_3C45_4659_992E_5C5D3E9FD81C_.wvu.PrintTitles" localSheetId="10" hidden="1">'Planning Checklist'!$7:$11</definedName>
    <definedName name="Z_BCBE45D4_3C45_4659_992E_5C5D3E9FD81C_.wvu.PrintTitles" localSheetId="3" hidden="1">'Standard Rates'!$1:$6</definedName>
    <definedName name="Z_BCBE45D4_3C45_4659_992E_5C5D3E9FD81C_.wvu.PrintTitles" localSheetId="4" hidden="1">'Standard Thresholds'!$1:$5</definedName>
    <definedName name="Z_BCBE45D4_3C45_4659_992E_5C5D3E9FD81C_.wvu.PrintTitles" localSheetId="36" hidden="1">'Trading Stock'!$2:$8</definedName>
    <definedName name="Z_BCBE45D4_3C45_4659_992E_5C5D3E9FD81C_.wvu.Rows" localSheetId="38" hidden="1">'Blackhole Expenses'!$19:$36</definedName>
    <definedName name="Z_BCBE45D4_3C45_4659_992E_5C5D3E9FD81C_.wvu.Rows" localSheetId="37" hidden="1">'Borrowing Costs'!$20:$36</definedName>
    <definedName name="Z_BCBE45D4_3C45_4659_992E_5C5D3E9FD81C_.wvu.Rows" localSheetId="63" hidden="1">'Car FBT'!$53:$53,'Car FBT'!$81:$81</definedName>
    <definedName name="Z_BCBE45D4_3C45_4659_992E_5C5D3E9FD81C_.wvu.Rows" localSheetId="13" hidden="1">'Client Cover Sheet'!$1:$2,'Client Cover Sheet'!$16:$19</definedName>
    <definedName name="Z_BCBE45D4_3C45_4659_992E_5C5D3E9FD81C_.wvu.Rows" localSheetId="23" hidden="1">'Comparative Tax Recn'!$7:$8</definedName>
    <definedName name="Z_BCBE45D4_3C45_4659_992E_5C5D3E9FD81C_.wvu.Rows" localSheetId="26" hidden="1">'Dist - Averaging'!$31:$34,'Dist - Averaging'!$46:$56,'Dist - Averaging'!$69:$76,'Dist - Averaging'!$79:$81,'Dist - Averaging'!$95:$102,'Dist - Averaging'!$106:$107,'Dist - Averaging'!$122:$122,'Dist - Averaging'!$125:$125,'Dist - Averaging'!$142:$142</definedName>
    <definedName name="Z_BCBE45D4_3C45_4659_992E_5C5D3E9FD81C_.wvu.Rows" localSheetId="25" hidden="1">'Dist - Non Averaging'!$74:$74,'Dist - Non Averaging'!$88:$88</definedName>
    <definedName name="Z_BCBE45D4_3C45_4659_992E_5C5D3E9FD81C_.wvu.Rows" localSheetId="44" hidden="1">'Div7A Loan'!$22:$22,'Div7A Loan'!$33:$36,'Div7A Loan'!$56:$73,'Div7A Loan'!$104:$120</definedName>
    <definedName name="Z_BCBE45D4_3C45_4659_992E_5C5D3E9FD81C_.wvu.Rows" localSheetId="59" hidden="1">'Dividend Summary'!$61:$136</definedName>
    <definedName name="Z_BCBE45D4_3C45_4659_992E_5C5D3E9FD81C_.wvu.Rows" localSheetId="48" hidden="1">'GST Rec'!$21:$22,'GST Rec'!$24:$25,'GST Rec'!$27:$28,'GST Rec'!$30:$31,'GST Rec'!$41:$42,'GST Rec'!$44:$45,'GST Rec'!$47:$48,'GST Rec'!$50:$51,'GST Rec'!$63:$64,'GST Rec'!$66:$67,'GST Rec'!$69:$70,'GST Rec'!$72:$73</definedName>
    <definedName name="Z_BCBE45D4_3C45_4659_992E_5C5D3E9FD81C_.wvu.Rows" localSheetId="6" hidden="1">'Livestock Est'!$12:$13</definedName>
    <definedName name="Z_BCBE45D4_3C45_4659_992E_5C5D3E9FD81C_.wvu.Rows" localSheetId="51" hidden="1">'Loan Schedule'!$18:$29</definedName>
    <definedName name="Z_BCBE45D4_3C45_4659_992E_5C5D3E9FD81C_.wvu.Rows" localSheetId="55" hidden="1">'Long Service Leave'!$33:$47</definedName>
    <definedName name="Z_BCBE45D4_3C45_4659_992E_5C5D3E9FD81C_.wvu.Rows" localSheetId="10" hidden="1">'Planning Checklist'!$22:$25,'Planning Checklist'!$27:$29,'Planning Checklist'!$31:$33,'Planning Checklist'!$36:$40,'Planning Checklist'!$42:$44,'Planning Checklist'!$46:$47,'Planning Checklist'!$49:$64,'Planning Checklist'!$66:$70,'Planning Checklist'!$72:$76,'Planning Checklist'!$79:$84,'Planning Checklist'!$90:$90,'Planning Checklist'!$94:$105,'Planning Checklist'!$108:$110,'Planning Checklist'!$114:$114,'Planning Checklist'!$117:$121,'Planning Checklist'!$123:$123,'Planning Checklist'!$125:$139,'Planning Checklist'!$142:$148,'Planning Checklist'!$156:$157</definedName>
    <definedName name="Z_BCBE45D4_3C45_4659_992E_5C5D3E9FD81C_.wvu.Rows" localSheetId="9" hidden="1">'Recommendations &amp; Ideas'!$16:$16</definedName>
    <definedName name="Z_BCBE45D4_3C45_4659_992E_5C5D3E9FD81C_.wvu.Rows" localSheetId="45" hidden="1">'Sale or Purch Business'!$75:$76</definedName>
    <definedName name="Z_BCBE45D4_3C45_4659_992E_5C5D3E9FD81C_.wvu.Rows" localSheetId="3" hidden="1">'Standard Rates'!$7:$7</definedName>
    <definedName name="Z_BCBE45D4_3C45_4659_992E_5C5D3E9FD81C_.wvu.Rows" localSheetId="15" hidden="1">'Tax Rec'!$147:$237</definedName>
    <definedName name="Z_BCBE45D4_3C45_4659_992E_5C5D3E9FD81C_.wvu.Rows" localSheetId="16" hidden="1">'Tax Rec Report'!$10:$11,'Tax Rec Report'!$14:$23,'Tax Rec Report'!$26:$46,'Tax Rec Report'!$50:$54,'Tax Rec Report'!$57:$64,'Tax Rec Report'!$67:$79</definedName>
    <definedName name="Z_BCBE45D4_3C45_4659_992E_5C5D3E9FD81C_.wvu.Rows" localSheetId="64" hidden="1">'Wages Reconciliation'!$28:$47</definedName>
    <definedName name="Z_BCBE45D4_3C45_4659_992E_5C5D3E9FD81C_.wvu.Rows" localSheetId="2" hidden="1">'WP Index'!$17:$17,'WP Index'!$33:$33,'WP Index'!$49:$49,'WP Index'!$70:$70</definedName>
    <definedName name="Z_C24F3A9E_A8AA_4925_82D2_3EFABA416C15_.wvu.Cols" localSheetId="68" hidden="1">'ATO Benchmark'!$I:$I</definedName>
    <definedName name="Z_C24F3A9E_A8AA_4925_82D2_3EFABA416C15_.wvu.Cols" localSheetId="47" hidden="1">'AWB Loans'!$I:$I</definedName>
    <definedName name="Z_C24F3A9E_A8AA_4925_82D2_3EFABA416C15_.wvu.Cols" localSheetId="31" hidden="1">'Bank Rec'!$J:$J</definedName>
    <definedName name="Z_C24F3A9E_A8AA_4925_82D2_3EFABA416C15_.wvu.Cols" localSheetId="38" hidden="1">'Blackhole Expenses'!$B:$B,'Blackhole Expenses'!$H:$H,'Blackhole Expenses'!$J:$K</definedName>
    <definedName name="Z_C24F3A9E_A8AA_4925_82D2_3EFABA416C15_.wvu.Cols" localSheetId="37" hidden="1">'Borrowing Costs'!$B:$B,'Borrowing Costs'!$H:$H,'Borrowing Costs'!$J:$J</definedName>
    <definedName name="Z_C24F3A9E_A8AA_4925_82D2_3EFABA416C15_.wvu.Cols" localSheetId="41" hidden="1">'Building Write-Off'!$L:$O</definedName>
    <definedName name="Z_C24F3A9E_A8AA_4925_82D2_3EFABA416C15_.wvu.Cols" localSheetId="40" hidden="1">'Capital Asset Schedule'!$L:$L,'Capital Asset Schedule'!$W:$W</definedName>
    <definedName name="Z_C24F3A9E_A8AA_4925_82D2_3EFABA416C15_.wvu.Cols" localSheetId="63" hidden="1">'Car FBT'!$L:$L</definedName>
    <definedName name="Z_C24F3A9E_A8AA_4925_82D2_3EFABA416C15_.wvu.Cols" localSheetId="13" hidden="1">'Client Cover Sheet'!$A:$B</definedName>
    <definedName name="Z_C24F3A9E_A8AA_4925_82D2_3EFABA416C15_.wvu.Cols" localSheetId="35" hidden="1">'Commercial Bill Pre'!$H:$H</definedName>
    <definedName name="Z_C24F3A9E_A8AA_4925_82D2_3EFABA416C15_.wvu.Cols" localSheetId="46" hidden="1">Creditors!$J:$J</definedName>
    <definedName name="Z_C24F3A9E_A8AA_4925_82D2_3EFABA416C15_.wvu.Cols" localSheetId="30" hidden="1">Debtors!$G:$G</definedName>
    <definedName name="Z_C24F3A9E_A8AA_4925_82D2_3EFABA416C15_.wvu.Cols" localSheetId="26" hidden="1">'Dist - Averaging'!$Q:$X,'Dist - Averaging'!$AB:$AI</definedName>
    <definedName name="Z_C24F3A9E_A8AA_4925_82D2_3EFABA416C15_.wvu.Cols" localSheetId="25" hidden="1">'Dist - Non Averaging'!$I:$N,'Dist - Non Averaging'!$Q:$X,'Dist - Non Averaging'!$AB:$AI</definedName>
    <definedName name="Z_C24F3A9E_A8AA_4925_82D2_3EFABA416C15_.wvu.Cols" localSheetId="44" hidden="1">'Div7A Loan'!$F:$H</definedName>
    <definedName name="Z_C24F3A9E_A8AA_4925_82D2_3EFABA416C15_.wvu.Cols" localSheetId="59" hidden="1">'Dividend Summary'!$N:$O</definedName>
    <definedName name="Z_C24F3A9E_A8AA_4925_82D2_3EFABA416C15_.wvu.Cols" localSheetId="27" hidden="1">'Drought Write-Off (s385-105)'!$G:$G</definedName>
    <definedName name="Z_C24F3A9E_A8AA_4925_82D2_3EFABA416C15_.wvu.Cols" localSheetId="28" hidden="1">'Drought Write-Off (s385-110)'!$H:$H</definedName>
    <definedName name="Z_C24F3A9E_A8AA_4925_82D2_3EFABA416C15_.wvu.Cols" localSheetId="56" hidden="1">'Farm Income Split'!$F:$F</definedName>
    <definedName name="Z_C24F3A9E_A8AA_4925_82D2_3EFABA416C15_.wvu.Cols" localSheetId="66" hidden="1">'FMD''s'!$M:$M</definedName>
    <definedName name="Z_C24F3A9E_A8AA_4925_82D2_3EFABA416C15_.wvu.Cols" localSheetId="48" hidden="1">'GST Rec'!$A:$A,'GST Rec'!$E:$E,'GST Rec'!$P:$P</definedName>
    <definedName name="Z_C24F3A9E_A8AA_4925_82D2_3EFABA416C15_.wvu.Cols" localSheetId="52" hidden="1">'HP Summary'!$P:$P</definedName>
    <definedName name="Z_C24F3A9E_A8AA_4925_82D2_3EFABA416C15_.wvu.Cols" localSheetId="0" hidden="1">'Input Info'!$G:$P</definedName>
    <definedName name="Z_C24F3A9E_A8AA_4925_82D2_3EFABA416C15_.wvu.Cols" localSheetId="53" hidden="1">'Inter Entity Loans'!$M:$M</definedName>
    <definedName name="Z_C24F3A9E_A8AA_4925_82D2_3EFABA416C15_.wvu.Cols" localSheetId="50" hidden="1">'Interest Calc'!$L:$L</definedName>
    <definedName name="Z_C24F3A9E_A8AA_4925_82D2_3EFABA416C15_.wvu.Cols" localSheetId="54" hidden="1">'Interest Deduct'!$N:$N</definedName>
    <definedName name="Z_C24F3A9E_A8AA_4925_82D2_3EFABA416C15_.wvu.Cols" localSheetId="58" hidden="1">'Inv Income'!$J:$J</definedName>
    <definedName name="Z_C24F3A9E_A8AA_4925_82D2_3EFABA416C15_.wvu.Cols" localSheetId="34" hidden="1">Livestock!$X:$X,Livestock!$Z:$AA</definedName>
    <definedName name="Z_C24F3A9E_A8AA_4925_82D2_3EFABA416C15_.wvu.Cols" localSheetId="51" hidden="1">'Loan Schedule'!$J:$O</definedName>
    <definedName name="Z_C24F3A9E_A8AA_4925_82D2_3EFABA416C15_.wvu.Cols" localSheetId="55" hidden="1">'Long Service Leave'!$K:$K,'Long Service Leave'!$M:$N</definedName>
    <definedName name="Z_C24F3A9E_A8AA_4925_82D2_3EFABA416C15_.wvu.Cols" localSheetId="39" hidden="1">'Low Value Pool'!$I:$I</definedName>
    <definedName name="Z_C24F3A9E_A8AA_4925_82D2_3EFABA416C15_.wvu.Cols" localSheetId="43" hidden="1">'Mains Electricity Write-Off'!$H:$J</definedName>
    <definedName name="Z_C24F3A9E_A8AA_4925_82D2_3EFABA416C15_.wvu.Cols" localSheetId="12" hidden="1">'Meeting Agenda'!#REF!</definedName>
    <definedName name="Z_C24F3A9E_A8AA_4925_82D2_3EFABA416C15_.wvu.Cols" localSheetId="62" hidden="1">'Motor Vec WP'!$K:$K</definedName>
    <definedName name="Z_C24F3A9E_A8AA_4925_82D2_3EFABA416C15_.wvu.Cols" localSheetId="10" hidden="1">'Planning Checklist'!$J:$Q</definedName>
    <definedName name="Z_C24F3A9E_A8AA_4925_82D2_3EFABA416C15_.wvu.Cols" localSheetId="33" hidden="1">Prepayments!$H:$H</definedName>
    <definedName name="Z_C24F3A9E_A8AA_4925_82D2_3EFABA416C15_.wvu.Cols" localSheetId="5" hidden="1">'Projected Income &amp; Expenses'!$G:$G,'Projected Income &amp; Expenses'!$I:$I,'Projected Income &amp; Expenses'!$K:$K,'Projected Income &amp; Expenses'!$M:$M,'Projected Income &amp; Expenses'!$O:$O,'Projected Income &amp; Expenses'!$Q:$Q,'Projected Income &amp; Expenses'!$S:$S,'Projected Income &amp; Expenses'!$U:$U,'Projected Income &amp; Expenses'!$AL:$AM</definedName>
    <definedName name="Z_C24F3A9E_A8AA_4925_82D2_3EFABA416C15_.wvu.Cols" localSheetId="61" hidden="1">'Pvt Use'!$F:$F</definedName>
    <definedName name="Z_C24F3A9E_A8AA_4925_82D2_3EFABA416C15_.wvu.Cols" localSheetId="60" hidden="1">Rental!$P:$P</definedName>
    <definedName name="Z_C24F3A9E_A8AA_4925_82D2_3EFABA416C15_.wvu.Cols" localSheetId="45" hidden="1">'Sale or Purch Business'!$H:$H</definedName>
    <definedName name="Z_C24F3A9E_A8AA_4925_82D2_3EFABA416C15_.wvu.Cols" localSheetId="18" hidden="1">'SBE Worksheet'!$U:$Y,'SBE Worksheet'!$AA:$AA</definedName>
    <definedName name="Z_C24F3A9E_A8AA_4925_82D2_3EFABA416C15_.wvu.Cols" localSheetId="57" hidden="1">'Schedule B'!$K:$K</definedName>
    <definedName name="Z_C24F3A9E_A8AA_4925_82D2_3EFABA416C15_.wvu.Cols" localSheetId="14" hidden="1">'Summary of Tax Position'!$L:$P,'Summary of Tax Position'!$S:$V</definedName>
    <definedName name="Z_C24F3A9E_A8AA_4925_82D2_3EFABA416C15_.wvu.Cols" localSheetId="7" hidden="1">'Tax Planning Summary'!$X:$X</definedName>
    <definedName name="Z_C24F3A9E_A8AA_4925_82D2_3EFABA416C15_.wvu.Cols" localSheetId="15" hidden="1">'Tax Rec'!$K:$M</definedName>
    <definedName name="Z_C24F3A9E_A8AA_4925_82D2_3EFABA416C15_.wvu.Cols" localSheetId="74" hidden="1">'Template Workpaper'!$I:$I</definedName>
    <definedName name="Z_C24F3A9E_A8AA_4925_82D2_3EFABA416C15_.wvu.Cols" localSheetId="67" hidden="1">'TFN Register'!$I:$I</definedName>
    <definedName name="Z_C24F3A9E_A8AA_4925_82D2_3EFABA416C15_.wvu.Cols" localSheetId="65" hidden="1">'Total Debt'!$I:$I</definedName>
    <definedName name="Z_C24F3A9E_A8AA_4925_82D2_3EFABA416C15_.wvu.Cols" localSheetId="36" hidden="1">'Trading Stock'!$D:$D</definedName>
    <definedName name="Z_C24F3A9E_A8AA_4925_82D2_3EFABA416C15_.wvu.Cols" localSheetId="20" hidden="1">'Trust Streaming'!#REF!,'Trust Streaming'!$K:$K</definedName>
    <definedName name="Z_C24F3A9E_A8AA_4925_82D2_3EFABA416C15_.wvu.Cols" localSheetId="64" hidden="1">'Wages Reconciliation'!$N:$O,'Wages Reconciliation'!$Q:$Q</definedName>
    <definedName name="Z_C24F3A9E_A8AA_4925_82D2_3EFABA416C15_.wvu.Cols" localSheetId="42" hidden="1">'Water Improvements Write-Off'!$H:$J,'Water Improvements Write-Off'!$N:$N</definedName>
    <definedName name="Z_C24F3A9E_A8AA_4925_82D2_3EFABA416C15_.wvu.PrintArea" localSheetId="29" hidden="1">'Averaging Calculator'!$A$2:$H$47</definedName>
    <definedName name="Z_C24F3A9E_A8AA_4925_82D2_3EFABA416C15_.wvu.PrintArea" localSheetId="63" hidden="1">'Car FBT'!$A:$K</definedName>
    <definedName name="Z_C24F3A9E_A8AA_4925_82D2_3EFABA416C15_.wvu.PrintArea" localSheetId="13" hidden="1">'Client Cover Sheet'!$C$3:$H$20</definedName>
    <definedName name="Z_C24F3A9E_A8AA_4925_82D2_3EFABA416C15_.wvu.PrintArea" localSheetId="23" hidden="1">'Comparative Tax Recn'!$A$1:$G$146</definedName>
    <definedName name="Z_C24F3A9E_A8AA_4925_82D2_3EFABA416C15_.wvu.PrintArea" localSheetId="70" hidden="1">'How are we doing'!$A$1:$C$28</definedName>
    <definedName name="Z_C24F3A9E_A8AA_4925_82D2_3EFABA416C15_.wvu.PrintArea" localSheetId="0" hidden="1">'Input Info'!$A$1:$F$43</definedName>
    <definedName name="Z_C24F3A9E_A8AA_4925_82D2_3EFABA416C15_.wvu.PrintArea" localSheetId="53" hidden="1">'Inter Entity Loans'!$A$2:$L$42</definedName>
    <definedName name="Z_C24F3A9E_A8AA_4925_82D2_3EFABA416C15_.wvu.PrintArea" localSheetId="6" hidden="1">'Livestock Est'!$A$5:$O$87</definedName>
    <definedName name="Z_C24F3A9E_A8AA_4925_82D2_3EFABA416C15_.wvu.PrintArea" localSheetId="5" hidden="1">'Projected Income &amp; Expenses'!$A$1:$AI$85</definedName>
    <definedName name="Z_C24F3A9E_A8AA_4925_82D2_3EFABA416C15_.wvu.PrintArea" localSheetId="9" hidden="1">'Recommendations &amp; Ideas'!$A$1:$Q$58</definedName>
    <definedName name="Z_C24F3A9E_A8AA_4925_82D2_3EFABA416C15_.wvu.PrintArea" localSheetId="18" hidden="1">'SBE Worksheet'!$E$2:$T$110</definedName>
    <definedName name="Z_C24F3A9E_A8AA_4925_82D2_3EFABA416C15_.wvu.PrintArea" localSheetId="14" hidden="1">'Summary of Tax Position'!$A$6:$X$61</definedName>
    <definedName name="Z_C24F3A9E_A8AA_4925_82D2_3EFABA416C15_.wvu.PrintArea" localSheetId="20" hidden="1">'Trust Streaming'!$A$2:$J$131</definedName>
    <definedName name="Z_C24F3A9E_A8AA_4925_82D2_3EFABA416C15_.wvu.PrintTitles" localSheetId="59" hidden="1">'Dividend Summary'!$13:$16</definedName>
    <definedName name="Z_C24F3A9E_A8AA_4925_82D2_3EFABA416C15_.wvu.PrintTitles" localSheetId="48" hidden="1">'GST Rec'!$2:$13</definedName>
    <definedName name="Z_C24F3A9E_A8AA_4925_82D2_3EFABA416C15_.wvu.PrintTitles" localSheetId="51" hidden="1">'Loan Schedule'!$37:$38</definedName>
    <definedName name="Z_C24F3A9E_A8AA_4925_82D2_3EFABA416C15_.wvu.PrintTitles" localSheetId="10" hidden="1">'Planning Checklist'!$7:$11</definedName>
    <definedName name="Z_C24F3A9E_A8AA_4925_82D2_3EFABA416C15_.wvu.PrintTitles" localSheetId="3" hidden="1">'Standard Rates'!$1:$6</definedName>
    <definedName name="Z_C24F3A9E_A8AA_4925_82D2_3EFABA416C15_.wvu.PrintTitles" localSheetId="4" hidden="1">'Standard Thresholds'!$1:$5</definedName>
    <definedName name="Z_C24F3A9E_A8AA_4925_82D2_3EFABA416C15_.wvu.PrintTitles" localSheetId="36" hidden="1">'Trading Stock'!$2:$8</definedName>
    <definedName name="Z_C24F3A9E_A8AA_4925_82D2_3EFABA416C15_.wvu.Rows" localSheetId="38" hidden="1">'Blackhole Expenses'!$19:$36</definedName>
    <definedName name="Z_C24F3A9E_A8AA_4925_82D2_3EFABA416C15_.wvu.Rows" localSheetId="37" hidden="1">'Borrowing Costs'!$20:$36</definedName>
    <definedName name="Z_C24F3A9E_A8AA_4925_82D2_3EFABA416C15_.wvu.Rows" localSheetId="63" hidden="1">'Car FBT'!$53:$53,'Car FBT'!$81:$81</definedName>
    <definedName name="Z_C24F3A9E_A8AA_4925_82D2_3EFABA416C15_.wvu.Rows" localSheetId="13" hidden="1">'Client Cover Sheet'!$1:$2,'Client Cover Sheet'!$16:$19</definedName>
    <definedName name="Z_C24F3A9E_A8AA_4925_82D2_3EFABA416C15_.wvu.Rows" localSheetId="23" hidden="1">'Comparative Tax Recn'!$7:$8</definedName>
    <definedName name="Z_C24F3A9E_A8AA_4925_82D2_3EFABA416C15_.wvu.Rows" localSheetId="26" hidden="1">'Dist - Averaging'!$31:$34,'Dist - Averaging'!$46:$56,'Dist - Averaging'!$69:$76,'Dist - Averaging'!$79:$81,'Dist - Averaging'!$95:$102,'Dist - Averaging'!$106:$107,'Dist - Averaging'!$122:$122,'Dist - Averaging'!$125:$125,'Dist - Averaging'!$142:$142</definedName>
    <definedName name="Z_C24F3A9E_A8AA_4925_82D2_3EFABA416C15_.wvu.Rows" localSheetId="25" hidden="1">'Dist - Non Averaging'!$74:$74,'Dist - Non Averaging'!$88:$88</definedName>
    <definedName name="Z_C24F3A9E_A8AA_4925_82D2_3EFABA416C15_.wvu.Rows" localSheetId="44" hidden="1">'Div7A Loan'!$22:$22,'Div7A Loan'!$33:$36,'Div7A Loan'!$56:$73,'Div7A Loan'!$104:$120</definedName>
    <definedName name="Z_C24F3A9E_A8AA_4925_82D2_3EFABA416C15_.wvu.Rows" localSheetId="59" hidden="1">'Dividend Summary'!$61:$136</definedName>
    <definedName name="Z_C24F3A9E_A8AA_4925_82D2_3EFABA416C15_.wvu.Rows" localSheetId="6" hidden="1">'Livestock Est'!$12:$13</definedName>
    <definedName name="Z_C24F3A9E_A8AA_4925_82D2_3EFABA416C15_.wvu.Rows" localSheetId="51" hidden="1">'Loan Schedule'!$18:$29</definedName>
    <definedName name="Z_C24F3A9E_A8AA_4925_82D2_3EFABA416C15_.wvu.Rows" localSheetId="55" hidden="1">'Long Service Leave'!$33:$47</definedName>
    <definedName name="Z_C24F3A9E_A8AA_4925_82D2_3EFABA416C15_.wvu.Rows" localSheetId="10" hidden="1">'Planning Checklist'!$18:$18,'Planning Checklist'!$22:$25,'Planning Checklist'!$27:$33,'Planning Checklist'!$36:$40,'Planning Checklist'!$42:$44,'Planning Checklist'!$46:$47,'Planning Checklist'!$49:$64,'Planning Checklist'!$66:$70,'Planning Checklist'!$72:$76,'Planning Checklist'!$79:$85,'Planning Checklist'!$90:$90,'Planning Checklist'!$94:$105,'Planning Checklist'!$108:$110,'Planning Checklist'!$112:$112,'Planning Checklist'!$114:$114,'Planning Checklist'!$116:$139,'Planning Checklist'!$142:$148,'Planning Checklist'!$156:$157</definedName>
    <definedName name="Z_C24F3A9E_A8AA_4925_82D2_3EFABA416C15_.wvu.Rows" localSheetId="9" hidden="1">'Recommendations &amp; Ideas'!$16:$16</definedName>
    <definedName name="Z_C24F3A9E_A8AA_4925_82D2_3EFABA416C15_.wvu.Rows" localSheetId="45" hidden="1">'Sale or Purch Business'!$75:$76</definedName>
    <definedName name="Z_C24F3A9E_A8AA_4925_82D2_3EFABA416C15_.wvu.Rows" localSheetId="3" hidden="1">'Standard Rates'!$7:$7</definedName>
    <definedName name="Z_C24F3A9E_A8AA_4925_82D2_3EFABA416C15_.wvu.Rows" localSheetId="15" hidden="1">'Tax Rec'!$89:$89,'Tax Rec'!$94:$230,'Tax Rec'!$239:$307</definedName>
    <definedName name="Z_C24F3A9E_A8AA_4925_82D2_3EFABA416C15_.wvu.Rows" localSheetId="16" hidden="1">'Tax Rec Report'!$10:$11,'Tax Rec Report'!$14:$23,'Tax Rec Report'!$26:$46,'Tax Rec Report'!$50:$54,'Tax Rec Report'!$57:$64,'Tax Rec Report'!$67:$79</definedName>
    <definedName name="Z_C24F3A9E_A8AA_4925_82D2_3EFABA416C15_.wvu.Rows" localSheetId="64" hidden="1">'Wages Reconciliation'!$28:$47</definedName>
    <definedName name="Z_C24F3A9E_A8AA_4925_82D2_3EFABA416C15_.wvu.Rows" localSheetId="2" hidden="1">'WP Index'!$17:$17,'WP Index'!$33:$33,'WP Index'!$49:$49,'WP Index'!$70:$70</definedName>
  </definedNames>
  <calcPr calcId="191029"/>
  <customWorkbookViews>
    <customWorkbookView name="Emelyn Goh - Personal View" guid="{BCBE45D4-3C45-4659-992E-5C5D3E9FD81C}" mergeInterval="0" personalView="1" maximized="1" windowWidth="1680" windowHeight="759" tabRatio="933" activeSheetId="17"/>
    <customWorkbookView name="Daniel Liu - Personal View" guid="{C24F3A9E-A8AA-4925-82D2-3EFABA416C15}" mergeInterval="0" personalView="1" maximized="1" windowWidth="1680" windowHeight="805" tabRatio="715" activeSheetId="28"/>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90" i="7" l="1"/>
  <c r="D160" i="7"/>
  <c r="E160" i="7"/>
  <c r="E159" i="7"/>
  <c r="F159" i="7"/>
  <c r="F160" i="7"/>
  <c r="F48" i="65"/>
  <c r="E56" i="79"/>
  <c r="E46" i="79"/>
  <c r="F46" i="79" s="1"/>
  <c r="A13" i="79"/>
  <c r="E47" i="79" l="1"/>
  <c r="E48" i="79" s="1"/>
  <c r="E49" i="79" s="1"/>
  <c r="E50" i="79" s="1"/>
  <c r="E51" i="79" s="1"/>
  <c r="J47" i="79" l="1"/>
  <c r="I47" i="79"/>
  <c r="H47" i="79"/>
  <c r="F47" i="79"/>
  <c r="G47" i="79"/>
  <c r="J48" i="79"/>
  <c r="G48" i="79"/>
  <c r="H48" i="79"/>
  <c r="F48" i="79"/>
  <c r="I48" i="79"/>
  <c r="K47" i="79" l="1"/>
  <c r="O47" i="79" s="1"/>
  <c r="K48" i="79"/>
  <c r="O48" i="79" s="1"/>
  <c r="G49" i="79"/>
  <c r="H49" i="79"/>
  <c r="I49" i="79"/>
  <c r="J49" i="79"/>
  <c r="F49" i="79"/>
  <c r="K49" i="79" l="1"/>
  <c r="O49" i="79" s="1"/>
  <c r="J50" i="79"/>
  <c r="F50" i="79"/>
  <c r="G50" i="79"/>
  <c r="H50" i="79"/>
  <c r="I50" i="79"/>
  <c r="K50" i="79" l="1"/>
  <c r="O50" i="79" s="1"/>
  <c r="G51" i="79"/>
  <c r="F51" i="79"/>
  <c r="H51" i="79"/>
  <c r="I51" i="79"/>
  <c r="J51" i="79"/>
  <c r="K51" i="79" l="1"/>
  <c r="O51" i="79" s="1"/>
  <c r="R27" i="64" l="1"/>
  <c r="R28" i="64"/>
  <c r="R29" i="64"/>
  <c r="R30" i="64"/>
  <c r="R31" i="64"/>
  <c r="R32" i="64"/>
  <c r="R33" i="64"/>
  <c r="R34" i="64"/>
  <c r="U34" i="64" s="1"/>
  <c r="R35" i="64"/>
  <c r="R36" i="64"/>
  <c r="R37" i="64"/>
  <c r="R38" i="64"/>
  <c r="R39" i="64"/>
  <c r="R40" i="64"/>
  <c r="R41" i="64"/>
  <c r="R42" i="64"/>
  <c r="U42" i="64" s="1"/>
  <c r="R43" i="64"/>
  <c r="R44" i="64"/>
  <c r="R45" i="64"/>
  <c r="R46" i="64"/>
  <c r="R47" i="64"/>
  <c r="R26" i="64"/>
  <c r="R23" i="64"/>
  <c r="R22" i="64"/>
  <c r="P50" i="64"/>
  <c r="O50" i="64"/>
  <c r="P27" i="64"/>
  <c r="P28" i="64"/>
  <c r="P29" i="64"/>
  <c r="P30" i="64"/>
  <c r="P31" i="64"/>
  <c r="P32" i="64"/>
  <c r="P33" i="64"/>
  <c r="P34" i="64"/>
  <c r="P35" i="64"/>
  <c r="P36" i="64"/>
  <c r="P37" i="64"/>
  <c r="P38" i="64"/>
  <c r="P39" i="64"/>
  <c r="P40" i="64"/>
  <c r="P41" i="64"/>
  <c r="P42" i="64"/>
  <c r="P43" i="64"/>
  <c r="P44" i="64"/>
  <c r="P45" i="64"/>
  <c r="P46" i="64"/>
  <c r="P47" i="64"/>
  <c r="P26" i="64"/>
  <c r="T48" i="64"/>
  <c r="T50" i="64" s="1"/>
  <c r="U27" i="64"/>
  <c r="U28" i="64"/>
  <c r="U29" i="64"/>
  <c r="U30" i="64"/>
  <c r="U31" i="64"/>
  <c r="U32" i="64"/>
  <c r="U33" i="64"/>
  <c r="U35" i="64"/>
  <c r="U36" i="64"/>
  <c r="U37" i="64"/>
  <c r="U38" i="64"/>
  <c r="U39" i="64"/>
  <c r="U40" i="64"/>
  <c r="U41" i="64"/>
  <c r="U43" i="64"/>
  <c r="U44" i="64"/>
  <c r="U45" i="64"/>
  <c r="U46" i="64"/>
  <c r="U47" i="64"/>
  <c r="U49" i="64"/>
  <c r="U23" i="64"/>
  <c r="U22" i="64"/>
  <c r="AE27" i="64"/>
  <c r="AE28" i="64"/>
  <c r="AE29" i="64"/>
  <c r="AE30" i="64"/>
  <c r="AE31" i="64"/>
  <c r="AE32" i="64"/>
  <c r="AE33" i="64"/>
  <c r="AE34" i="64"/>
  <c r="AE35" i="64"/>
  <c r="AE36" i="64"/>
  <c r="AE37" i="64"/>
  <c r="AE38" i="64"/>
  <c r="AE39" i="64"/>
  <c r="AE40" i="64"/>
  <c r="AE41" i="64"/>
  <c r="AE42" i="64"/>
  <c r="AE43" i="64"/>
  <c r="AE44" i="64"/>
  <c r="AE45" i="64"/>
  <c r="AE46" i="64"/>
  <c r="AE47" i="64"/>
  <c r="AE26" i="64"/>
  <c r="AF47" i="64"/>
  <c r="AF46" i="64"/>
  <c r="AF45" i="64"/>
  <c r="AF44" i="64"/>
  <c r="AF43" i="64"/>
  <c r="AF42" i="64"/>
  <c r="AF41" i="64"/>
  <c r="AF40" i="64"/>
  <c r="AF39" i="64"/>
  <c r="AF38" i="64"/>
  <c r="AF37" i="64"/>
  <c r="AF36" i="64"/>
  <c r="AF35" i="64"/>
  <c r="AF34" i="64"/>
  <c r="AF33" i="64"/>
  <c r="AF32" i="64"/>
  <c r="AF31" i="64"/>
  <c r="AF30" i="64"/>
  <c r="AF29" i="64"/>
  <c r="AF28" i="64"/>
  <c r="AF27" i="64"/>
  <c r="O48" i="64"/>
  <c r="O24" i="64"/>
  <c r="P24" i="64"/>
  <c r="R24" i="64" l="1"/>
  <c r="U24" i="64" s="1"/>
  <c r="P48" i="64"/>
  <c r="E57" i="79" l="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N91" i="79" s="1"/>
  <c r="K6" i="79"/>
  <c r="G95" i="79"/>
  <c r="H95" i="79"/>
  <c r="I95" i="79"/>
  <c r="J95" i="79"/>
  <c r="F95" i="79"/>
  <c r="G55" i="79"/>
  <c r="H55" i="79"/>
  <c r="I55" i="79"/>
  <c r="J55" i="79"/>
  <c r="F55" i="79"/>
  <c r="K17" i="79"/>
  <c r="O17" i="79" s="1"/>
  <c r="K22" i="79"/>
  <c r="O22" i="79" s="1"/>
  <c r="K101" i="79"/>
  <c r="K102" i="79"/>
  <c r="K103" i="79"/>
  <c r="K100" i="79"/>
  <c r="K96" i="79"/>
  <c r="K97" i="79" s="1"/>
  <c r="K26" i="79"/>
  <c r="O26" i="79" s="1"/>
  <c r="K25" i="79"/>
  <c r="O25" i="79" s="1"/>
  <c r="K24" i="79"/>
  <c r="O24" i="79" s="1"/>
  <c r="K23" i="79"/>
  <c r="O23" i="79" s="1"/>
  <c r="K21" i="79"/>
  <c r="O21" i="79" s="1"/>
  <c r="K20" i="79"/>
  <c r="O20" i="79" s="1"/>
  <c r="K33" i="79"/>
  <c r="O33" i="79" s="1"/>
  <c r="K32" i="79"/>
  <c r="O32" i="79" s="1"/>
  <c r="K31" i="79"/>
  <c r="O31" i="79" s="1"/>
  <c r="K30" i="79"/>
  <c r="O30" i="79" s="1"/>
  <c r="K29" i="79"/>
  <c r="O29" i="79" s="1"/>
  <c r="K28" i="79"/>
  <c r="O28" i="79" s="1"/>
  <c r="K27" i="79"/>
  <c r="O27" i="79" s="1"/>
  <c r="K36" i="79"/>
  <c r="O36" i="79" s="1"/>
  <c r="AC47" i="72"/>
  <c r="G97" i="79"/>
  <c r="H97" i="79"/>
  <c r="I97" i="79"/>
  <c r="J97" i="79"/>
  <c r="F97" i="79"/>
  <c r="G104" i="79"/>
  <c r="H104" i="79"/>
  <c r="I104" i="79"/>
  <c r="J104" i="79"/>
  <c r="F104" i="79"/>
  <c r="K38" i="79"/>
  <c r="O38" i="79" s="1"/>
  <c r="K37" i="79"/>
  <c r="O37" i="79" s="1"/>
  <c r="K35" i="79"/>
  <c r="O35" i="79" s="1"/>
  <c r="K34" i="79"/>
  <c r="O34" i="79" s="1"/>
  <c r="K39" i="79"/>
  <c r="O39" i="79" s="1"/>
  <c r="O12" i="79"/>
  <c r="K41" i="79"/>
  <c r="O41" i="79" s="1"/>
  <c r="J106" i="79" l="1"/>
  <c r="I106" i="79"/>
  <c r="H106" i="79"/>
  <c r="G106" i="79"/>
  <c r="F106" i="79"/>
  <c r="N85" i="79"/>
  <c r="H85" i="79" s="1"/>
  <c r="N77" i="79"/>
  <c r="H77" i="79" s="1"/>
  <c r="N84" i="79"/>
  <c r="I84" i="79" s="1"/>
  <c r="N76" i="79"/>
  <c r="J76" i="79" s="1"/>
  <c r="N75" i="79"/>
  <c r="F75" i="79" s="1"/>
  <c r="N89" i="79"/>
  <c r="J89" i="79" s="1"/>
  <c r="N81" i="79"/>
  <c r="I81" i="79" s="1"/>
  <c r="N73" i="79"/>
  <c r="J73" i="79" s="1"/>
  <c r="F91" i="79"/>
  <c r="N90" i="79"/>
  <c r="G90" i="79" s="1"/>
  <c r="N88" i="79"/>
  <c r="J88" i="79" s="1"/>
  <c r="N80" i="79"/>
  <c r="F80" i="79" s="1"/>
  <c r="N82" i="79"/>
  <c r="J82" i="79" s="1"/>
  <c r="N87" i="79"/>
  <c r="H87" i="79" s="1"/>
  <c r="N79" i="79"/>
  <c r="I79" i="79" s="1"/>
  <c r="N83" i="79"/>
  <c r="J83" i="79" s="1"/>
  <c r="N74" i="79"/>
  <c r="J74" i="79" s="1"/>
  <c r="F81" i="79"/>
  <c r="N86" i="79"/>
  <c r="H86" i="79" s="1"/>
  <c r="N78" i="79"/>
  <c r="H78" i="79" s="1"/>
  <c r="K104" i="79"/>
  <c r="K106" i="79" s="1"/>
  <c r="E103" i="79"/>
  <c r="E102" i="79"/>
  <c r="E100" i="79"/>
  <c r="E101" i="79"/>
  <c r="E96" i="79"/>
  <c r="I43" i="79"/>
  <c r="J43" i="79"/>
  <c r="K18" i="79"/>
  <c r="O18" i="79" s="1"/>
  <c r="I75" i="79" l="1"/>
  <c r="I80" i="79"/>
  <c r="J85" i="79"/>
  <c r="I85" i="79"/>
  <c r="G84" i="79"/>
  <c r="G91" i="79"/>
  <c r="H91" i="79"/>
  <c r="F85" i="79"/>
  <c r="H84" i="79"/>
  <c r="J84" i="79"/>
  <c r="F84" i="79"/>
  <c r="G76" i="79"/>
  <c r="F76" i="79"/>
  <c r="H88" i="79"/>
  <c r="F88" i="79"/>
  <c r="G77" i="79"/>
  <c r="I77" i="79"/>
  <c r="G80" i="79"/>
  <c r="G81" i="79"/>
  <c r="J77" i="79"/>
  <c r="G88" i="79"/>
  <c r="H80" i="79"/>
  <c r="F77" i="79"/>
  <c r="I82" i="79"/>
  <c r="J81" i="79"/>
  <c r="H81" i="79"/>
  <c r="H82" i="79"/>
  <c r="G85" i="79"/>
  <c r="F78" i="79"/>
  <c r="I76" i="79"/>
  <c r="J78" i="79"/>
  <c r="J91" i="79"/>
  <c r="I78" i="79"/>
  <c r="I74" i="79"/>
  <c r="F79" i="79"/>
  <c r="F83" i="79"/>
  <c r="F82" i="79"/>
  <c r="J79" i="79"/>
  <c r="F86" i="79"/>
  <c r="F87" i="79"/>
  <c r="I91" i="79"/>
  <c r="F74" i="79"/>
  <c r="H74" i="79"/>
  <c r="H79" i="79"/>
  <c r="I83" i="79"/>
  <c r="G78" i="79"/>
  <c r="H89" i="79"/>
  <c r="G73" i="79"/>
  <c r="F90" i="79"/>
  <c r="H90" i="79"/>
  <c r="H83" i="79"/>
  <c r="J86" i="79"/>
  <c r="I73" i="79"/>
  <c r="F73" i="79"/>
  <c r="I87" i="79"/>
  <c r="G87" i="79"/>
  <c r="G79" i="79"/>
  <c r="I90" i="79"/>
  <c r="G89" i="79"/>
  <c r="G75" i="79"/>
  <c r="G74" i="79"/>
  <c r="G86" i="79"/>
  <c r="H76" i="79"/>
  <c r="J90" i="79"/>
  <c r="G82" i="79"/>
  <c r="J75" i="79"/>
  <c r="I86" i="79"/>
  <c r="J87" i="79"/>
  <c r="G83" i="79"/>
  <c r="H73" i="79"/>
  <c r="I89" i="79"/>
  <c r="H75" i="79"/>
  <c r="F89" i="79"/>
  <c r="I88" i="79"/>
  <c r="J80" i="79"/>
  <c r="N72" i="79"/>
  <c r="H72" i="79" s="1"/>
  <c r="N69" i="79"/>
  <c r="G69" i="79" s="1"/>
  <c r="N64" i="79"/>
  <c r="J64" i="79" s="1"/>
  <c r="N67" i="79"/>
  <c r="G67" i="79" s="1"/>
  <c r="N56" i="79"/>
  <c r="I56" i="79" s="1"/>
  <c r="N59" i="79"/>
  <c r="J59" i="79" s="1"/>
  <c r="N71" i="79"/>
  <c r="H71" i="79" s="1"/>
  <c r="N63" i="79"/>
  <c r="G63" i="79" s="1"/>
  <c r="N65" i="79"/>
  <c r="J65" i="79" s="1"/>
  <c r="N70" i="79"/>
  <c r="H70" i="79" s="1"/>
  <c r="N68" i="79"/>
  <c r="G68" i="79" s="1"/>
  <c r="N66" i="79"/>
  <c r="J66" i="79" s="1"/>
  <c r="N62" i="79"/>
  <c r="F62" i="79" s="1"/>
  <c r="N61" i="79"/>
  <c r="I61" i="79" s="1"/>
  <c r="N58" i="79"/>
  <c r="I58" i="79" s="1"/>
  <c r="N60" i="79"/>
  <c r="G60" i="79" s="1"/>
  <c r="O13" i="79"/>
  <c r="K19" i="79"/>
  <c r="O19" i="79" s="1"/>
  <c r="K84" i="79" l="1"/>
  <c r="O84" i="79" s="1"/>
  <c r="K85" i="79"/>
  <c r="O85" i="79" s="1"/>
  <c r="K88" i="79"/>
  <c r="O88" i="79" s="1"/>
  <c r="K91" i="79"/>
  <c r="O91" i="79" s="1"/>
  <c r="K77" i="79"/>
  <c r="O77" i="79" s="1"/>
  <c r="K80" i="79"/>
  <c r="O80" i="79" s="1"/>
  <c r="K76" i="79"/>
  <c r="O76" i="79" s="1"/>
  <c r="K81" i="79"/>
  <c r="O81" i="79" s="1"/>
  <c r="K86" i="79"/>
  <c r="O86" i="79" s="1"/>
  <c r="K82" i="79"/>
  <c r="O82" i="79" s="1"/>
  <c r="K83" i="79"/>
  <c r="O83" i="79" s="1"/>
  <c r="K78" i="79"/>
  <c r="O78" i="79" s="1"/>
  <c r="K89" i="79"/>
  <c r="O89" i="79" s="1"/>
  <c r="K87" i="79"/>
  <c r="O87" i="79" s="1"/>
  <c r="K79" i="79"/>
  <c r="O79" i="79" s="1"/>
  <c r="K90" i="79"/>
  <c r="O90" i="79" s="1"/>
  <c r="K75" i="79"/>
  <c r="O75" i="79" s="1"/>
  <c r="K73" i="79"/>
  <c r="O73" i="79" s="1"/>
  <c r="K74" i="79"/>
  <c r="O74" i="79" s="1"/>
  <c r="J67" i="79"/>
  <c r="I72" i="79"/>
  <c r="G64" i="79"/>
  <c r="G56" i="79"/>
  <c r="H62" i="79"/>
  <c r="I64" i="79"/>
  <c r="F56" i="79"/>
  <c r="H66" i="79"/>
  <c r="F63" i="79"/>
  <c r="G58" i="79"/>
  <c r="I66" i="79"/>
  <c r="H58" i="79"/>
  <c r="F68" i="79"/>
  <c r="G71" i="79"/>
  <c r="J58" i="79"/>
  <c r="J69" i="79"/>
  <c r="J71" i="79"/>
  <c r="J72" i="79"/>
  <c r="G61" i="79"/>
  <c r="I65" i="79"/>
  <c r="G70" i="79"/>
  <c r="J63" i="79"/>
  <c r="F67" i="79"/>
  <c r="G72" i="79"/>
  <c r="J56" i="79"/>
  <c r="F58" i="79"/>
  <c r="J61" i="79"/>
  <c r="H65" i="79"/>
  <c r="I62" i="79"/>
  <c r="G66" i="79"/>
  <c r="F70" i="79"/>
  <c r="I63" i="79"/>
  <c r="F71" i="79"/>
  <c r="F65" i="79"/>
  <c r="H63" i="79"/>
  <c r="H59" i="79"/>
  <c r="H64" i="79"/>
  <c r="I69" i="79"/>
  <c r="F72" i="79"/>
  <c r="I60" i="79"/>
  <c r="G62" i="79"/>
  <c r="J68" i="79"/>
  <c r="I71" i="79"/>
  <c r="G59" i="79"/>
  <c r="J60" i="79"/>
  <c r="J62" i="79"/>
  <c r="I67" i="79"/>
  <c r="F64" i="79"/>
  <c r="F69" i="79"/>
  <c r="H60" i="79"/>
  <c r="F61" i="79"/>
  <c r="I68" i="79"/>
  <c r="I70" i="79"/>
  <c r="F59" i="79"/>
  <c r="G65" i="79"/>
  <c r="H67" i="79"/>
  <c r="H69" i="79"/>
  <c r="H56" i="79"/>
  <c r="F60" i="79"/>
  <c r="H61" i="79"/>
  <c r="F66" i="79"/>
  <c r="H68" i="79"/>
  <c r="J70" i="79"/>
  <c r="I59" i="79"/>
  <c r="J46" i="79"/>
  <c r="G46" i="79"/>
  <c r="I46" i="79"/>
  <c r="H46" i="79"/>
  <c r="G43" i="79"/>
  <c r="H43" i="79"/>
  <c r="K42" i="79"/>
  <c r="O42" i="79" s="1"/>
  <c r="K56" i="79" l="1"/>
  <c r="K46" i="79"/>
  <c r="O46" i="79" s="1"/>
  <c r="K40" i="79"/>
  <c r="F43" i="79"/>
  <c r="A224" i="72"/>
  <c r="A235" i="72" s="1"/>
  <c r="C216" i="72"/>
  <c r="C217" i="72" s="1"/>
  <c r="D216" i="72"/>
  <c r="D217" i="72" s="1"/>
  <c r="E216" i="72"/>
  <c r="E217" i="72" s="1"/>
  <c r="F216" i="72"/>
  <c r="F217" i="72" s="1"/>
  <c r="G216" i="72"/>
  <c r="G217" i="72" s="1"/>
  <c r="H216" i="72"/>
  <c r="H217" i="72" s="1"/>
  <c r="I216" i="72"/>
  <c r="I217" i="72" s="1"/>
  <c r="J216" i="72"/>
  <c r="J217" i="72" s="1"/>
  <c r="K216" i="72"/>
  <c r="K217" i="72" s="1"/>
  <c r="B216" i="72"/>
  <c r="B217" i="72" s="1"/>
  <c r="B36" i="65"/>
  <c r="A91" i="32"/>
  <c r="A90" i="32"/>
  <c r="A102" i="32"/>
  <c r="A101" i="32" s="1"/>
  <c r="A100" i="32" s="1"/>
  <c r="A99" i="32" s="1"/>
  <c r="A98" i="32" s="1"/>
  <c r="A97" i="32" s="1"/>
  <c r="A96" i="32" s="1"/>
  <c r="A95" i="32" s="1"/>
  <c r="A94" i="32" s="1"/>
  <c r="A93" i="32" s="1"/>
  <c r="A92" i="32" s="1"/>
  <c r="A103" i="32"/>
  <c r="F22" i="43"/>
  <c r="G22" i="43" s="1"/>
  <c r="H22" i="43" s="1"/>
  <c r="J22" i="43" s="1"/>
  <c r="L22" i="43" s="1"/>
  <c r="D22" i="43"/>
  <c r="F21" i="43"/>
  <c r="G21" i="43" s="1"/>
  <c r="H21" i="43" s="1"/>
  <c r="J21" i="43" s="1"/>
  <c r="L21" i="43" s="1"/>
  <c r="D21" i="43"/>
  <c r="F20" i="43"/>
  <c r="G20" i="43" s="1"/>
  <c r="H20" i="43" s="1"/>
  <c r="J20" i="43" s="1"/>
  <c r="L20" i="43" s="1"/>
  <c r="D20" i="43"/>
  <c r="F19" i="43"/>
  <c r="G19" i="43" s="1"/>
  <c r="H19" i="43" s="1"/>
  <c r="J19" i="43" s="1"/>
  <c r="L19" i="43" s="1"/>
  <c r="D19" i="43"/>
  <c r="F18" i="43"/>
  <c r="G18" i="43" s="1"/>
  <c r="H18" i="43" s="1"/>
  <c r="J18" i="43" s="1"/>
  <c r="L18" i="43" s="1"/>
  <c r="D18" i="43"/>
  <c r="K43" i="79" l="1"/>
  <c r="O40" i="79"/>
  <c r="K52" i="79"/>
  <c r="H52" i="79"/>
  <c r="G52" i="79"/>
  <c r="I52" i="79"/>
  <c r="J52" i="79"/>
  <c r="F52" i="79"/>
  <c r="K19" i="43"/>
  <c r="K20" i="43"/>
  <c r="K21" i="43"/>
  <c r="K18" i="43"/>
  <c r="K22" i="43"/>
  <c r="D28" i="65"/>
  <c r="B40" i="65" s="1"/>
  <c r="E28" i="65"/>
  <c r="B41" i="65" s="1"/>
  <c r="F28" i="65"/>
  <c r="B42" i="65" s="1"/>
  <c r="C28" i="65"/>
  <c r="B39" i="65" s="1"/>
  <c r="A167" i="78" l="1"/>
  <c r="A166" i="78"/>
  <c r="A165" i="78"/>
  <c r="A164" i="78"/>
  <c r="A163" i="78"/>
  <c r="A162" i="78"/>
  <c r="A161" i="78"/>
  <c r="A160" i="78"/>
  <c r="A159" i="78"/>
  <c r="A158" i="78"/>
  <c r="A155" i="78"/>
  <c r="A153" i="78"/>
  <c r="A152" i="78"/>
  <c r="D147" i="78"/>
  <c r="D146" i="78"/>
  <c r="D145" i="78"/>
  <c r="D144" i="78"/>
  <c r="D143" i="78"/>
  <c r="D142" i="78"/>
  <c r="D141" i="78"/>
  <c r="D140" i="78"/>
  <c r="D139" i="78"/>
  <c r="D138" i="78"/>
  <c r="D137" i="78"/>
  <c r="D133" i="78"/>
  <c r="D132" i="78"/>
  <c r="D131" i="78"/>
  <c r="D130" i="78"/>
  <c r="D129" i="78"/>
  <c r="D128" i="78"/>
  <c r="D127" i="78"/>
  <c r="D126" i="78"/>
  <c r="D125" i="78"/>
  <c r="D124" i="78"/>
  <c r="D123" i="78"/>
  <c r="D122" i="78"/>
  <c r="D118" i="78"/>
  <c r="D117" i="78"/>
  <c r="D116" i="78"/>
  <c r="D115" i="78"/>
  <c r="D114" i="78"/>
  <c r="D113" i="78"/>
  <c r="D112" i="78"/>
  <c r="D111" i="78"/>
  <c r="D110" i="78"/>
  <c r="D109" i="78"/>
  <c r="D108" i="78"/>
  <c r="D107" i="78"/>
  <c r="D106" i="78"/>
  <c r="D105" i="78"/>
  <c r="D104" i="78"/>
  <c r="D103" i="78"/>
  <c r="D99" i="78"/>
  <c r="D98" i="78"/>
  <c r="D97" i="78"/>
  <c r="D96" i="78"/>
  <c r="D95" i="78"/>
  <c r="D94" i="78"/>
  <c r="D93" i="78"/>
  <c r="D89" i="78"/>
  <c r="D88" i="78"/>
  <c r="D87" i="78"/>
  <c r="D86" i="78"/>
  <c r="D85" i="78"/>
  <c r="D84" i="78"/>
  <c r="D83" i="78"/>
  <c r="D82" i="78"/>
  <c r="D81" i="78"/>
  <c r="D80" i="78"/>
  <c r="D79" i="78"/>
  <c r="D78" i="78"/>
  <c r="D74" i="78"/>
  <c r="D73" i="78"/>
  <c r="D72" i="78"/>
  <c r="D71" i="78"/>
  <c r="D70" i="78"/>
  <c r="D66" i="78"/>
  <c r="D65" i="78"/>
  <c r="D64" i="78"/>
  <c r="D63" i="78"/>
  <c r="D62" i="78"/>
  <c r="D61" i="78"/>
  <c r="D60" i="78"/>
  <c r="D59" i="78"/>
  <c r="D55" i="78"/>
  <c r="D54" i="78"/>
  <c r="D53" i="78"/>
  <c r="D52" i="78"/>
  <c r="D51" i="78"/>
  <c r="D50" i="78"/>
  <c r="D49" i="78"/>
  <c r="D48" i="78"/>
  <c r="D47" i="78"/>
  <c r="D43" i="78"/>
  <c r="D42" i="78"/>
  <c r="D41" i="78"/>
  <c r="D40" i="78"/>
  <c r="D39" i="78"/>
  <c r="D38" i="78"/>
  <c r="D37" i="78"/>
  <c r="D36" i="78"/>
  <c r="D35" i="78"/>
  <c r="D34" i="78"/>
  <c r="D33" i="78"/>
  <c r="D32" i="78"/>
  <c r="D31" i="78"/>
  <c r="D30" i="78"/>
  <c r="D29" i="78"/>
  <c r="D28" i="78"/>
  <c r="D27" i="78"/>
  <c r="D23" i="78"/>
  <c r="D22" i="78"/>
  <c r="D21" i="78"/>
  <c r="D20" i="78"/>
  <c r="D19" i="78"/>
  <c r="D18" i="78"/>
  <c r="D17" i="78"/>
  <c r="D16" i="78"/>
  <c r="D15" i="78"/>
  <c r="D14" i="78"/>
  <c r="D13" i="78"/>
  <c r="D44" i="78" l="1"/>
  <c r="C158" i="78" s="1"/>
  <c r="D148" i="78"/>
  <c r="C166" i="78" s="1"/>
  <c r="D90" i="78"/>
  <c r="C162" i="78" s="1"/>
  <c r="D56" i="78"/>
  <c r="C159" i="78" s="1"/>
  <c r="D67" i="78"/>
  <c r="C160" i="78" s="1"/>
  <c r="D75" i="78"/>
  <c r="C161" i="78" s="1"/>
  <c r="D119" i="78"/>
  <c r="C164" i="78" s="1"/>
  <c r="D134" i="78"/>
  <c r="C165" i="78" s="1"/>
  <c r="D100" i="78"/>
  <c r="C163" i="78" s="1"/>
  <c r="D24" i="78"/>
  <c r="C155" i="78" s="1"/>
  <c r="D165" i="78" l="1"/>
  <c r="D158" i="78"/>
  <c r="D159" i="78"/>
  <c r="D155" i="78"/>
  <c r="D160" i="78"/>
  <c r="D166" i="78"/>
  <c r="D161" i="78"/>
  <c r="D163" i="78"/>
  <c r="D162" i="78"/>
  <c r="D164" i="78"/>
  <c r="C167" i="78"/>
  <c r="C169" i="78" s="1"/>
  <c r="D169" i="78" s="1"/>
  <c r="D167" i="78" l="1"/>
  <c r="A169" i="78"/>
  <c r="W14" i="72"/>
  <c r="D180" i="7"/>
  <c r="C61" i="77"/>
  <c r="C62" i="77" s="1"/>
  <c r="C53" i="77"/>
  <c r="C54" i="77" s="1"/>
  <c r="C55" i="77" s="1"/>
  <c r="B15" i="77"/>
  <c r="E15" i="77" s="1"/>
  <c r="B14" i="77"/>
  <c r="E14" i="77" s="1"/>
  <c r="B13" i="77"/>
  <c r="C15" i="77" l="1"/>
  <c r="D15" i="77" s="1"/>
  <c r="E13" i="77"/>
  <c r="C14" i="77"/>
  <c r="D14" i="77" s="1"/>
  <c r="D17" i="77" s="1"/>
  <c r="C17" i="77" l="1"/>
  <c r="E11" i="32"/>
  <c r="E37" i="32" s="1"/>
  <c r="F4" i="76"/>
  <c r="E4" i="76"/>
  <c r="C32" i="65"/>
  <c r="C35" i="65" s="1"/>
  <c r="G34" i="65"/>
  <c r="G33" i="65"/>
  <c r="F20" i="76"/>
  <c r="A215" i="76"/>
  <c r="A213" i="76"/>
  <c r="A208" i="76"/>
  <c r="A207" i="76"/>
  <c r="A202" i="76"/>
  <c r="A196" i="76"/>
  <c r="A174" i="76"/>
  <c r="A172" i="76"/>
  <c r="A167" i="76"/>
  <c r="A166" i="76"/>
  <c r="A161" i="76"/>
  <c r="A155" i="76"/>
  <c r="A133" i="76"/>
  <c r="A131" i="76"/>
  <c r="A126" i="76"/>
  <c r="A125" i="76"/>
  <c r="A120" i="76"/>
  <c r="A114" i="76"/>
  <c r="A92" i="76"/>
  <c r="A90" i="76"/>
  <c r="A85" i="76"/>
  <c r="A84" i="76"/>
  <c r="A79" i="76"/>
  <c r="A73" i="76"/>
  <c r="A51" i="76"/>
  <c r="A49" i="76"/>
  <c r="A44" i="76"/>
  <c r="A43" i="76"/>
  <c r="A38" i="76"/>
  <c r="A32" i="76"/>
  <c r="E38" i="14" l="1"/>
  <c r="J61" i="17"/>
  <c r="K61" i="17"/>
  <c r="L61" i="17"/>
  <c r="M61" i="17"/>
  <c r="M65" i="17" s="1"/>
  <c r="N61" i="17"/>
  <c r="O61" i="17"/>
  <c r="O65" i="17" s="1"/>
  <c r="P61" i="17"/>
  <c r="Q61" i="17"/>
  <c r="Q65" i="17" s="1"/>
  <c r="R61" i="17"/>
  <c r="S61" i="17"/>
  <c r="T61" i="17"/>
  <c r="U61" i="17"/>
  <c r="V61" i="17"/>
  <c r="W61" i="17"/>
  <c r="W65" i="17" s="1"/>
  <c r="I65" i="17"/>
  <c r="J65" i="17"/>
  <c r="K65" i="17"/>
  <c r="L65" i="17"/>
  <c r="N65" i="17"/>
  <c r="P65" i="17"/>
  <c r="R65" i="17"/>
  <c r="S65" i="17"/>
  <c r="T65" i="17"/>
  <c r="U65" i="17"/>
  <c r="V65" i="17"/>
  <c r="X65" i="17"/>
  <c r="X24" i="17"/>
  <c r="B91" i="66"/>
  <c r="B14" i="66"/>
  <c r="B116" i="66"/>
  <c r="I82" i="7"/>
  <c r="G4" i="75"/>
  <c r="H4" i="75"/>
  <c r="H10" i="75"/>
  <c r="D43" i="75"/>
  <c r="D44" i="75"/>
  <c r="D45" i="75"/>
  <c r="D46" i="75"/>
  <c r="D47" i="75"/>
  <c r="D48" i="75"/>
  <c r="D49" i="75"/>
  <c r="D50" i="75"/>
  <c r="D51" i="75"/>
  <c r="D52" i="75"/>
  <c r="D53" i="75"/>
  <c r="D54" i="75"/>
  <c r="D55" i="75"/>
  <c r="D56" i="75"/>
  <c r="D57" i="75"/>
  <c r="D58" i="75"/>
  <c r="D59" i="75"/>
  <c r="D60" i="75"/>
  <c r="D61" i="75"/>
  <c r="D62" i="75"/>
  <c r="D63" i="75"/>
  <c r="D64" i="75"/>
  <c r="D65" i="75"/>
  <c r="D66" i="75"/>
  <c r="D67" i="75"/>
  <c r="D68" i="75"/>
  <c r="D69" i="75"/>
  <c r="D70" i="75"/>
  <c r="D71" i="75"/>
  <c r="D72" i="75"/>
  <c r="B73" i="75"/>
  <c r="B74" i="75" s="1"/>
  <c r="D74" i="75" s="1"/>
  <c r="C73" i="75"/>
  <c r="C74" i="75" s="1"/>
  <c r="F73" i="75"/>
  <c r="F74" i="75"/>
  <c r="G4" i="74"/>
  <c r="H4" i="74"/>
  <c r="H10" i="74"/>
  <c r="F39" i="74"/>
  <c r="F40" i="74"/>
  <c r="F41" i="74"/>
  <c r="F42" i="74"/>
  <c r="F43" i="74"/>
  <c r="F44" i="74"/>
  <c r="F45" i="74"/>
  <c r="F46" i="74"/>
  <c r="F47" i="74"/>
  <c r="F48" i="74"/>
  <c r="F49" i="74"/>
  <c r="F50" i="74"/>
  <c r="F51" i="74"/>
  <c r="F52" i="74"/>
  <c r="F53" i="74"/>
  <c r="F54" i="74"/>
  <c r="F55" i="74"/>
  <c r="F56" i="74"/>
  <c r="F57" i="74"/>
  <c r="F58" i="74"/>
  <c r="F59" i="74"/>
  <c r="F60" i="74"/>
  <c r="F61" i="74"/>
  <c r="F62" i="74"/>
  <c r="F63" i="74"/>
  <c r="F64" i="74"/>
  <c r="F65" i="74"/>
  <c r="F66" i="74"/>
  <c r="F67" i="74"/>
  <c r="F68" i="74"/>
  <c r="B71" i="74"/>
  <c r="D71" i="74" s="1"/>
  <c r="C71" i="74"/>
  <c r="C72" i="74" s="1"/>
  <c r="D73" i="75" l="1"/>
  <c r="B72" i="74"/>
  <c r="D72" i="74" s="1"/>
  <c r="H115" i="28" l="1"/>
  <c r="O113" i="28"/>
  <c r="N113" i="28"/>
  <c r="M113" i="28" s="1"/>
  <c r="O112" i="28"/>
  <c r="N112" i="28"/>
  <c r="M112" i="28" s="1"/>
  <c r="O111" i="28"/>
  <c r="N111" i="28"/>
  <c r="O110" i="28"/>
  <c r="M110" i="28" s="1"/>
  <c r="N110" i="28"/>
  <c r="O109" i="28"/>
  <c r="N109" i="28"/>
  <c r="M109" i="28" s="1"/>
  <c r="O108" i="28"/>
  <c r="N108" i="28"/>
  <c r="M108" i="28"/>
  <c r="O107" i="28"/>
  <c r="N107" i="28"/>
  <c r="M107" i="28" s="1"/>
  <c r="O106" i="28"/>
  <c r="M106" i="28" s="1"/>
  <c r="N106" i="28"/>
  <c r="O105" i="28"/>
  <c r="N105" i="28"/>
  <c r="M105" i="28" s="1"/>
  <c r="O104" i="28"/>
  <c r="N104" i="28"/>
  <c r="O103" i="28"/>
  <c r="N103" i="28"/>
  <c r="O102" i="28"/>
  <c r="N102" i="28"/>
  <c r="O101" i="28"/>
  <c r="N101" i="28"/>
  <c r="M101" i="28" s="1"/>
  <c r="O100" i="28"/>
  <c r="M100" i="28" s="1"/>
  <c r="N100" i="28"/>
  <c r="O99" i="28"/>
  <c r="N99" i="28"/>
  <c r="K20" i="28"/>
  <c r="V20" i="28" s="1"/>
  <c r="K21" i="28"/>
  <c r="V21" i="28" s="1"/>
  <c r="K22" i="28"/>
  <c r="V22" i="28" s="1"/>
  <c r="K23" i="28"/>
  <c r="V23" i="28" s="1"/>
  <c r="K24" i="28"/>
  <c r="V24" i="28" s="1"/>
  <c r="K25" i="28"/>
  <c r="V25" i="28" s="1"/>
  <c r="K26" i="28"/>
  <c r="V26" i="28" s="1"/>
  <c r="K27" i="28"/>
  <c r="V27" i="28" s="1"/>
  <c r="K28" i="28"/>
  <c r="V28" i="28" s="1"/>
  <c r="K29" i="28"/>
  <c r="V29" i="28" s="1"/>
  <c r="K30" i="28"/>
  <c r="V30" i="28" s="1"/>
  <c r="K31" i="28"/>
  <c r="V31" i="28" s="1"/>
  <c r="K32" i="28"/>
  <c r="V32" i="28" s="1"/>
  <c r="K33" i="28"/>
  <c r="V33" i="28" s="1"/>
  <c r="K34" i="28"/>
  <c r="V34" i="28" s="1"/>
  <c r="K35" i="28"/>
  <c r="V35" i="28" s="1"/>
  <c r="K36" i="28"/>
  <c r="V36" i="28" s="1"/>
  <c r="K37" i="28"/>
  <c r="V37" i="28" s="1"/>
  <c r="K38" i="28"/>
  <c r="V38" i="28" s="1"/>
  <c r="K39" i="28"/>
  <c r="V39" i="28" s="1"/>
  <c r="K40" i="28"/>
  <c r="V40" i="28" s="1"/>
  <c r="K41" i="28"/>
  <c r="V41" i="28" s="1"/>
  <c r="K42" i="28"/>
  <c r="V42" i="28" s="1"/>
  <c r="K43" i="28"/>
  <c r="V43" i="28" s="1"/>
  <c r="K44" i="28"/>
  <c r="V44" i="28" s="1"/>
  <c r="K45" i="28"/>
  <c r="V45" i="28" s="1"/>
  <c r="K46" i="28"/>
  <c r="V46" i="28" s="1"/>
  <c r="K47" i="28"/>
  <c r="V47" i="28" s="1"/>
  <c r="K48" i="28"/>
  <c r="V48" i="28" s="1"/>
  <c r="K49" i="28"/>
  <c r="V49" i="28" s="1"/>
  <c r="K50" i="28"/>
  <c r="V50" i="28" s="1"/>
  <c r="K51" i="28"/>
  <c r="V51" i="28" s="1"/>
  <c r="K52" i="28"/>
  <c r="V52" i="28" s="1"/>
  <c r="K53" i="28"/>
  <c r="V53" i="28" s="1"/>
  <c r="K54" i="28"/>
  <c r="V54" i="28" s="1"/>
  <c r="K55" i="28"/>
  <c r="V55" i="28" s="1"/>
  <c r="K56" i="28"/>
  <c r="V56" i="28" s="1"/>
  <c r="K57" i="28"/>
  <c r="V57" i="28" s="1"/>
  <c r="K58" i="28"/>
  <c r="V58" i="28" s="1"/>
  <c r="K59" i="28"/>
  <c r="V59" i="28" s="1"/>
  <c r="K60" i="28"/>
  <c r="V60" i="28" s="1"/>
  <c r="K61" i="28"/>
  <c r="V61" i="28" s="1"/>
  <c r="K62" i="28"/>
  <c r="V62" i="28" s="1"/>
  <c r="K63" i="28"/>
  <c r="V63" i="28" s="1"/>
  <c r="K64" i="28"/>
  <c r="V64" i="28" s="1"/>
  <c r="K65" i="28"/>
  <c r="V65" i="28" s="1"/>
  <c r="K66" i="28"/>
  <c r="V66" i="28" s="1"/>
  <c r="K67" i="28"/>
  <c r="V67" i="28" s="1"/>
  <c r="K17" i="28"/>
  <c r="V17" i="28" s="1"/>
  <c r="K18" i="28"/>
  <c r="V18" i="28" s="1"/>
  <c r="M99" i="28" l="1"/>
  <c r="M115" i="28" s="1"/>
  <c r="M102" i="28"/>
  <c r="O115" i="28"/>
  <c r="M103" i="28"/>
  <c r="M104" i="28"/>
  <c r="M111" i="28"/>
  <c r="N115" i="28"/>
  <c r="AA29" i="6" l="1"/>
  <c r="AQ65" i="6"/>
  <c r="AQ22" i="6"/>
  <c r="AE32" i="6"/>
  <c r="AQ32" i="6" s="1"/>
  <c r="H81" i="7" a="1"/>
  <c r="H81" i="7" s="1"/>
  <c r="H82" i="7" a="1"/>
  <c r="H82" i="7" s="1"/>
  <c r="G76" i="8" s="1"/>
  <c r="C83" i="7"/>
  <c r="C84" i="7" s="1"/>
  <c r="A78" i="8" s="1"/>
  <c r="H80" i="7" a="1"/>
  <c r="H80" i="7" s="1"/>
  <c r="K20" i="51"/>
  <c r="K54" i="51"/>
  <c r="G28" i="52"/>
  <c r="I28" i="52" s="1"/>
  <c r="G29" i="52"/>
  <c r="I29" i="52" s="1"/>
  <c r="G30" i="52"/>
  <c r="I30" i="52" s="1"/>
  <c r="G31" i="52"/>
  <c r="I31" i="52" s="1"/>
  <c r="G32" i="52"/>
  <c r="I32" i="52" s="1"/>
  <c r="G33" i="52"/>
  <c r="I33" i="52" s="1"/>
  <c r="G34" i="52"/>
  <c r="I34" i="52" s="1"/>
  <c r="G35" i="52"/>
  <c r="I35" i="52" s="1"/>
  <c r="G36" i="52"/>
  <c r="I36" i="52" s="1"/>
  <c r="G37" i="52"/>
  <c r="I37" i="52" s="1"/>
  <c r="G38" i="52"/>
  <c r="I38" i="52" s="1"/>
  <c r="G39" i="52"/>
  <c r="I39" i="52" s="1"/>
  <c r="G40" i="52"/>
  <c r="I40" i="52" s="1"/>
  <c r="G41" i="52"/>
  <c r="I41" i="52" s="1"/>
  <c r="G42" i="52"/>
  <c r="I42" i="52" s="1"/>
  <c r="G43" i="52"/>
  <c r="I43" i="52" s="1"/>
  <c r="G44" i="52"/>
  <c r="I44" i="52" s="1"/>
  <c r="G45" i="52"/>
  <c r="I45" i="52" s="1"/>
  <c r="G46" i="52"/>
  <c r="I46" i="52" s="1"/>
  <c r="G47" i="52"/>
  <c r="I47" i="52" s="1"/>
  <c r="A121" i="32"/>
  <c r="AH26" i="6"/>
  <c r="B223" i="4"/>
  <c r="C223" i="4"/>
  <c r="D223" i="4"/>
  <c r="E223" i="4"/>
  <c r="F223" i="4"/>
  <c r="G223" i="4"/>
  <c r="H223" i="4"/>
  <c r="I223" i="4"/>
  <c r="B198" i="72"/>
  <c r="B196" i="72" s="1"/>
  <c r="C198" i="72"/>
  <c r="C196" i="72" s="1"/>
  <c r="AC208" i="72"/>
  <c r="AC207" i="72"/>
  <c r="AC206" i="72"/>
  <c r="AC205" i="72"/>
  <c r="AC200" i="72"/>
  <c r="AC199" i="72"/>
  <c r="AC197" i="72"/>
  <c r="AC191" i="72"/>
  <c r="AC190" i="72"/>
  <c r="AC189" i="72"/>
  <c r="AC187" i="72"/>
  <c r="AC153" i="72"/>
  <c r="AC152" i="72"/>
  <c r="AC74" i="72"/>
  <c r="AC75" i="72"/>
  <c r="AC76" i="72"/>
  <c r="AC77" i="72"/>
  <c r="AC78" i="72"/>
  <c r="AC79" i="72"/>
  <c r="AC80" i="72"/>
  <c r="AC81" i="72"/>
  <c r="AC82" i="72"/>
  <c r="AC83" i="72"/>
  <c r="AC84" i="72"/>
  <c r="AC85" i="72"/>
  <c r="AC86" i="72"/>
  <c r="AC87" i="72"/>
  <c r="AC88" i="72"/>
  <c r="AC91" i="72"/>
  <c r="AC92" i="72"/>
  <c r="AC48" i="72"/>
  <c r="AC49" i="72"/>
  <c r="AC50" i="72"/>
  <c r="AC51" i="72"/>
  <c r="AC52" i="72"/>
  <c r="AC53" i="72"/>
  <c r="AC54" i="72"/>
  <c r="AC55" i="72"/>
  <c r="AC56" i="72"/>
  <c r="AC57" i="72"/>
  <c r="AC58" i="72"/>
  <c r="AC59" i="72"/>
  <c r="AC60" i="72"/>
  <c r="AC61" i="72"/>
  <c r="AC62" i="72"/>
  <c r="AC63" i="72"/>
  <c r="AC64" i="72"/>
  <c r="AC65" i="72"/>
  <c r="AC66" i="72"/>
  <c r="AC68" i="72"/>
  <c r="AC69" i="72"/>
  <c r="AC70" i="72"/>
  <c r="A10" i="72"/>
  <c r="AG65" i="6"/>
  <c r="A31" i="17"/>
  <c r="Z78" i="17"/>
  <c r="AJ78" i="17"/>
  <c r="AH78" i="17"/>
  <c r="AK82" i="17"/>
  <c r="AJ82" i="17"/>
  <c r="AK81" i="17"/>
  <c r="AJ81" i="17"/>
  <c r="AK80" i="17"/>
  <c r="AJ80" i="17"/>
  <c r="AK79" i="17"/>
  <c r="AJ79" i="17"/>
  <c r="AI82" i="17"/>
  <c r="AH82" i="17"/>
  <c r="AI81" i="17"/>
  <c r="AH81" i="17"/>
  <c r="AI80" i="17"/>
  <c r="AH80" i="17"/>
  <c r="AI79" i="17"/>
  <c r="AH79" i="17"/>
  <c r="AF78" i="17"/>
  <c r="AD78" i="17"/>
  <c r="AB78" i="17"/>
  <c r="AG82" i="17"/>
  <c r="AF82" i="17"/>
  <c r="AG81" i="17"/>
  <c r="AF81" i="17"/>
  <c r="AG80" i="17"/>
  <c r="AF80" i="17"/>
  <c r="AG79" i="17"/>
  <c r="AF79" i="17"/>
  <c r="AE82" i="17"/>
  <c r="AD82" i="17"/>
  <c r="AE81" i="17"/>
  <c r="AD81" i="17"/>
  <c r="AE80" i="17"/>
  <c r="AD80" i="17"/>
  <c r="AE79" i="17"/>
  <c r="AD79" i="17"/>
  <c r="AC82" i="17"/>
  <c r="AB82" i="17"/>
  <c r="AC81" i="17"/>
  <c r="AB81" i="17"/>
  <c r="AC80" i="17"/>
  <c r="AB80" i="17"/>
  <c r="AC79" i="17"/>
  <c r="AB79" i="17"/>
  <c r="Z82" i="17"/>
  <c r="Z81" i="17"/>
  <c r="Z80" i="17"/>
  <c r="Z79" i="17"/>
  <c r="AA80" i="17"/>
  <c r="AA81" i="17"/>
  <c r="AA82" i="17"/>
  <c r="AA79" i="17"/>
  <c r="B161" i="72"/>
  <c r="C133" i="72"/>
  <c r="D133" i="72"/>
  <c r="E133" i="72"/>
  <c r="F133" i="72"/>
  <c r="G133" i="72"/>
  <c r="H133" i="72"/>
  <c r="I133" i="72"/>
  <c r="J133" i="72"/>
  <c r="K133" i="72"/>
  <c r="B133" i="72"/>
  <c r="M11" i="42"/>
  <c r="B54" i="5"/>
  <c r="B55" i="5"/>
  <c r="B53" i="5"/>
  <c r="E31" i="65"/>
  <c r="F41" i="65" s="1"/>
  <c r="E41" i="65"/>
  <c r="D32" i="65"/>
  <c r="D35" i="65" s="1"/>
  <c r="D31" i="65"/>
  <c r="C204" i="72"/>
  <c r="D204" i="72"/>
  <c r="E204" i="72"/>
  <c r="F204" i="72"/>
  <c r="G204" i="72"/>
  <c r="H204" i="72"/>
  <c r="I204" i="72"/>
  <c r="J204" i="72"/>
  <c r="K204" i="72"/>
  <c r="L204" i="72"/>
  <c r="M204" i="72"/>
  <c r="N204" i="72"/>
  <c r="O204" i="72"/>
  <c r="P204" i="72"/>
  <c r="Q204" i="72"/>
  <c r="R204" i="72"/>
  <c r="S204" i="72"/>
  <c r="T204" i="72"/>
  <c r="B204" i="72"/>
  <c r="L157" i="72"/>
  <c r="M157" i="72"/>
  <c r="N157" i="72"/>
  <c r="O157" i="72"/>
  <c r="P157" i="72"/>
  <c r="A32" i="72"/>
  <c r="X22" i="17"/>
  <c r="X20" i="17"/>
  <c r="X21" i="17"/>
  <c r="W31" i="17"/>
  <c r="I24" i="17"/>
  <c r="J24" i="17"/>
  <c r="K24" i="17"/>
  <c r="L24" i="17"/>
  <c r="M24" i="17"/>
  <c r="N24" i="17"/>
  <c r="O24" i="17"/>
  <c r="P24" i="17"/>
  <c r="Q24" i="17"/>
  <c r="R24" i="17"/>
  <c r="S24" i="17"/>
  <c r="T24" i="17"/>
  <c r="U24" i="17"/>
  <c r="V24" i="17"/>
  <c r="W24" i="17"/>
  <c r="X29" i="17"/>
  <c r="X30" i="17"/>
  <c r="C40" i="36"/>
  <c r="F4" i="4"/>
  <c r="D14" i="4" s="1"/>
  <c r="D15" i="4" s="1"/>
  <c r="K186" i="72"/>
  <c r="J186" i="72"/>
  <c r="I186" i="72"/>
  <c r="H186" i="72"/>
  <c r="G186" i="72"/>
  <c r="F186" i="72"/>
  <c r="E186" i="72"/>
  <c r="D186" i="72"/>
  <c r="C186" i="72"/>
  <c r="B186" i="72"/>
  <c r="T166" i="72"/>
  <c r="S166" i="72"/>
  <c r="R166" i="72"/>
  <c r="Q166" i="72"/>
  <c r="T165" i="72"/>
  <c r="S165" i="72"/>
  <c r="R165" i="72"/>
  <c r="Q165" i="72"/>
  <c r="K128" i="72"/>
  <c r="J128" i="72"/>
  <c r="I128" i="72"/>
  <c r="H128" i="72"/>
  <c r="G128" i="72"/>
  <c r="F128" i="72"/>
  <c r="E128" i="72"/>
  <c r="D128" i="72"/>
  <c r="E31" i="14"/>
  <c r="E19" i="14"/>
  <c r="E23" i="14"/>
  <c r="E41" i="14"/>
  <c r="E46" i="14" s="1"/>
  <c r="H4" i="14"/>
  <c r="G4" i="14"/>
  <c r="A208" i="72"/>
  <c r="A207" i="72"/>
  <c r="A206" i="72"/>
  <c r="A205" i="72"/>
  <c r="T198" i="72"/>
  <c r="T196" i="72" s="1"/>
  <c r="S198" i="72"/>
  <c r="S196" i="72" s="1"/>
  <c r="R198" i="72"/>
  <c r="R196" i="72" s="1"/>
  <c r="Q198" i="72"/>
  <c r="Q196" i="72" s="1"/>
  <c r="P198" i="72"/>
  <c r="P196" i="72" s="1"/>
  <c r="O198" i="72"/>
  <c r="O196" i="72" s="1"/>
  <c r="N198" i="72"/>
  <c r="N196" i="72" s="1"/>
  <c r="M198" i="72"/>
  <c r="M196" i="72" s="1"/>
  <c r="L198" i="72"/>
  <c r="L196" i="72" s="1"/>
  <c r="K198" i="72"/>
  <c r="K196" i="72" s="1"/>
  <c r="J198" i="72"/>
  <c r="J196" i="72" s="1"/>
  <c r="I198" i="72"/>
  <c r="I196" i="72" s="1"/>
  <c r="H198" i="72"/>
  <c r="H196" i="72" s="1"/>
  <c r="G198" i="72"/>
  <c r="G196" i="72" s="1"/>
  <c r="F198" i="72"/>
  <c r="F196" i="72" s="1"/>
  <c r="E198" i="72"/>
  <c r="E196" i="72" s="1"/>
  <c r="D198" i="72"/>
  <c r="D196" i="72" s="1"/>
  <c r="K164" i="72"/>
  <c r="K166" i="72" s="1"/>
  <c r="J164" i="72"/>
  <c r="J166" i="72" s="1"/>
  <c r="I164" i="72"/>
  <c r="I165" i="72" s="1"/>
  <c r="H164" i="72"/>
  <c r="H165" i="72" s="1"/>
  <c r="G164" i="72"/>
  <c r="G165" i="72" s="1"/>
  <c r="F164" i="72"/>
  <c r="F165" i="72" s="1"/>
  <c r="E164" i="72"/>
  <c r="E165" i="72" s="1"/>
  <c r="D164" i="72"/>
  <c r="D166" i="72" s="1"/>
  <c r="C164" i="72"/>
  <c r="C166" i="72" s="1"/>
  <c r="B164" i="72"/>
  <c r="B165" i="72" s="1"/>
  <c r="K163" i="72"/>
  <c r="J163" i="72"/>
  <c r="I163" i="72"/>
  <c r="H163" i="72"/>
  <c r="G163" i="72"/>
  <c r="F163" i="72"/>
  <c r="E163" i="72"/>
  <c r="D163" i="72"/>
  <c r="C163" i="72"/>
  <c r="B163" i="72"/>
  <c r="K162" i="72"/>
  <c r="K182" i="72" s="1"/>
  <c r="J162" i="72"/>
  <c r="J115" i="72" s="1"/>
  <c r="I162" i="72"/>
  <c r="I182" i="72" s="1"/>
  <c r="H162" i="72"/>
  <c r="H182" i="72" s="1"/>
  <c r="G162" i="72"/>
  <c r="G178" i="72" s="1"/>
  <c r="F162" i="72"/>
  <c r="F178" i="72" s="1"/>
  <c r="E162" i="72"/>
  <c r="E178" i="72" s="1"/>
  <c r="D162" i="72"/>
  <c r="C162" i="72"/>
  <c r="B162" i="72"/>
  <c r="T161" i="72"/>
  <c r="S161" i="72"/>
  <c r="R161" i="72"/>
  <c r="Q161" i="72"/>
  <c r="K161" i="72"/>
  <c r="J161" i="72"/>
  <c r="I161" i="72"/>
  <c r="H161" i="72"/>
  <c r="G161" i="72"/>
  <c r="F161" i="72"/>
  <c r="E161" i="72"/>
  <c r="D161" i="72"/>
  <c r="C161" i="72"/>
  <c r="K140" i="72"/>
  <c r="K142" i="72" s="1"/>
  <c r="K143" i="72" s="1"/>
  <c r="J140" i="72"/>
  <c r="J142" i="72" s="1"/>
  <c r="J143" i="72" s="1"/>
  <c r="I140" i="72"/>
  <c r="I142" i="72" s="1"/>
  <c r="I143" i="72" s="1"/>
  <c r="H140" i="72"/>
  <c r="H142" i="72" s="1"/>
  <c r="H143" i="72" s="1"/>
  <c r="G140" i="72"/>
  <c r="G142" i="72" s="1"/>
  <c r="G143" i="72" s="1"/>
  <c r="F140" i="72"/>
  <c r="F142" i="72" s="1"/>
  <c r="F143" i="72" s="1"/>
  <c r="E140" i="72"/>
  <c r="E142" i="72" s="1"/>
  <c r="E143" i="72" s="1"/>
  <c r="D140" i="72"/>
  <c r="D142" i="72" s="1"/>
  <c r="D143" i="72" s="1"/>
  <c r="K138" i="72"/>
  <c r="J138" i="72"/>
  <c r="I138" i="72"/>
  <c r="H138" i="72"/>
  <c r="G138" i="72"/>
  <c r="F138" i="72"/>
  <c r="E138" i="72"/>
  <c r="D138" i="72"/>
  <c r="C138" i="72"/>
  <c r="B138" i="72"/>
  <c r="K135" i="72"/>
  <c r="J135" i="72"/>
  <c r="I135" i="72"/>
  <c r="H135" i="72"/>
  <c r="G135" i="72"/>
  <c r="F135" i="72"/>
  <c r="E135" i="72"/>
  <c r="D135" i="72"/>
  <c r="C135" i="72"/>
  <c r="B135" i="72"/>
  <c r="K110" i="72"/>
  <c r="J110" i="72"/>
  <c r="I110" i="72"/>
  <c r="H110" i="72"/>
  <c r="G110" i="72"/>
  <c r="F110" i="72"/>
  <c r="E110" i="72"/>
  <c r="D110" i="72"/>
  <c r="C110" i="72"/>
  <c r="B110" i="72"/>
  <c r="K109" i="72"/>
  <c r="K123" i="72" s="1"/>
  <c r="K124" i="72" s="1"/>
  <c r="J109" i="72"/>
  <c r="J120" i="72" s="1"/>
  <c r="I109" i="72"/>
  <c r="I118" i="72" s="1"/>
  <c r="H109" i="72"/>
  <c r="H116" i="72" s="1"/>
  <c r="H117" i="72" s="1"/>
  <c r="H122" i="72" s="1"/>
  <c r="G109" i="72"/>
  <c r="G119" i="72" s="1"/>
  <c r="F109" i="72"/>
  <c r="F119" i="72" s="1"/>
  <c r="E109" i="72"/>
  <c r="E120" i="72" s="1"/>
  <c r="D109" i="72"/>
  <c r="D120" i="72" s="1"/>
  <c r="C109" i="72"/>
  <c r="B109" i="72"/>
  <c r="K108" i="72"/>
  <c r="K126" i="72" s="1"/>
  <c r="J108" i="72"/>
  <c r="J126" i="72" s="1"/>
  <c r="I108" i="72"/>
  <c r="I126" i="72" s="1"/>
  <c r="H108" i="72"/>
  <c r="H126" i="72" s="1"/>
  <c r="G108" i="72"/>
  <c r="G126" i="72" s="1"/>
  <c r="F108" i="72"/>
  <c r="F126" i="72" s="1"/>
  <c r="E108" i="72"/>
  <c r="E126" i="72" s="1"/>
  <c r="D108" i="72"/>
  <c r="D126" i="72" s="1"/>
  <c r="C108" i="72"/>
  <c r="C126" i="72" s="1"/>
  <c r="B108" i="72"/>
  <c r="B126" i="72" s="1"/>
  <c r="T101" i="72"/>
  <c r="S101" i="72"/>
  <c r="R101" i="72"/>
  <c r="Q101" i="72"/>
  <c r="T89" i="72"/>
  <c r="S89" i="72"/>
  <c r="R89" i="72"/>
  <c r="Q89" i="72"/>
  <c r="P89" i="72"/>
  <c r="O89" i="72"/>
  <c r="N89" i="72"/>
  <c r="M89" i="72"/>
  <c r="L89" i="72"/>
  <c r="K89" i="72"/>
  <c r="J89" i="72"/>
  <c r="I89" i="72"/>
  <c r="H89" i="72"/>
  <c r="G89" i="72"/>
  <c r="F89" i="72"/>
  <c r="E89" i="72"/>
  <c r="D89" i="72"/>
  <c r="C89" i="72"/>
  <c r="B89" i="72"/>
  <c r="T71" i="72"/>
  <c r="T102" i="72" s="1"/>
  <c r="T97" i="72" s="1"/>
  <c r="S71" i="72"/>
  <c r="S102" i="72" s="1"/>
  <c r="S97" i="72" s="1"/>
  <c r="R71" i="72"/>
  <c r="R102" i="72" s="1"/>
  <c r="R97" i="72" s="1"/>
  <c r="Q71" i="72"/>
  <c r="Q102" i="72" s="1"/>
  <c r="Q97" i="72" s="1"/>
  <c r="O71" i="72"/>
  <c r="N71" i="72"/>
  <c r="M71" i="72"/>
  <c r="L71" i="72"/>
  <c r="K71" i="72"/>
  <c r="J71" i="72"/>
  <c r="I71" i="72"/>
  <c r="H71" i="72"/>
  <c r="G71" i="72"/>
  <c r="F71" i="72"/>
  <c r="E71" i="72"/>
  <c r="D71" i="72"/>
  <c r="C71" i="72"/>
  <c r="B71" i="72"/>
  <c r="P67" i="72"/>
  <c r="AC67" i="72" s="1"/>
  <c r="W65" i="72"/>
  <c r="W62" i="72"/>
  <c r="W61" i="72"/>
  <c r="W60" i="72"/>
  <c r="W59" i="72"/>
  <c r="W58" i="72"/>
  <c r="K40" i="72"/>
  <c r="J40" i="72"/>
  <c r="I40" i="72"/>
  <c r="H40" i="72"/>
  <c r="G40" i="72"/>
  <c r="F40" i="72"/>
  <c r="E40" i="72"/>
  <c r="D40" i="72"/>
  <c r="C40" i="72"/>
  <c r="B40" i="72"/>
  <c r="A30" i="72"/>
  <c r="A29" i="72"/>
  <c r="A28" i="72"/>
  <c r="A27" i="72"/>
  <c r="T15" i="72"/>
  <c r="S15" i="72"/>
  <c r="R15" i="72"/>
  <c r="Q15" i="72"/>
  <c r="K15" i="72"/>
  <c r="J15" i="72"/>
  <c r="I15" i="72"/>
  <c r="H15" i="72"/>
  <c r="G15" i="72"/>
  <c r="F15" i="72"/>
  <c r="E15" i="72"/>
  <c r="D15" i="72"/>
  <c r="C15" i="72"/>
  <c r="B15" i="72"/>
  <c r="F115" i="72"/>
  <c r="D165" i="72"/>
  <c r="H115" i="72"/>
  <c r="E33" i="14"/>
  <c r="H178" i="72"/>
  <c r="E35" i="14"/>
  <c r="E36" i="14" s="1"/>
  <c r="E40" i="14" s="1"/>
  <c r="E42" i="14" s="1"/>
  <c r="C24" i="17"/>
  <c r="C27" i="17"/>
  <c r="E44" i="14"/>
  <c r="E47" i="14" s="1"/>
  <c r="D24" i="17"/>
  <c r="D27" i="17"/>
  <c r="E24" i="17"/>
  <c r="E27" i="17"/>
  <c r="F24" i="17"/>
  <c r="F27" i="17"/>
  <c r="H24" i="17"/>
  <c r="H27" i="17"/>
  <c r="G24" i="17"/>
  <c r="G27" i="17"/>
  <c r="B144" i="4"/>
  <c r="B142" i="4"/>
  <c r="D20" i="4"/>
  <c r="C10" i="4"/>
  <c r="C11" i="4" s="1"/>
  <c r="C12" i="4" s="1"/>
  <c r="B118" i="66"/>
  <c r="B98" i="66"/>
  <c r="B97" i="66"/>
  <c r="B94" i="66"/>
  <c r="B101" i="66" s="1"/>
  <c r="B85" i="66"/>
  <c r="B81" i="66"/>
  <c r="B77" i="66"/>
  <c r="B87" i="66"/>
  <c r="C43" i="66"/>
  <c r="B43" i="66"/>
  <c r="C39" i="66"/>
  <c r="B46" i="66"/>
  <c r="B39" i="66"/>
  <c r="B45" i="66"/>
  <c r="B17" i="66"/>
  <c r="B20" i="66" s="1"/>
  <c r="O4" i="64"/>
  <c r="N4" i="64"/>
  <c r="H5" i="57"/>
  <c r="G5" i="57"/>
  <c r="H4" i="55"/>
  <c r="G4" i="55"/>
  <c r="L5" i="54"/>
  <c r="K5" i="54"/>
  <c r="M5" i="52"/>
  <c r="L5" i="52"/>
  <c r="K5" i="51"/>
  <c r="J5" i="51"/>
  <c r="J5" i="50"/>
  <c r="I5" i="50"/>
  <c r="E4" i="49"/>
  <c r="D4" i="49"/>
  <c r="I4" i="46"/>
  <c r="H4" i="46"/>
  <c r="I4" i="45"/>
  <c r="H4" i="45"/>
  <c r="E4" i="44"/>
  <c r="D4" i="44"/>
  <c r="L5" i="43"/>
  <c r="K5" i="43"/>
  <c r="M5" i="42"/>
  <c r="L5" i="42"/>
  <c r="L5" i="41"/>
  <c r="K5" i="41"/>
  <c r="I5" i="39"/>
  <c r="H5" i="39"/>
  <c r="K5" i="38"/>
  <c r="J5" i="38"/>
  <c r="F5" i="37"/>
  <c r="E5" i="37"/>
  <c r="M5" i="36"/>
  <c r="L5" i="36"/>
  <c r="H5" i="35"/>
  <c r="G5" i="35"/>
  <c r="I5" i="34"/>
  <c r="H5" i="34"/>
  <c r="G5" i="31"/>
  <c r="F5" i="31"/>
  <c r="W5" i="21"/>
  <c r="V5" i="21"/>
  <c r="G5" i="16"/>
  <c r="F5" i="16"/>
  <c r="F5" i="15"/>
  <c r="E5" i="15"/>
  <c r="H4" i="66"/>
  <c r="G4" i="66"/>
  <c r="H5" i="53"/>
  <c r="G5" i="53"/>
  <c r="G5" i="33"/>
  <c r="F5" i="33"/>
  <c r="T24" i="64"/>
  <c r="AB19" i="64"/>
  <c r="D26" i="17"/>
  <c r="E26" i="17"/>
  <c r="F26" i="17"/>
  <c r="H26" i="17"/>
  <c r="G26" i="17"/>
  <c r="C26" i="17"/>
  <c r="B53" i="66"/>
  <c r="D24" i="69"/>
  <c r="M4" i="70"/>
  <c r="L4" i="70"/>
  <c r="AJ31" i="6"/>
  <c r="AJ33" i="6" s="1"/>
  <c r="AJ67" i="6" s="1"/>
  <c r="AJ26" i="6"/>
  <c r="D47" i="50"/>
  <c r="F47" i="50" s="1"/>
  <c r="H324" i="7"/>
  <c r="I324" i="7" s="1"/>
  <c r="H325" i="7"/>
  <c r="I325" i="7" s="1"/>
  <c r="H326" i="7"/>
  <c r="I326" i="7" s="1"/>
  <c r="H327" i="7"/>
  <c r="I327" i="7" s="1"/>
  <c r="F313" i="7"/>
  <c r="H313" i="7" s="1"/>
  <c r="I313" i="7" s="1"/>
  <c r="F314" i="7"/>
  <c r="H314" i="7" s="1"/>
  <c r="I314" i="7" s="1"/>
  <c r="F315" i="7"/>
  <c r="H315" i="7" s="1"/>
  <c r="I315" i="7" s="1"/>
  <c r="F316" i="7"/>
  <c r="H316" i="7" s="1"/>
  <c r="I316" i="7" s="1"/>
  <c r="F317" i="7"/>
  <c r="G318" i="7"/>
  <c r="E42" i="65"/>
  <c r="E40" i="65"/>
  <c r="B31" i="65"/>
  <c r="E39" i="65"/>
  <c r="E32" i="65"/>
  <c r="E35" i="65" s="1"/>
  <c r="F32" i="65"/>
  <c r="F35" i="65" s="1"/>
  <c r="E4" i="2"/>
  <c r="C6" i="61"/>
  <c r="O93" i="13"/>
  <c r="P93" i="13"/>
  <c r="Q93" i="13"/>
  <c r="R93" i="13"/>
  <c r="S93" i="13"/>
  <c r="T93" i="13"/>
  <c r="U93" i="13"/>
  <c r="V93" i="13"/>
  <c r="W93" i="13"/>
  <c r="X93" i="13"/>
  <c r="Y93" i="13"/>
  <c r="Z93" i="13"/>
  <c r="AA93" i="13"/>
  <c r="AB93" i="13"/>
  <c r="AC93" i="13"/>
  <c r="AD93" i="13"/>
  <c r="AE93" i="13"/>
  <c r="AF93" i="13"/>
  <c r="AG93" i="13"/>
  <c r="AH93" i="13"/>
  <c r="AI93" i="13"/>
  <c r="F93" i="13"/>
  <c r="G93" i="13"/>
  <c r="H93" i="13"/>
  <c r="I93" i="13"/>
  <c r="J93" i="13"/>
  <c r="K93" i="13"/>
  <c r="L93" i="13"/>
  <c r="M93" i="13"/>
  <c r="N93" i="13"/>
  <c r="E93" i="13"/>
  <c r="E17" i="12"/>
  <c r="L28" i="11"/>
  <c r="L29" i="11"/>
  <c r="L30" i="11"/>
  <c r="L31" i="11"/>
  <c r="L32" i="11"/>
  <c r="L33" i="11"/>
  <c r="L34" i="11"/>
  <c r="L35" i="11"/>
  <c r="L36" i="11"/>
  <c r="L37" i="11"/>
  <c r="L27" i="11"/>
  <c r="C28" i="11"/>
  <c r="D28" i="11" s="1"/>
  <c r="C29" i="11"/>
  <c r="D29" i="11" s="1"/>
  <c r="C30" i="11"/>
  <c r="D30" i="11" s="1"/>
  <c r="C31" i="11"/>
  <c r="D31" i="11" s="1"/>
  <c r="C32" i="11"/>
  <c r="D32" i="11" s="1"/>
  <c r="C33" i="11"/>
  <c r="D33" i="11" s="1"/>
  <c r="C34" i="11"/>
  <c r="D34" i="11" s="1"/>
  <c r="C35" i="11"/>
  <c r="D35" i="11" s="1"/>
  <c r="C36" i="11"/>
  <c r="D36" i="11" s="1"/>
  <c r="C37" i="11"/>
  <c r="D37" i="11" s="1"/>
  <c r="C27" i="11"/>
  <c r="D27" i="11" s="1"/>
  <c r="D15" i="69"/>
  <c r="H10" i="69"/>
  <c r="H4" i="69"/>
  <c r="G4" i="69"/>
  <c r="D40" i="69"/>
  <c r="D39" i="69"/>
  <c r="D37" i="69"/>
  <c r="D36" i="69"/>
  <c r="D35" i="69"/>
  <c r="D34" i="69"/>
  <c r="D33" i="69"/>
  <c r="D28" i="69"/>
  <c r="D27" i="69"/>
  <c r="D26" i="69"/>
  <c r="D25" i="69"/>
  <c r="D23" i="69"/>
  <c r="D22" i="69"/>
  <c r="D21" i="69"/>
  <c r="D20" i="69"/>
  <c r="D19" i="69"/>
  <c r="D18" i="69"/>
  <c r="D17" i="69"/>
  <c r="D16" i="69"/>
  <c r="E64" i="67"/>
  <c r="G64" i="67"/>
  <c r="E65" i="67"/>
  <c r="G65" i="67"/>
  <c r="E66" i="67"/>
  <c r="G66" i="67"/>
  <c r="E67" i="67"/>
  <c r="G67" i="67"/>
  <c r="E68" i="67"/>
  <c r="G68" i="67"/>
  <c r="E69" i="67"/>
  <c r="G69" i="67"/>
  <c r="E70" i="67"/>
  <c r="G70" i="67"/>
  <c r="E71" i="67"/>
  <c r="G71" i="67"/>
  <c r="E72" i="67"/>
  <c r="G72" i="67"/>
  <c r="E73" i="67"/>
  <c r="G73" i="67"/>
  <c r="E74" i="67"/>
  <c r="G74" i="67"/>
  <c r="E75" i="67"/>
  <c r="G75" i="67"/>
  <c r="E76" i="67"/>
  <c r="G76" i="67"/>
  <c r="E77" i="67"/>
  <c r="G77" i="67"/>
  <c r="E78" i="67"/>
  <c r="G78" i="67"/>
  <c r="E79" i="67"/>
  <c r="G79" i="67"/>
  <c r="E80" i="67"/>
  <c r="G80" i="67"/>
  <c r="E81" i="67"/>
  <c r="G81" i="67"/>
  <c r="E82" i="67"/>
  <c r="G82" i="67"/>
  <c r="E83" i="67"/>
  <c r="G83" i="67"/>
  <c r="E84" i="67"/>
  <c r="G84" i="67"/>
  <c r="E85" i="67"/>
  <c r="G85" i="67"/>
  <c r="E86" i="67"/>
  <c r="G86" i="67"/>
  <c r="E87" i="67"/>
  <c r="G87" i="67"/>
  <c r="E88" i="67"/>
  <c r="G88" i="67"/>
  <c r="E89" i="67"/>
  <c r="G89" i="67"/>
  <c r="E90" i="67"/>
  <c r="G90" i="67"/>
  <c r="E91" i="67"/>
  <c r="G91" i="67"/>
  <c r="E92" i="67"/>
  <c r="G92" i="67"/>
  <c r="E93" i="67"/>
  <c r="G93" i="67"/>
  <c r="E94" i="67"/>
  <c r="G94" i="67"/>
  <c r="E95" i="67"/>
  <c r="G95" i="67"/>
  <c r="E96" i="67"/>
  <c r="G96" i="67"/>
  <c r="E97" i="67"/>
  <c r="G97" i="67"/>
  <c r="E98" i="67"/>
  <c r="G98" i="67"/>
  <c r="E99" i="67"/>
  <c r="G99" i="67"/>
  <c r="E100" i="67"/>
  <c r="G100" i="67"/>
  <c r="E101" i="67"/>
  <c r="G101" i="67"/>
  <c r="E102" i="67"/>
  <c r="G102" i="67"/>
  <c r="E103" i="67"/>
  <c r="G103" i="67"/>
  <c r="E104" i="67"/>
  <c r="G104" i="67"/>
  <c r="E105" i="67"/>
  <c r="G105" i="67"/>
  <c r="E106" i="67"/>
  <c r="G106" i="67"/>
  <c r="E107" i="67"/>
  <c r="G107" i="67"/>
  <c r="E108" i="67"/>
  <c r="G108" i="67"/>
  <c r="E109" i="67"/>
  <c r="G109" i="67"/>
  <c r="E110" i="67"/>
  <c r="G110" i="67"/>
  <c r="E111" i="67"/>
  <c r="G111" i="67"/>
  <c r="E112" i="67"/>
  <c r="G112" i="67"/>
  <c r="E113" i="67"/>
  <c r="G113" i="67"/>
  <c r="E114" i="67"/>
  <c r="G114" i="67"/>
  <c r="E115" i="67"/>
  <c r="G115" i="67"/>
  <c r="E116" i="67"/>
  <c r="G116" i="67"/>
  <c r="E117" i="67"/>
  <c r="G117" i="67"/>
  <c r="E118" i="67"/>
  <c r="G118" i="67"/>
  <c r="E119" i="67"/>
  <c r="G119" i="67"/>
  <c r="E120" i="67"/>
  <c r="G120" i="67"/>
  <c r="E121" i="67"/>
  <c r="G121" i="67"/>
  <c r="E122" i="67"/>
  <c r="G122" i="67"/>
  <c r="E123" i="67"/>
  <c r="G123" i="67"/>
  <c r="G124" i="67"/>
  <c r="G125" i="67"/>
  <c r="D124" i="67"/>
  <c r="D125" i="67"/>
  <c r="D111" i="67"/>
  <c r="D112" i="67"/>
  <c r="D113" i="67"/>
  <c r="D114" i="67"/>
  <c r="D115" i="67"/>
  <c r="D116" i="67"/>
  <c r="D117" i="67"/>
  <c r="D118" i="67"/>
  <c r="D119" i="67"/>
  <c r="D120" i="67"/>
  <c r="D121" i="67"/>
  <c r="D122" i="67"/>
  <c r="D123" i="67"/>
  <c r="D79" i="67"/>
  <c r="D80" i="67"/>
  <c r="D81" i="67"/>
  <c r="D82" i="67"/>
  <c r="D83" i="67"/>
  <c r="D84" i="67"/>
  <c r="D85" i="67"/>
  <c r="D86" i="67"/>
  <c r="D87" i="67"/>
  <c r="D88" i="67"/>
  <c r="D89" i="67"/>
  <c r="D90" i="67"/>
  <c r="D91" i="67"/>
  <c r="D92" i="67"/>
  <c r="D93" i="67"/>
  <c r="D94" i="67"/>
  <c r="D95" i="67"/>
  <c r="D96" i="67"/>
  <c r="D97" i="67"/>
  <c r="D98" i="67"/>
  <c r="D99" i="67"/>
  <c r="D100" i="67"/>
  <c r="D101" i="67"/>
  <c r="D102" i="67"/>
  <c r="D103" i="67"/>
  <c r="D104" i="67"/>
  <c r="D105" i="67"/>
  <c r="D106" i="67"/>
  <c r="D107" i="67"/>
  <c r="D108" i="67"/>
  <c r="D109" i="67"/>
  <c r="D110" i="67"/>
  <c r="D65" i="67"/>
  <c r="D66" i="67"/>
  <c r="D67" i="67"/>
  <c r="D68" i="67"/>
  <c r="D69" i="67"/>
  <c r="D70" i="67"/>
  <c r="D71" i="67"/>
  <c r="D72" i="67"/>
  <c r="D73" i="67"/>
  <c r="D74" i="67"/>
  <c r="D75" i="67"/>
  <c r="D76" i="67"/>
  <c r="D77" i="67"/>
  <c r="D78" i="67"/>
  <c r="D64" i="67"/>
  <c r="BJ40" i="67"/>
  <c r="BJ41" i="67"/>
  <c r="BJ42" i="67"/>
  <c r="BJ43" i="67"/>
  <c r="BJ44" i="67"/>
  <c r="BJ45" i="67"/>
  <c r="BJ46" i="67"/>
  <c r="BJ47" i="67"/>
  <c r="BJ48" i="67"/>
  <c r="BJ49" i="67"/>
  <c r="BJ50" i="67"/>
  <c r="AL51" i="67"/>
  <c r="AL52" i="67"/>
  <c r="AL53" i="67"/>
  <c r="AL55" i="67"/>
  <c r="F100" i="67"/>
  <c r="AM51" i="67"/>
  <c r="AM52" i="67"/>
  <c r="AM53" i="67"/>
  <c r="AM55" i="67"/>
  <c r="F101" i="67"/>
  <c r="AN51" i="67"/>
  <c r="AN52" i="67"/>
  <c r="AN53" i="67"/>
  <c r="AN55" i="67"/>
  <c r="F102" i="67"/>
  <c r="AO51" i="67"/>
  <c r="AO52" i="67"/>
  <c r="AO53" i="67"/>
  <c r="AO55" i="67"/>
  <c r="F103" i="67"/>
  <c r="AP51" i="67"/>
  <c r="AP52" i="67"/>
  <c r="AP53" i="67"/>
  <c r="AP55" i="67"/>
  <c r="F104" i="67"/>
  <c r="AQ51" i="67"/>
  <c r="AQ52" i="67"/>
  <c r="AQ53" i="67"/>
  <c r="AQ55" i="67"/>
  <c r="F105" i="67"/>
  <c r="AR51" i="67"/>
  <c r="AR52" i="67"/>
  <c r="AS51" i="67"/>
  <c r="AS52" i="67"/>
  <c r="AT51" i="67"/>
  <c r="AT52" i="67"/>
  <c r="AT53" i="67"/>
  <c r="AT55" i="67"/>
  <c r="F108" i="67"/>
  <c r="AU51" i="67"/>
  <c r="AU52" i="67"/>
  <c r="AV51" i="67"/>
  <c r="AV52" i="67"/>
  <c r="AW51" i="67"/>
  <c r="AW52" i="67"/>
  <c r="AX51" i="67"/>
  <c r="AX52" i="67"/>
  <c r="AX53" i="67"/>
  <c r="AX55" i="67"/>
  <c r="F112" i="67"/>
  <c r="AY51" i="67"/>
  <c r="AY52" i="67"/>
  <c r="AY53" i="67"/>
  <c r="AY55" i="67"/>
  <c r="F113" i="67"/>
  <c r="AZ51" i="67"/>
  <c r="AZ52" i="67"/>
  <c r="BA51" i="67"/>
  <c r="BA52" i="67"/>
  <c r="BB51" i="67"/>
  <c r="BB52" i="67"/>
  <c r="BB53" i="67"/>
  <c r="BB55" i="67"/>
  <c r="F116" i="67"/>
  <c r="BC51" i="67"/>
  <c r="BC52" i="67"/>
  <c r="BC53" i="67"/>
  <c r="BC55" i="67"/>
  <c r="F117" i="67"/>
  <c r="BG51" i="67"/>
  <c r="BG52" i="67"/>
  <c r="BG53" i="67"/>
  <c r="BG55" i="67"/>
  <c r="F121" i="67"/>
  <c r="BD51" i="67"/>
  <c r="BD52" i="67"/>
  <c r="Y51" i="67"/>
  <c r="Y52" i="67"/>
  <c r="K51" i="67"/>
  <c r="K52" i="67"/>
  <c r="L51" i="67"/>
  <c r="M51" i="67"/>
  <c r="M52" i="67"/>
  <c r="N51" i="67"/>
  <c r="N52" i="67"/>
  <c r="N53" i="67"/>
  <c r="N55" i="67"/>
  <c r="F76" i="67"/>
  <c r="O51" i="67"/>
  <c r="O52" i="67"/>
  <c r="P51" i="67"/>
  <c r="P52" i="67"/>
  <c r="Q51" i="67"/>
  <c r="Q52" i="67"/>
  <c r="Q53" i="67"/>
  <c r="Q55" i="67"/>
  <c r="F79" i="67"/>
  <c r="R51" i="67"/>
  <c r="R52" i="67"/>
  <c r="S51" i="67"/>
  <c r="S52" i="67"/>
  <c r="T51" i="67"/>
  <c r="T52" i="67"/>
  <c r="U51" i="67"/>
  <c r="V51" i="67"/>
  <c r="V52" i="67"/>
  <c r="V53" i="67"/>
  <c r="V55" i="67"/>
  <c r="F84" i="67"/>
  <c r="W51" i="67"/>
  <c r="W52" i="67"/>
  <c r="X51" i="67"/>
  <c r="X52" i="67"/>
  <c r="X53" i="67"/>
  <c r="X55" i="67"/>
  <c r="F86" i="67"/>
  <c r="Z51" i="67"/>
  <c r="Z52" i="67"/>
  <c r="Z53" i="67"/>
  <c r="Z55" i="67"/>
  <c r="F88" i="67"/>
  <c r="AA51" i="67"/>
  <c r="AA52" i="67"/>
  <c r="AA53" i="67"/>
  <c r="AA55" i="67"/>
  <c r="F89" i="67"/>
  <c r="AB51" i="67"/>
  <c r="AB52" i="67"/>
  <c r="L52" i="67"/>
  <c r="L53" i="67"/>
  <c r="L55" i="67"/>
  <c r="F74" i="67"/>
  <c r="AC51" i="67"/>
  <c r="AC52" i="67"/>
  <c r="AD51" i="67"/>
  <c r="BJ39" i="67"/>
  <c r="AE51" i="67"/>
  <c r="AE52" i="67"/>
  <c r="F125" i="67"/>
  <c r="AU53" i="67"/>
  <c r="AU55" i="67"/>
  <c r="F109" i="67"/>
  <c r="AW53" i="67"/>
  <c r="AW55" i="67"/>
  <c r="F111" i="67"/>
  <c r="AV53" i="67"/>
  <c r="AV55" i="67"/>
  <c r="F110" i="67"/>
  <c r="BA53" i="67"/>
  <c r="BA55" i="67"/>
  <c r="F115" i="67"/>
  <c r="AS53" i="67"/>
  <c r="AS55" i="67"/>
  <c r="F107" i="67"/>
  <c r="AZ53" i="67"/>
  <c r="AZ55" i="67"/>
  <c r="F114" i="67"/>
  <c r="AR53" i="67"/>
  <c r="AR55" i="67"/>
  <c r="F106" i="67"/>
  <c r="BD53" i="67"/>
  <c r="BD55" i="67"/>
  <c r="F118" i="67"/>
  <c r="R53" i="67"/>
  <c r="R55" i="67"/>
  <c r="F80" i="67"/>
  <c r="P53" i="67"/>
  <c r="P55" i="67"/>
  <c r="F78" i="67"/>
  <c r="Y53" i="67"/>
  <c r="Y55" i="67"/>
  <c r="F87" i="67"/>
  <c r="M53" i="67"/>
  <c r="M55" i="67"/>
  <c r="F75" i="67"/>
  <c r="U52" i="67"/>
  <c r="U53" i="67"/>
  <c r="U55" i="67"/>
  <c r="F83" i="67"/>
  <c r="W53" i="67"/>
  <c r="W55" i="67"/>
  <c r="F85" i="67"/>
  <c r="O53" i="67"/>
  <c r="O55" i="67"/>
  <c r="F77" i="67"/>
  <c r="T53" i="67"/>
  <c r="T55" i="67"/>
  <c r="F82" i="67"/>
  <c r="AB53" i="67"/>
  <c r="AB55" i="67"/>
  <c r="F90" i="67"/>
  <c r="S53" i="67"/>
  <c r="S55" i="67"/>
  <c r="F81" i="67"/>
  <c r="K53" i="67"/>
  <c r="K55" i="67"/>
  <c r="F73" i="67"/>
  <c r="AC53" i="67"/>
  <c r="AC55" i="67"/>
  <c r="F91" i="67"/>
  <c r="AD52" i="67"/>
  <c r="AD53" i="67"/>
  <c r="AD55" i="67"/>
  <c r="F92" i="67"/>
  <c r="AE53" i="67"/>
  <c r="AE55" i="67"/>
  <c r="F93" i="67"/>
  <c r="BI51" i="67"/>
  <c r="BH51" i="67"/>
  <c r="BH52" i="67"/>
  <c r="BH53" i="67"/>
  <c r="BH55" i="67"/>
  <c r="F122" i="67"/>
  <c r="BF51" i="67"/>
  <c r="BF52" i="67"/>
  <c r="BE51" i="67"/>
  <c r="AK51" i="67"/>
  <c r="AJ51" i="67"/>
  <c r="AJ52" i="67"/>
  <c r="AI51" i="67"/>
  <c r="AH51" i="67"/>
  <c r="AH52" i="67"/>
  <c r="AG51" i="67"/>
  <c r="AG52" i="67"/>
  <c r="AF51" i="67"/>
  <c r="AF52" i="67"/>
  <c r="AF53" i="67"/>
  <c r="J51" i="67"/>
  <c r="J52" i="67"/>
  <c r="I51" i="67"/>
  <c r="I52" i="67"/>
  <c r="H51" i="67"/>
  <c r="G51" i="67"/>
  <c r="F51" i="67"/>
  <c r="E51" i="67"/>
  <c r="D51" i="67"/>
  <c r="D52" i="67"/>
  <c r="D53" i="67"/>
  <c r="D55" i="67"/>
  <c r="F66" i="67"/>
  <c r="C51" i="67"/>
  <c r="C52" i="67"/>
  <c r="B51" i="67"/>
  <c r="BK39" i="67"/>
  <c r="BK40" i="67"/>
  <c r="BK41" i="67"/>
  <c r="BK42" i="67"/>
  <c r="BK43" i="67"/>
  <c r="BK44" i="67"/>
  <c r="BK45" i="67"/>
  <c r="BK46" i="67"/>
  <c r="BK47" i="67"/>
  <c r="BK48" i="67"/>
  <c r="BK49" i="67"/>
  <c r="BK50" i="67"/>
  <c r="F24" i="67"/>
  <c r="F26" i="67"/>
  <c r="AF55" i="67"/>
  <c r="F94" i="67"/>
  <c r="B26" i="67"/>
  <c r="B25" i="67"/>
  <c r="AG53" i="67"/>
  <c r="AK52" i="67"/>
  <c r="AK53" i="67"/>
  <c r="AK55" i="67"/>
  <c r="F99" i="67"/>
  <c r="AH53" i="67"/>
  <c r="E52" i="67"/>
  <c r="E53" i="67"/>
  <c r="E55" i="67"/>
  <c r="F67" i="67"/>
  <c r="BI52" i="67"/>
  <c r="BI53" i="67"/>
  <c r="BI55" i="67"/>
  <c r="F123" i="67"/>
  <c r="F52" i="67"/>
  <c r="F53" i="67"/>
  <c r="F55" i="67"/>
  <c r="F68" i="67"/>
  <c r="I53" i="67"/>
  <c r="I55" i="67"/>
  <c r="F71" i="67"/>
  <c r="AJ53" i="67"/>
  <c r="H52" i="67"/>
  <c r="H53" i="67"/>
  <c r="H55" i="67"/>
  <c r="F70" i="67"/>
  <c r="J53" i="67"/>
  <c r="G52" i="67"/>
  <c r="G53" i="67"/>
  <c r="G55" i="67"/>
  <c r="F69" i="67"/>
  <c r="AI52" i="67"/>
  <c r="AI53" i="67"/>
  <c r="C53" i="67"/>
  <c r="C55" i="67"/>
  <c r="F65" i="67"/>
  <c r="BF53" i="67"/>
  <c r="BF55" i="67"/>
  <c r="F120" i="67"/>
  <c r="B52" i="67"/>
  <c r="BE52" i="67"/>
  <c r="BE53" i="67"/>
  <c r="BE55" i="67"/>
  <c r="F119" i="67"/>
  <c r="F124" i="67"/>
  <c r="B53" i="67"/>
  <c r="AJ55" i="67"/>
  <c r="F98" i="67"/>
  <c r="AI55" i="67"/>
  <c r="F97" i="67"/>
  <c r="AH55" i="67"/>
  <c r="F96" i="67"/>
  <c r="J55" i="67"/>
  <c r="F72" i="67"/>
  <c r="AG55" i="67"/>
  <c r="F95" i="67"/>
  <c r="B27" i="67"/>
  <c r="B31" i="67"/>
  <c r="B55" i="67"/>
  <c r="F64" i="67"/>
  <c r="G128" i="67"/>
  <c r="F11" i="67"/>
  <c r="F5" i="67"/>
  <c r="E5" i="67"/>
  <c r="C125" i="67"/>
  <c r="C117" i="67"/>
  <c r="C109" i="67"/>
  <c r="C101" i="67"/>
  <c r="C93" i="67"/>
  <c r="C85" i="67"/>
  <c r="C77" i="67"/>
  <c r="C69" i="67"/>
  <c r="C124" i="67"/>
  <c r="C92" i="67"/>
  <c r="C115" i="67"/>
  <c r="C83" i="67"/>
  <c r="C122" i="67"/>
  <c r="C114" i="67"/>
  <c r="C106" i="67"/>
  <c r="C98" i="67"/>
  <c r="C90" i="67"/>
  <c r="C82" i="67"/>
  <c r="C74" i="67"/>
  <c r="C66" i="67"/>
  <c r="C108" i="67"/>
  <c r="C68" i="67"/>
  <c r="C91" i="67"/>
  <c r="C121" i="67"/>
  <c r="C113" i="67"/>
  <c r="C105" i="67"/>
  <c r="C97" i="67"/>
  <c r="C89" i="67"/>
  <c r="C81" i="67"/>
  <c r="C73" i="67"/>
  <c r="C65" i="67"/>
  <c r="C64" i="67"/>
  <c r="C84" i="67"/>
  <c r="C123" i="67"/>
  <c r="C120" i="67"/>
  <c r="C112" i="67"/>
  <c r="C104" i="67"/>
  <c r="C96" i="67"/>
  <c r="C88" i="67"/>
  <c r="C80" i="67"/>
  <c r="C72" i="67"/>
  <c r="C100" i="67"/>
  <c r="C76" i="67"/>
  <c r="C99" i="67"/>
  <c r="C75" i="67"/>
  <c r="C119" i="67"/>
  <c r="C111" i="67"/>
  <c r="C103" i="67"/>
  <c r="C95" i="67"/>
  <c r="C87" i="67"/>
  <c r="C79" i="67"/>
  <c r="C71" i="67"/>
  <c r="C118" i="67"/>
  <c r="C110" i="67"/>
  <c r="C102" i="67"/>
  <c r="C94" i="67"/>
  <c r="C86" i="67"/>
  <c r="C78" i="67"/>
  <c r="C70" i="67"/>
  <c r="C116" i="67"/>
  <c r="C107" i="67"/>
  <c r="C67" i="67"/>
  <c r="C13" i="67"/>
  <c r="A50" i="67"/>
  <c r="A49" i="67"/>
  <c r="A48" i="67" s="1"/>
  <c r="A47" i="67" s="1"/>
  <c r="A46" i="67" s="1"/>
  <c r="A45" i="67" s="1"/>
  <c r="A44" i="67" s="1"/>
  <c r="A43" i="67" s="1"/>
  <c r="A42" i="67" s="1"/>
  <c r="A41" i="67" s="1"/>
  <c r="A40" i="67" s="1"/>
  <c r="A39" i="67" s="1"/>
  <c r="M19" i="65"/>
  <c r="M18" i="65"/>
  <c r="M17" i="65"/>
  <c r="M16" i="65"/>
  <c r="M15" i="65"/>
  <c r="H10" i="66"/>
  <c r="H10" i="65"/>
  <c r="H4" i="65"/>
  <c r="G4" i="65"/>
  <c r="F31" i="65"/>
  <c r="C31" i="65"/>
  <c r="B32" i="65"/>
  <c r="O11" i="64"/>
  <c r="C72" i="17"/>
  <c r="C28" i="17"/>
  <c r="C61" i="17"/>
  <c r="C63" i="17"/>
  <c r="C65" i="17" s="1"/>
  <c r="T11" i="11"/>
  <c r="AH31" i="6"/>
  <c r="AH33" i="6" s="1"/>
  <c r="J27" i="11"/>
  <c r="J21" i="11"/>
  <c r="O21" i="11" s="1"/>
  <c r="F56" i="12"/>
  <c r="G56" i="12"/>
  <c r="H56" i="12"/>
  <c r="I56" i="12"/>
  <c r="J56" i="12"/>
  <c r="K56" i="12"/>
  <c r="L56" i="12"/>
  <c r="M56" i="12"/>
  <c r="N56" i="12"/>
  <c r="O56" i="12"/>
  <c r="P56" i="12"/>
  <c r="Q56" i="12"/>
  <c r="R56" i="12"/>
  <c r="S56" i="12"/>
  <c r="T56" i="12"/>
  <c r="U56" i="12"/>
  <c r="V56" i="12"/>
  <c r="W56" i="12"/>
  <c r="X56" i="12"/>
  <c r="Y56" i="12"/>
  <c r="Z56" i="12"/>
  <c r="E56" i="12"/>
  <c r="C40" i="57"/>
  <c r="AS11" i="13"/>
  <c r="AS10" i="13"/>
  <c r="AS9" i="13"/>
  <c r="AS13" i="12"/>
  <c r="AS12" i="12"/>
  <c r="AS11" i="12"/>
  <c r="F39" i="12"/>
  <c r="F27" i="12"/>
  <c r="E8" i="11"/>
  <c r="D288" i="7"/>
  <c r="D279" i="7"/>
  <c r="D280" i="7"/>
  <c r="D281" i="7"/>
  <c r="D282" i="7"/>
  <c r="D283" i="7"/>
  <c r="D284" i="7"/>
  <c r="D285" i="7"/>
  <c r="D286" i="7"/>
  <c r="D287" i="7"/>
  <c r="D278" i="7"/>
  <c r="F116" i="7"/>
  <c r="F258" i="7" s="1"/>
  <c r="N48" i="64"/>
  <c r="M48" i="64"/>
  <c r="L48" i="64"/>
  <c r="K48" i="64"/>
  <c r="J48" i="64"/>
  <c r="I48" i="64"/>
  <c r="H48" i="64"/>
  <c r="G48" i="64"/>
  <c r="F48" i="64"/>
  <c r="E48" i="64"/>
  <c r="D48" i="64"/>
  <c r="C48" i="64"/>
  <c r="X46" i="64"/>
  <c r="AA44" i="64"/>
  <c r="Y43" i="64"/>
  <c r="X40" i="64"/>
  <c r="Y38" i="64"/>
  <c r="AA37" i="64"/>
  <c r="Y35" i="64"/>
  <c r="Z34" i="64"/>
  <c r="X29" i="64"/>
  <c r="Z28" i="64"/>
  <c r="N24" i="64"/>
  <c r="M24" i="64"/>
  <c r="L24" i="64"/>
  <c r="K24" i="64"/>
  <c r="J24" i="64"/>
  <c r="J50" i="64" s="1"/>
  <c r="J54" i="64" s="1"/>
  <c r="I24" i="64"/>
  <c r="H24" i="64"/>
  <c r="H50" i="64" s="1"/>
  <c r="H54" i="64" s="1"/>
  <c r="G24" i="64"/>
  <c r="F24" i="64"/>
  <c r="E24" i="64"/>
  <c r="D24" i="64"/>
  <c r="C24" i="64"/>
  <c r="C50" i="64" s="1"/>
  <c r="C54" i="64" s="1"/>
  <c r="Z23" i="64"/>
  <c r="AA22" i="64"/>
  <c r="C14" i="64"/>
  <c r="X31" i="64"/>
  <c r="Y31" i="64"/>
  <c r="Z31" i="64"/>
  <c r="AA31" i="64"/>
  <c r="X39" i="64"/>
  <c r="Y39" i="64"/>
  <c r="Z39" i="64"/>
  <c r="AA39" i="64"/>
  <c r="X47" i="64"/>
  <c r="Y47" i="64"/>
  <c r="Z47" i="64"/>
  <c r="AA47" i="64"/>
  <c r="X33" i="64"/>
  <c r="Y33" i="64"/>
  <c r="Z33" i="64"/>
  <c r="AA33" i="64"/>
  <c r="X41" i="64"/>
  <c r="Y41" i="64"/>
  <c r="Z41" i="64"/>
  <c r="AA41" i="64"/>
  <c r="AA32" i="64"/>
  <c r="Y32" i="64"/>
  <c r="Y40" i="64"/>
  <c r="Z40" i="64"/>
  <c r="X37" i="64"/>
  <c r="Z37" i="64"/>
  <c r="Z45" i="64"/>
  <c r="AA45" i="64"/>
  <c r="Y23" i="64"/>
  <c r="X23" i="64"/>
  <c r="AA23" i="64"/>
  <c r="D50" i="64"/>
  <c r="D54" i="64" s="1"/>
  <c r="L50" i="64"/>
  <c r="L54" i="64" s="1"/>
  <c r="F247" i="7"/>
  <c r="F123" i="7"/>
  <c r="G288" i="7" s="1"/>
  <c r="F122" i="7"/>
  <c r="F264" i="7" s="1"/>
  <c r="F120" i="7"/>
  <c r="G285" i="7" s="1"/>
  <c r="F119" i="7"/>
  <c r="F117" i="7"/>
  <c r="F118" i="7" s="1"/>
  <c r="F114" i="7"/>
  <c r="F256" i="7" s="1"/>
  <c r="F113" i="7"/>
  <c r="B60" i="17"/>
  <c r="B59" i="17"/>
  <c r="B58" i="17"/>
  <c r="B57" i="17"/>
  <c r="B56" i="17"/>
  <c r="B55" i="17"/>
  <c r="B54" i="17"/>
  <c r="B52" i="17"/>
  <c r="B53" i="17"/>
  <c r="L29" i="41"/>
  <c r="K29" i="41"/>
  <c r="J29" i="41"/>
  <c r="I29" i="41"/>
  <c r="H29" i="41"/>
  <c r="G29" i="41"/>
  <c r="F29" i="41"/>
  <c r="E29" i="41"/>
  <c r="D29" i="41"/>
  <c r="O76" i="11"/>
  <c r="Q76" i="11" s="1"/>
  <c r="C50" i="54"/>
  <c r="C51" i="54"/>
  <c r="C52" i="54"/>
  <c r="C53" i="54"/>
  <c r="C54" i="54"/>
  <c r="C55" i="54"/>
  <c r="C49" i="54"/>
  <c r="C38" i="54"/>
  <c r="C39" i="54"/>
  <c r="C40" i="54"/>
  <c r="C41" i="54"/>
  <c r="C42" i="54"/>
  <c r="C43" i="54"/>
  <c r="C37" i="54"/>
  <c r="C27" i="54"/>
  <c r="C28" i="54"/>
  <c r="C29" i="54"/>
  <c r="C30" i="54"/>
  <c r="C31" i="54"/>
  <c r="C32" i="54"/>
  <c r="C33" i="54"/>
  <c r="I38" i="54"/>
  <c r="I39" i="54"/>
  <c r="I40" i="54"/>
  <c r="I41" i="54"/>
  <c r="I42" i="54"/>
  <c r="I43" i="54"/>
  <c r="I37" i="54"/>
  <c r="I28" i="54"/>
  <c r="I29" i="54"/>
  <c r="I30" i="54"/>
  <c r="I31" i="54"/>
  <c r="I32" i="54"/>
  <c r="I33" i="54"/>
  <c r="I27" i="54"/>
  <c r="I18" i="54"/>
  <c r="I19" i="54"/>
  <c r="I20" i="54"/>
  <c r="I21" i="54"/>
  <c r="I22" i="54"/>
  <c r="I23" i="54"/>
  <c r="I17" i="54"/>
  <c r="J45" i="54"/>
  <c r="L15" i="54"/>
  <c r="L25" i="54"/>
  <c r="E54" i="54"/>
  <c r="G54" i="54"/>
  <c r="G53" i="54"/>
  <c r="E53" i="54"/>
  <c r="G52" i="54"/>
  <c r="E52" i="54"/>
  <c r="G51" i="54"/>
  <c r="E51" i="54"/>
  <c r="E55" i="54"/>
  <c r="G55" i="54"/>
  <c r="L35" i="54"/>
  <c r="G49" i="54"/>
  <c r="E49" i="54"/>
  <c r="G50" i="54"/>
  <c r="E50" i="54"/>
  <c r="I49" i="54"/>
  <c r="L45" i="54"/>
  <c r="D18" i="30"/>
  <c r="D38" i="30" s="1"/>
  <c r="X38" i="17"/>
  <c r="D41" i="13"/>
  <c r="K77" i="28"/>
  <c r="N77" i="28" s="1"/>
  <c r="K78" i="28"/>
  <c r="N78" i="28" s="1"/>
  <c r="K79" i="28"/>
  <c r="N79" i="28" s="1"/>
  <c r="K80" i="28"/>
  <c r="N80" i="28" s="1"/>
  <c r="K83" i="28"/>
  <c r="N83" i="28" s="1"/>
  <c r="K84" i="28"/>
  <c r="N84" i="28" s="1"/>
  <c r="K85" i="28"/>
  <c r="N85" i="28" s="1"/>
  <c r="K86" i="28"/>
  <c r="N86" i="28" s="1"/>
  <c r="K87" i="28"/>
  <c r="N87" i="28" s="1"/>
  <c r="K88" i="28"/>
  <c r="N88" i="28" s="1"/>
  <c r="K89" i="28"/>
  <c r="N89" i="28" s="1"/>
  <c r="K90" i="28"/>
  <c r="N90" i="28" s="1"/>
  <c r="K76" i="28"/>
  <c r="N76" i="28" s="1"/>
  <c r="K15" i="28"/>
  <c r="V15" i="28" s="1"/>
  <c r="G68" i="28"/>
  <c r="G69" i="28" s="1"/>
  <c r="D19" i="30"/>
  <c r="E19" i="30"/>
  <c r="D20" i="30"/>
  <c r="F20" i="30" s="1"/>
  <c r="D21" i="30"/>
  <c r="E21" i="30"/>
  <c r="D22" i="30"/>
  <c r="D23" i="30"/>
  <c r="F23" i="30" s="1"/>
  <c r="D24" i="30"/>
  <c r="F24" i="30" s="1"/>
  <c r="D25" i="30"/>
  <c r="F25" i="30" s="1"/>
  <c r="D26" i="30"/>
  <c r="D27" i="30"/>
  <c r="F27" i="30" s="1"/>
  <c r="D28" i="30"/>
  <c r="D29" i="30"/>
  <c r="D30" i="30"/>
  <c r="D31" i="30"/>
  <c r="F31" i="30" s="1"/>
  <c r="D32" i="30"/>
  <c r="D33" i="30"/>
  <c r="D34" i="30"/>
  <c r="D35" i="30"/>
  <c r="D36" i="30"/>
  <c r="D37" i="30"/>
  <c r="F37" i="30" s="1"/>
  <c r="E20" i="30"/>
  <c r="E22" i="30"/>
  <c r="F22" i="30" s="1"/>
  <c r="E23" i="30"/>
  <c r="E24" i="30"/>
  <c r="E25" i="30"/>
  <c r="E26" i="30"/>
  <c r="F26" i="30" s="1"/>
  <c r="E27" i="30"/>
  <c r="E28" i="30"/>
  <c r="E29" i="30"/>
  <c r="E30" i="30"/>
  <c r="F30" i="30" s="1"/>
  <c r="E31" i="30"/>
  <c r="E32" i="30"/>
  <c r="E33" i="30"/>
  <c r="E34" i="30"/>
  <c r="E35" i="30"/>
  <c r="E36" i="30"/>
  <c r="E37" i="30"/>
  <c r="F35" i="30"/>
  <c r="F32" i="30"/>
  <c r="F29" i="30"/>
  <c r="F34" i="30"/>
  <c r="F36" i="30"/>
  <c r="F33" i="30"/>
  <c r="F28" i="30"/>
  <c r="F21" i="30"/>
  <c r="F19" i="30"/>
  <c r="M51" i="52"/>
  <c r="A67" i="33"/>
  <c r="A69" i="33"/>
  <c r="A68" i="33"/>
  <c r="F66" i="33"/>
  <c r="F57" i="33"/>
  <c r="E57" i="49"/>
  <c r="E59" i="49"/>
  <c r="D57" i="49"/>
  <c r="E67" i="49"/>
  <c r="S5" i="11"/>
  <c r="C8" i="1"/>
  <c r="W13" i="72" s="1"/>
  <c r="AC22" i="72" s="1"/>
  <c r="J15" i="54"/>
  <c r="A37" i="54" s="1"/>
  <c r="E18" i="11"/>
  <c r="G20" i="26"/>
  <c r="G21" i="26" s="1"/>
  <c r="G35" i="26" s="1"/>
  <c r="G24" i="26"/>
  <c r="G23" i="26" s="1"/>
  <c r="A4" i="10"/>
  <c r="A94" i="10" s="1"/>
  <c r="D6" i="10"/>
  <c r="E6" i="10" s="1"/>
  <c r="I31" i="17"/>
  <c r="K31" i="17"/>
  <c r="L31" i="17"/>
  <c r="M31" i="17"/>
  <c r="N31" i="17"/>
  <c r="O31" i="17"/>
  <c r="P31" i="17"/>
  <c r="I61" i="17"/>
  <c r="X37" i="17"/>
  <c r="D113" i="10"/>
  <c r="D99" i="10"/>
  <c r="E111" i="10"/>
  <c r="G84" i="10"/>
  <c r="F84" i="10"/>
  <c r="E84" i="10"/>
  <c r="D84" i="10"/>
  <c r="G73" i="10"/>
  <c r="F73" i="10"/>
  <c r="E73" i="10"/>
  <c r="D73" i="10"/>
  <c r="G43" i="10"/>
  <c r="F43" i="10"/>
  <c r="E43" i="10"/>
  <c r="D43" i="10"/>
  <c r="E75" i="10"/>
  <c r="E77" i="10"/>
  <c r="E86" i="10" s="1"/>
  <c r="G75" i="10"/>
  <c r="D75" i="10"/>
  <c r="D77" i="10"/>
  <c r="D86" i="10" s="1"/>
  <c r="F75" i="10"/>
  <c r="E104" i="10"/>
  <c r="E107" i="10"/>
  <c r="E110" i="10"/>
  <c r="E103" i="10"/>
  <c r="E106" i="10"/>
  <c r="E109" i="10"/>
  <c r="E102" i="10"/>
  <c r="E113" i="10"/>
  <c r="E105" i="10"/>
  <c r="E108" i="10"/>
  <c r="Q31" i="17"/>
  <c r="D61" i="17"/>
  <c r="E61" i="17"/>
  <c r="F61" i="17"/>
  <c r="G61" i="17"/>
  <c r="H61" i="17"/>
  <c r="F99" i="10"/>
  <c r="F103" i="10"/>
  <c r="G77" i="10"/>
  <c r="G86" i="10" s="1"/>
  <c r="F77" i="10"/>
  <c r="F86" i="10" s="1"/>
  <c r="F106" i="10"/>
  <c r="F110" i="10"/>
  <c r="F108" i="10"/>
  <c r="F105" i="10"/>
  <c r="F72" i="17"/>
  <c r="F28" i="17"/>
  <c r="H72" i="17"/>
  <c r="H28" i="17"/>
  <c r="E72" i="17"/>
  <c r="E28" i="17"/>
  <c r="G72" i="17"/>
  <c r="G28" i="17"/>
  <c r="D72" i="17"/>
  <c r="D28" i="17"/>
  <c r="F63" i="17"/>
  <c r="F65" i="17" s="1"/>
  <c r="D63" i="17"/>
  <c r="D65" i="17" s="1"/>
  <c r="G63" i="17"/>
  <c r="G65" i="17" s="1"/>
  <c r="E63" i="17"/>
  <c r="E65" i="17" s="1"/>
  <c r="H63" i="17"/>
  <c r="H65" i="17" s="1"/>
  <c r="F111" i="10"/>
  <c r="F107" i="10"/>
  <c r="F102" i="10"/>
  <c r="F113" i="10"/>
  <c r="F104" i="10"/>
  <c r="F109" i="10"/>
  <c r="K49" i="52"/>
  <c r="E49" i="52"/>
  <c r="A46" i="17"/>
  <c r="A8" i="17"/>
  <c r="X16" i="17"/>
  <c r="B17" i="17"/>
  <c r="X17" i="17"/>
  <c r="B18" i="17"/>
  <c r="X18" i="17"/>
  <c r="X19" i="17"/>
  <c r="S31" i="17"/>
  <c r="S46" i="17"/>
  <c r="T31" i="17"/>
  <c r="T46" i="17"/>
  <c r="V31" i="17"/>
  <c r="V46" i="17"/>
  <c r="I46" i="17"/>
  <c r="Q46" i="17"/>
  <c r="X32" i="17"/>
  <c r="X33" i="17"/>
  <c r="X34" i="17"/>
  <c r="X35" i="17"/>
  <c r="X36" i="17"/>
  <c r="X39" i="17"/>
  <c r="X40" i="17"/>
  <c r="X41" i="17"/>
  <c r="X42" i="17"/>
  <c r="X43" i="17"/>
  <c r="X44" i="17"/>
  <c r="X45" i="17"/>
  <c r="X49" i="17"/>
  <c r="X50" i="17"/>
  <c r="X51" i="17"/>
  <c r="X52" i="17"/>
  <c r="X53" i="17"/>
  <c r="X54" i="17"/>
  <c r="X55" i="17"/>
  <c r="X56" i="17"/>
  <c r="X57" i="17"/>
  <c r="X58" i="17"/>
  <c r="X59" i="17"/>
  <c r="X60" i="17"/>
  <c r="W46" i="17"/>
  <c r="U31" i="17"/>
  <c r="U46" i="17"/>
  <c r="J31" i="17"/>
  <c r="X61" i="17"/>
  <c r="R31" i="17"/>
  <c r="R46" i="17"/>
  <c r="K46" i="17"/>
  <c r="N46" i="17"/>
  <c r="F11" i="37"/>
  <c r="C13" i="37" s="1"/>
  <c r="C21" i="37" s="1"/>
  <c r="F28" i="37"/>
  <c r="F15" i="37"/>
  <c r="M46" i="17"/>
  <c r="P46" i="17"/>
  <c r="J46" i="17"/>
  <c r="L46" i="17"/>
  <c r="O46" i="17"/>
  <c r="F30" i="37"/>
  <c r="F54" i="13"/>
  <c r="G54" i="13"/>
  <c r="H54" i="13"/>
  <c r="I54" i="13"/>
  <c r="J54" i="13"/>
  <c r="K54" i="13"/>
  <c r="L54" i="13"/>
  <c r="M54" i="13"/>
  <c r="N54" i="13"/>
  <c r="E54" i="13"/>
  <c r="K11" i="51"/>
  <c r="E328" i="7"/>
  <c r="E33" i="7" s="1"/>
  <c r="A29" i="8" s="1"/>
  <c r="A158" i="7"/>
  <c r="A208" i="7"/>
  <c r="C229" i="7"/>
  <c r="E229" i="7"/>
  <c r="F229" i="7"/>
  <c r="G229" i="7"/>
  <c r="H229" i="7"/>
  <c r="B229" i="7"/>
  <c r="D206" i="7"/>
  <c r="E206" i="7"/>
  <c r="F206" i="7"/>
  <c r="G206" i="7"/>
  <c r="A210" i="7"/>
  <c r="A211" i="7"/>
  <c r="A212" i="7"/>
  <c r="A213" i="7"/>
  <c r="A214" i="7"/>
  <c r="A215" i="7"/>
  <c r="A216" i="7"/>
  <c r="A217" i="7"/>
  <c r="A218" i="7"/>
  <c r="A219" i="7"/>
  <c r="A220" i="7"/>
  <c r="A221" i="7"/>
  <c r="A222" i="7"/>
  <c r="A223" i="7"/>
  <c r="A224" i="7"/>
  <c r="A225" i="7"/>
  <c r="A226" i="7"/>
  <c r="A227" i="7"/>
  <c r="A228" i="7"/>
  <c r="A209" i="7"/>
  <c r="A186" i="7"/>
  <c r="A191" i="7"/>
  <c r="A192" i="7"/>
  <c r="A193" i="7"/>
  <c r="A194" i="7"/>
  <c r="A195" i="7"/>
  <c r="A196" i="7"/>
  <c r="A197" i="7"/>
  <c r="A198" i="7"/>
  <c r="A199" i="7"/>
  <c r="A200" i="7"/>
  <c r="A201" i="7"/>
  <c r="A202" i="7"/>
  <c r="A203" i="7"/>
  <c r="A204" i="7"/>
  <c r="A205" i="7"/>
  <c r="F163" i="7"/>
  <c r="I189" i="7" s="1"/>
  <c r="H189" i="7" s="1"/>
  <c r="F162" i="7"/>
  <c r="I188" i="7" s="1"/>
  <c r="H188" i="7" s="1"/>
  <c r="F161" i="7"/>
  <c r="I187" i="7" s="1"/>
  <c r="H187" i="7" s="1"/>
  <c r="A187" i="7"/>
  <c r="A188" i="7"/>
  <c r="A189" i="7"/>
  <c r="A190" i="7"/>
  <c r="H323" i="7"/>
  <c r="I323" i="7" s="1"/>
  <c r="H322" i="7"/>
  <c r="I322" i="7" s="1"/>
  <c r="C9" i="1"/>
  <c r="J28" i="11"/>
  <c r="J29" i="11"/>
  <c r="J30" i="11"/>
  <c r="J31" i="11"/>
  <c r="J32" i="11"/>
  <c r="J33" i="11"/>
  <c r="J34" i="11"/>
  <c r="J35" i="11"/>
  <c r="I50" i="11"/>
  <c r="I51" i="11"/>
  <c r="I49" i="11"/>
  <c r="O86" i="12"/>
  <c r="P86" i="12"/>
  <c r="Q86" i="12"/>
  <c r="R86" i="12"/>
  <c r="S86" i="12"/>
  <c r="T86" i="12"/>
  <c r="U86" i="12"/>
  <c r="V86" i="12"/>
  <c r="W86" i="12"/>
  <c r="X86" i="12"/>
  <c r="E33" i="32"/>
  <c r="AJ115" i="13"/>
  <c r="Z25" i="13"/>
  <c r="AA103" i="13"/>
  <c r="AA142" i="13" s="1"/>
  <c r="AB103" i="13"/>
  <c r="AB142" i="13" s="1"/>
  <c r="AC103" i="13"/>
  <c r="AC142" i="13" s="1"/>
  <c r="AD103" i="13"/>
  <c r="AD142" i="13"/>
  <c r="AE103" i="13"/>
  <c r="AE142" i="13" s="1"/>
  <c r="AF103" i="13"/>
  <c r="AF142" i="13" s="1"/>
  <c r="AG103" i="13"/>
  <c r="AG142" i="13" s="1"/>
  <c r="AH103" i="13"/>
  <c r="AH142" i="13" s="1"/>
  <c r="AI103" i="13"/>
  <c r="AI142" i="13" s="1"/>
  <c r="Z103" i="13"/>
  <c r="Z106" i="13" s="1"/>
  <c r="Z58" i="12"/>
  <c r="Z80" i="12"/>
  <c r="AA80" i="12"/>
  <c r="AB80" i="12"/>
  <c r="AC80" i="12"/>
  <c r="AD80" i="12"/>
  <c r="AE80" i="12"/>
  <c r="AF80" i="12"/>
  <c r="AG80" i="12"/>
  <c r="AH80" i="12"/>
  <c r="AI80" i="12"/>
  <c r="AA58" i="12"/>
  <c r="AB58" i="12"/>
  <c r="AC58" i="12"/>
  <c r="AD58" i="12"/>
  <c r="AE58" i="12"/>
  <c r="AF58" i="12"/>
  <c r="AG58" i="12"/>
  <c r="AH58" i="12"/>
  <c r="AI58" i="12"/>
  <c r="O63" i="13"/>
  <c r="O139" i="13"/>
  <c r="P63" i="13"/>
  <c r="P139" i="13"/>
  <c r="Q63" i="13"/>
  <c r="Q139" i="13"/>
  <c r="R63" i="13"/>
  <c r="R139" i="13"/>
  <c r="S63" i="13"/>
  <c r="S139" i="13"/>
  <c r="T63" i="13"/>
  <c r="T139" i="13"/>
  <c r="U63" i="13"/>
  <c r="U139" i="13"/>
  <c r="V63" i="13"/>
  <c r="V139" i="13"/>
  <c r="W63" i="13"/>
  <c r="W139" i="13"/>
  <c r="X63" i="13"/>
  <c r="X139" i="13"/>
  <c r="Y63" i="13"/>
  <c r="Y139" i="13"/>
  <c r="Z63" i="13"/>
  <c r="Z139" i="13"/>
  <c r="AA63" i="13"/>
  <c r="AA139" i="13"/>
  <c r="AB63" i="13"/>
  <c r="AB139" i="13"/>
  <c r="AC63" i="13"/>
  <c r="AC139" i="13"/>
  <c r="AD63" i="13"/>
  <c r="AD139" i="13"/>
  <c r="AE63" i="13"/>
  <c r="AE139" i="13"/>
  <c r="AF63" i="13"/>
  <c r="AG63" i="13"/>
  <c r="AG139" i="13"/>
  <c r="AH63" i="13"/>
  <c r="AH139" i="13"/>
  <c r="AI63" i="13"/>
  <c r="AI139" i="13"/>
  <c r="E25" i="13"/>
  <c r="E63" i="13"/>
  <c r="E139" i="13"/>
  <c r="AG25" i="13"/>
  <c r="AG140" i="13"/>
  <c r="AH25" i="13"/>
  <c r="AH140" i="13"/>
  <c r="AI25" i="13"/>
  <c r="AI140" i="13"/>
  <c r="AF25" i="13"/>
  <c r="AF140" i="13"/>
  <c r="AE25" i="13"/>
  <c r="AE140" i="13"/>
  <c r="AD25" i="13"/>
  <c r="AD140" i="13"/>
  <c r="AC25" i="13"/>
  <c r="AC140" i="13"/>
  <c r="AB25" i="13"/>
  <c r="AB140" i="13"/>
  <c r="AA25" i="13"/>
  <c r="Y25" i="13"/>
  <c r="X25" i="13"/>
  <c r="W25" i="13"/>
  <c r="V25" i="13"/>
  <c r="U25" i="13"/>
  <c r="T25" i="13"/>
  <c r="T31" i="13"/>
  <c r="S25" i="13"/>
  <c r="R25" i="13"/>
  <c r="Q25" i="13"/>
  <c r="P25" i="13"/>
  <c r="O25" i="13"/>
  <c r="O31" i="13"/>
  <c r="O94" i="13"/>
  <c r="N25" i="13"/>
  <c r="M25" i="13"/>
  <c r="L25" i="13"/>
  <c r="K25" i="13"/>
  <c r="J25" i="13"/>
  <c r="I25" i="13"/>
  <c r="H25" i="13"/>
  <c r="G25" i="13"/>
  <c r="F25" i="13"/>
  <c r="S27" i="12"/>
  <c r="S87" i="12"/>
  <c r="Z39" i="12"/>
  <c r="Z86" i="12"/>
  <c r="AA39" i="12"/>
  <c r="AA86" i="12"/>
  <c r="AB39" i="12"/>
  <c r="AB86" i="12"/>
  <c r="AC39" i="12"/>
  <c r="AC86" i="12"/>
  <c r="AD39" i="12"/>
  <c r="AD86" i="12"/>
  <c r="AE39" i="12"/>
  <c r="AE86" i="12"/>
  <c r="AF39" i="12"/>
  <c r="AF86" i="12"/>
  <c r="AG39" i="12"/>
  <c r="AG86" i="12"/>
  <c r="AH39" i="12"/>
  <c r="AH86" i="12"/>
  <c r="AI39" i="12"/>
  <c r="AI86" i="12"/>
  <c r="AI90" i="12"/>
  <c r="Z27" i="12"/>
  <c r="Z87" i="12"/>
  <c r="AA27" i="12"/>
  <c r="AA87" i="12"/>
  <c r="AB27" i="12"/>
  <c r="AC27" i="12"/>
  <c r="AC87" i="12"/>
  <c r="AD27" i="12"/>
  <c r="AD87" i="12"/>
  <c r="AE27" i="12"/>
  <c r="AE34" i="12"/>
  <c r="AF27" i="12"/>
  <c r="AF34" i="12"/>
  <c r="AG27" i="12"/>
  <c r="AH27" i="12"/>
  <c r="AH87" i="12"/>
  <c r="AI27" i="12"/>
  <c r="AI87" i="12"/>
  <c r="C34" i="57"/>
  <c r="D34" i="57"/>
  <c r="E34" i="57"/>
  <c r="C35" i="57"/>
  <c r="D35" i="57"/>
  <c r="E35" i="57"/>
  <c r="C36" i="57"/>
  <c r="D36" i="57"/>
  <c r="E36" i="57"/>
  <c r="C37" i="57"/>
  <c r="D37" i="57"/>
  <c r="E37" i="57"/>
  <c r="D33" i="57"/>
  <c r="E33" i="57"/>
  <c r="C33" i="57"/>
  <c r="J30" i="50"/>
  <c r="F17" i="13"/>
  <c r="G17" i="13"/>
  <c r="H17" i="13"/>
  <c r="I17" i="13"/>
  <c r="J17" i="13"/>
  <c r="K17" i="13"/>
  <c r="L17" i="13"/>
  <c r="M17" i="13"/>
  <c r="N17" i="13"/>
  <c r="E17" i="13"/>
  <c r="F17" i="12"/>
  <c r="G17" i="12"/>
  <c r="H17" i="12"/>
  <c r="I17" i="12"/>
  <c r="J17" i="12"/>
  <c r="K17" i="12"/>
  <c r="L17" i="12"/>
  <c r="M17" i="12"/>
  <c r="N17" i="12"/>
  <c r="A66" i="49"/>
  <c r="A65" i="49"/>
  <c r="A64" i="49"/>
  <c r="E49" i="49"/>
  <c r="D49" i="49"/>
  <c r="E41" i="49"/>
  <c r="E43" i="49"/>
  <c r="D41" i="49"/>
  <c r="E44" i="57"/>
  <c r="D44" i="57"/>
  <c r="D43" i="57"/>
  <c r="E41" i="57"/>
  <c r="D41" i="57"/>
  <c r="E40" i="57"/>
  <c r="C44" i="57"/>
  <c r="C42" i="57"/>
  <c r="E43" i="57"/>
  <c r="C43" i="57"/>
  <c r="E42" i="57"/>
  <c r="D42" i="57"/>
  <c r="C41" i="57"/>
  <c r="D40" i="57"/>
  <c r="AC9" i="6"/>
  <c r="AA9" i="6" s="1"/>
  <c r="Y9" i="6" s="1"/>
  <c r="W9" i="6" s="1"/>
  <c r="U9" i="6" s="1"/>
  <c r="S9" i="6" s="1"/>
  <c r="Q9" i="6" s="1"/>
  <c r="O9" i="6" s="1"/>
  <c r="M9" i="6" s="1"/>
  <c r="K9" i="6" s="1"/>
  <c r="I9" i="6" s="1"/>
  <c r="G9" i="6" s="1"/>
  <c r="AA38" i="6" s="1"/>
  <c r="B126" i="9"/>
  <c r="B125" i="9"/>
  <c r="B124" i="9"/>
  <c r="I119" i="9"/>
  <c r="H119" i="9"/>
  <c r="G119" i="9"/>
  <c r="F119" i="9"/>
  <c r="E119" i="9"/>
  <c r="D119" i="9"/>
  <c r="C119" i="9"/>
  <c r="B119" i="9"/>
  <c r="I118" i="9"/>
  <c r="H118" i="9"/>
  <c r="G118" i="9"/>
  <c r="F118" i="9"/>
  <c r="E118" i="9"/>
  <c r="D118" i="9"/>
  <c r="C118" i="9"/>
  <c r="B118" i="9"/>
  <c r="I117" i="9"/>
  <c r="H117" i="9"/>
  <c r="G117" i="9"/>
  <c r="F117" i="9"/>
  <c r="E117" i="9"/>
  <c r="D117" i="9"/>
  <c r="C117" i="9"/>
  <c r="B117" i="9"/>
  <c r="I116" i="9"/>
  <c r="H116" i="9"/>
  <c r="G116" i="9"/>
  <c r="F116" i="9"/>
  <c r="E116" i="9"/>
  <c r="D116" i="9"/>
  <c r="C116" i="9"/>
  <c r="B116" i="9"/>
  <c r="I109" i="9"/>
  <c r="H109" i="9"/>
  <c r="G109" i="9"/>
  <c r="F109" i="9"/>
  <c r="E109" i="9"/>
  <c r="D109" i="9"/>
  <c r="C109" i="9"/>
  <c r="B109" i="9"/>
  <c r="I103" i="9"/>
  <c r="H103" i="9"/>
  <c r="G103" i="9"/>
  <c r="F103" i="9"/>
  <c r="E103" i="9"/>
  <c r="D103" i="9"/>
  <c r="C103" i="9"/>
  <c r="B103" i="9"/>
  <c r="I94" i="9"/>
  <c r="H94" i="9"/>
  <c r="G94" i="9"/>
  <c r="F94" i="9"/>
  <c r="E94" i="9"/>
  <c r="D94" i="9"/>
  <c r="C94" i="9"/>
  <c r="B94" i="9"/>
  <c r="I80" i="9"/>
  <c r="I81" i="9"/>
  <c r="I120" i="9"/>
  <c r="H80" i="9"/>
  <c r="H81" i="9"/>
  <c r="H120" i="9"/>
  <c r="G80" i="9"/>
  <c r="G81" i="9"/>
  <c r="G120" i="9"/>
  <c r="F80" i="9"/>
  <c r="F81" i="9"/>
  <c r="F120" i="9"/>
  <c r="E80" i="9"/>
  <c r="E81" i="9"/>
  <c r="E120" i="9"/>
  <c r="D80" i="9"/>
  <c r="D81" i="9"/>
  <c r="D120" i="9"/>
  <c r="C80" i="9"/>
  <c r="C81" i="9"/>
  <c r="C120" i="9"/>
  <c r="B80" i="9"/>
  <c r="B81" i="9"/>
  <c r="B120" i="9"/>
  <c r="L79" i="9"/>
  <c r="J79" i="9"/>
  <c r="I78" i="9"/>
  <c r="H78" i="9"/>
  <c r="G78" i="9"/>
  <c r="F78" i="9"/>
  <c r="E78" i="9"/>
  <c r="D78" i="9"/>
  <c r="C78" i="9"/>
  <c r="B78" i="9"/>
  <c r="B75" i="9"/>
  <c r="L74" i="9"/>
  <c r="L60" i="9"/>
  <c r="I59" i="9"/>
  <c r="H59" i="9"/>
  <c r="G59" i="9"/>
  <c r="F59" i="9"/>
  <c r="E59" i="9"/>
  <c r="D59" i="9"/>
  <c r="C59" i="9"/>
  <c r="B59" i="9"/>
  <c r="B56" i="9"/>
  <c r="L55" i="9"/>
  <c r="L42" i="9"/>
  <c r="I41" i="9"/>
  <c r="H41" i="9"/>
  <c r="G41" i="9"/>
  <c r="F41" i="9"/>
  <c r="E41" i="9"/>
  <c r="D41" i="9"/>
  <c r="C41" i="9"/>
  <c r="B41" i="9"/>
  <c r="B37" i="9"/>
  <c r="B38" i="9"/>
  <c r="B39" i="9"/>
  <c r="L36" i="9"/>
  <c r="I27" i="9"/>
  <c r="H27" i="9"/>
  <c r="G27" i="9"/>
  <c r="F27" i="9"/>
  <c r="E27" i="9"/>
  <c r="D27" i="9"/>
  <c r="C27" i="9"/>
  <c r="B27" i="9"/>
  <c r="J26" i="9"/>
  <c r="I25" i="9"/>
  <c r="H25" i="9"/>
  <c r="G25" i="9"/>
  <c r="F25" i="9"/>
  <c r="E25" i="9"/>
  <c r="D25" i="9"/>
  <c r="C25" i="9"/>
  <c r="B25" i="9"/>
  <c r="J18" i="9"/>
  <c r="B19" i="9"/>
  <c r="B20" i="9"/>
  <c r="N72" i="13"/>
  <c r="M72" i="13"/>
  <c r="L72" i="13"/>
  <c r="K72" i="13"/>
  <c r="J72" i="13"/>
  <c r="I72" i="13"/>
  <c r="H72" i="13"/>
  <c r="G72" i="13"/>
  <c r="F72" i="13"/>
  <c r="E72" i="13"/>
  <c r="E17" i="2"/>
  <c r="J5" i="9"/>
  <c r="I5" i="9"/>
  <c r="T121" i="28"/>
  <c r="F289" i="7"/>
  <c r="H92" i="28"/>
  <c r="O75" i="28"/>
  <c r="N75" i="28"/>
  <c r="M75" i="28"/>
  <c r="A7" i="55"/>
  <c r="H10" i="55"/>
  <c r="H244" i="7"/>
  <c r="H250" i="7" s="1"/>
  <c r="D36" i="50"/>
  <c r="G39" i="45"/>
  <c r="F39" i="45"/>
  <c r="E39" i="45"/>
  <c r="D39" i="45"/>
  <c r="G26" i="45"/>
  <c r="F26" i="45"/>
  <c r="E26" i="45"/>
  <c r="D26" i="45"/>
  <c r="A7" i="45"/>
  <c r="H31" i="45"/>
  <c r="J31" i="45"/>
  <c r="H30" i="45"/>
  <c r="J30" i="45"/>
  <c r="I30" i="45"/>
  <c r="J29" i="45"/>
  <c r="I29" i="45"/>
  <c r="D32" i="45"/>
  <c r="E29" i="45"/>
  <c r="F29" i="45"/>
  <c r="G29" i="45"/>
  <c r="G32" i="45"/>
  <c r="J92" i="45"/>
  <c r="I92" i="45"/>
  <c r="J91" i="45"/>
  <c r="I91" i="45"/>
  <c r="J90" i="45"/>
  <c r="I90" i="45"/>
  <c r="J89" i="45"/>
  <c r="I89" i="45"/>
  <c r="J88" i="45"/>
  <c r="I88" i="45"/>
  <c r="J87" i="45"/>
  <c r="I87" i="45"/>
  <c r="J86" i="45"/>
  <c r="I86" i="45"/>
  <c r="J85" i="45"/>
  <c r="I85" i="45"/>
  <c r="J84" i="45"/>
  <c r="I84" i="45"/>
  <c r="J83" i="45"/>
  <c r="I83" i="45"/>
  <c r="J82" i="45"/>
  <c r="I82" i="45"/>
  <c r="J81" i="45"/>
  <c r="I81" i="45"/>
  <c r="J80" i="45"/>
  <c r="I80" i="45"/>
  <c r="J79" i="45"/>
  <c r="I79" i="45"/>
  <c r="J78" i="45"/>
  <c r="I78" i="45"/>
  <c r="J77" i="45"/>
  <c r="I77" i="45"/>
  <c r="J76" i="45"/>
  <c r="I76" i="45"/>
  <c r="J75" i="45"/>
  <c r="I75" i="45"/>
  <c r="J74" i="45"/>
  <c r="I74" i="45"/>
  <c r="J73" i="45"/>
  <c r="I73" i="45"/>
  <c r="J72" i="45"/>
  <c r="I72" i="45"/>
  <c r="J70" i="45"/>
  <c r="I70" i="45"/>
  <c r="J69" i="45"/>
  <c r="I69" i="45"/>
  <c r="J68" i="45"/>
  <c r="I68" i="45"/>
  <c r="J67" i="45"/>
  <c r="I67" i="45"/>
  <c r="J66" i="45"/>
  <c r="I66" i="45"/>
  <c r="J65" i="45"/>
  <c r="I65" i="45"/>
  <c r="J64" i="45"/>
  <c r="I64" i="45"/>
  <c r="J62" i="45"/>
  <c r="I62" i="45"/>
  <c r="J61" i="45"/>
  <c r="I61" i="45"/>
  <c r="J60" i="45"/>
  <c r="I60" i="45"/>
  <c r="J59" i="45"/>
  <c r="I59" i="45"/>
  <c r="J58" i="45"/>
  <c r="I58" i="45"/>
  <c r="J57" i="45"/>
  <c r="I57" i="45"/>
  <c r="J56" i="45"/>
  <c r="I56" i="45"/>
  <c r="J55" i="45"/>
  <c r="I55" i="45"/>
  <c r="J54" i="45"/>
  <c r="I54" i="45"/>
  <c r="J53" i="45"/>
  <c r="I53" i="45"/>
  <c r="J52" i="45"/>
  <c r="I52" i="45"/>
  <c r="J51" i="45"/>
  <c r="I51" i="45"/>
  <c r="J50" i="45"/>
  <c r="I50" i="45"/>
  <c r="J49" i="45"/>
  <c r="I49" i="45"/>
  <c r="J48" i="45"/>
  <c r="I48" i="45"/>
  <c r="J47" i="45"/>
  <c r="I47" i="45"/>
  <c r="J46" i="45"/>
  <c r="I46" i="45"/>
  <c r="J45" i="45"/>
  <c r="I45" i="45"/>
  <c r="J44" i="45"/>
  <c r="I44" i="45"/>
  <c r="J43" i="45"/>
  <c r="I43" i="45"/>
  <c r="J42" i="45"/>
  <c r="I42" i="45"/>
  <c r="J38" i="45"/>
  <c r="I38" i="45"/>
  <c r="J37" i="45"/>
  <c r="I37" i="45"/>
  <c r="J25" i="45"/>
  <c r="I25" i="45"/>
  <c r="J23" i="45"/>
  <c r="I23" i="45"/>
  <c r="J22" i="45"/>
  <c r="I22" i="45"/>
  <c r="J21" i="45"/>
  <c r="I21" i="45"/>
  <c r="J20" i="45"/>
  <c r="I20" i="45"/>
  <c r="J19" i="45"/>
  <c r="I19" i="45"/>
  <c r="G71" i="45"/>
  <c r="G93" i="45"/>
  <c r="F71" i="45"/>
  <c r="F93" i="45"/>
  <c r="E71" i="45"/>
  <c r="E93" i="45"/>
  <c r="D71" i="45"/>
  <c r="D93" i="45"/>
  <c r="O74" i="36"/>
  <c r="O73" i="36"/>
  <c r="O72" i="36"/>
  <c r="O71" i="36"/>
  <c r="O70" i="36"/>
  <c r="O69" i="36"/>
  <c r="O68" i="36"/>
  <c r="O67" i="36"/>
  <c r="O66" i="36"/>
  <c r="O65" i="36"/>
  <c r="O64" i="36"/>
  <c r="O63" i="36"/>
  <c r="O56" i="36"/>
  <c r="O40" i="36"/>
  <c r="O62" i="36"/>
  <c r="O39" i="36"/>
  <c r="O61" i="36"/>
  <c r="O38" i="36"/>
  <c r="O60" i="36"/>
  <c r="O34" i="36"/>
  <c r="N74" i="36"/>
  <c r="N73" i="36"/>
  <c r="N72" i="36"/>
  <c r="N71" i="36"/>
  <c r="N70" i="36"/>
  <c r="N69" i="36"/>
  <c r="N68" i="36"/>
  <c r="N67" i="36"/>
  <c r="N66" i="36"/>
  <c r="N65" i="36"/>
  <c r="N64" i="36"/>
  <c r="N63" i="36"/>
  <c r="N56" i="36"/>
  <c r="N76" i="36" s="1"/>
  <c r="N40" i="36"/>
  <c r="N62" i="36"/>
  <c r="N39" i="36"/>
  <c r="N61" i="36"/>
  <c r="N38" i="36"/>
  <c r="N60" i="36"/>
  <c r="N34" i="36"/>
  <c r="A66" i="8"/>
  <c r="A56" i="8"/>
  <c r="A49" i="8"/>
  <c r="A25" i="8"/>
  <c r="A83" i="8"/>
  <c r="A82" i="8"/>
  <c r="A81" i="8"/>
  <c r="A80" i="8"/>
  <c r="A79" i="8"/>
  <c r="A76" i="8"/>
  <c r="A75" i="8"/>
  <c r="A74" i="8"/>
  <c r="A73" i="8"/>
  <c r="A72" i="8"/>
  <c r="A71" i="8"/>
  <c r="A70" i="8"/>
  <c r="A69" i="8"/>
  <c r="A67" i="8"/>
  <c r="A65" i="8"/>
  <c r="A61" i="8"/>
  <c r="A60" i="8"/>
  <c r="A59" i="8"/>
  <c r="A58" i="8"/>
  <c r="A57" i="8"/>
  <c r="A55" i="8"/>
  <c r="A54" i="8"/>
  <c r="A51" i="8"/>
  <c r="A50" i="8"/>
  <c r="A48" i="8"/>
  <c r="A47" i="8"/>
  <c r="A44" i="8"/>
  <c r="A43" i="8"/>
  <c r="A42" i="8"/>
  <c r="A41" i="8"/>
  <c r="A40" i="8"/>
  <c r="A39" i="8"/>
  <c r="A38" i="8"/>
  <c r="A37" i="8"/>
  <c r="A36" i="8"/>
  <c r="A35" i="8"/>
  <c r="A34" i="8"/>
  <c r="A33" i="8"/>
  <c r="A32" i="8"/>
  <c r="A31" i="8"/>
  <c r="A30" i="8"/>
  <c r="A28" i="8"/>
  <c r="A27" i="8"/>
  <c r="A26" i="8"/>
  <c r="A24" i="8"/>
  <c r="A17" i="8"/>
  <c r="A16" i="8"/>
  <c r="A15" i="8"/>
  <c r="A14" i="8"/>
  <c r="A11" i="8"/>
  <c r="A10" i="8"/>
  <c r="C56" i="36"/>
  <c r="C34" i="36"/>
  <c r="E56" i="36"/>
  <c r="E34" i="36"/>
  <c r="E76" i="36" s="1"/>
  <c r="M96" i="36" s="1"/>
  <c r="H94" i="36" s="1"/>
  <c r="D56" i="36"/>
  <c r="D76" i="36" s="1"/>
  <c r="D34" i="36"/>
  <c r="C14" i="18"/>
  <c r="C15" i="18"/>
  <c r="D15" i="18"/>
  <c r="C16" i="18"/>
  <c r="D16" i="18"/>
  <c r="C17" i="18"/>
  <c r="D17" i="18"/>
  <c r="C18" i="18"/>
  <c r="D18" i="18"/>
  <c r="C19" i="18"/>
  <c r="D19" i="18"/>
  <c r="C20" i="18"/>
  <c r="D20" i="18"/>
  <c r="C21" i="18"/>
  <c r="D21" i="18"/>
  <c r="C22" i="18"/>
  <c r="D22" i="18"/>
  <c r="C23" i="18"/>
  <c r="D23" i="18"/>
  <c r="C24" i="18"/>
  <c r="D24" i="18"/>
  <c r="C25" i="18"/>
  <c r="D25" i="18"/>
  <c r="C26" i="18"/>
  <c r="D26" i="18"/>
  <c r="C27" i="18"/>
  <c r="D27" i="18"/>
  <c r="C28" i="18"/>
  <c r="D28" i="18"/>
  <c r="C29" i="18"/>
  <c r="D29" i="18"/>
  <c r="C30" i="18"/>
  <c r="D30" i="18"/>
  <c r="C31" i="18"/>
  <c r="D31" i="18"/>
  <c r="C32" i="18"/>
  <c r="D32" i="18"/>
  <c r="C33" i="18"/>
  <c r="D33" i="18"/>
  <c r="C34" i="18"/>
  <c r="D34" i="18"/>
  <c r="C35" i="18"/>
  <c r="D35" i="18"/>
  <c r="C36" i="18"/>
  <c r="D36" i="18"/>
  <c r="C37" i="18"/>
  <c r="D37" i="18"/>
  <c r="C38" i="18"/>
  <c r="D38" i="18"/>
  <c r="C39" i="18"/>
  <c r="D39" i="18"/>
  <c r="D40" i="18"/>
  <c r="C41" i="18"/>
  <c r="D41" i="18"/>
  <c r="C42" i="18"/>
  <c r="D42" i="18"/>
  <c r="C43" i="18"/>
  <c r="D43" i="18"/>
  <c r="C44" i="18"/>
  <c r="D44" i="18"/>
  <c r="C45" i="18"/>
  <c r="D45" i="18"/>
  <c r="C46" i="18"/>
  <c r="D46" i="18"/>
  <c r="C47" i="18"/>
  <c r="D47" i="18"/>
  <c r="C48" i="18"/>
  <c r="D48" i="18"/>
  <c r="C49" i="18"/>
  <c r="D49" i="18"/>
  <c r="C50" i="18"/>
  <c r="D50" i="18"/>
  <c r="C51" i="18"/>
  <c r="D51" i="18"/>
  <c r="C52" i="18"/>
  <c r="D52" i="18"/>
  <c r="C53" i="18"/>
  <c r="D53" i="18"/>
  <c r="C54" i="18"/>
  <c r="D54" i="18"/>
  <c r="C55" i="18"/>
  <c r="D55" i="18"/>
  <c r="C56" i="18"/>
  <c r="D56" i="18"/>
  <c r="C57" i="18"/>
  <c r="D57" i="18"/>
  <c r="C58" i="18"/>
  <c r="D58" i="18"/>
  <c r="C59" i="18"/>
  <c r="D59" i="18"/>
  <c r="C60" i="18"/>
  <c r="D60" i="18"/>
  <c r="C61" i="18"/>
  <c r="D61" i="18"/>
  <c r="C62" i="18"/>
  <c r="D62" i="18"/>
  <c r="C63" i="18"/>
  <c r="D63" i="18"/>
  <c r="C64" i="18"/>
  <c r="D64" i="18"/>
  <c r="C65" i="18"/>
  <c r="D65" i="18"/>
  <c r="F14" i="34"/>
  <c r="G14" i="34" s="1"/>
  <c r="G43" i="34" s="1"/>
  <c r="F15" i="34"/>
  <c r="G15" i="34"/>
  <c r="F16" i="34"/>
  <c r="G16" i="34"/>
  <c r="F17" i="34"/>
  <c r="G17" i="34"/>
  <c r="F18" i="34"/>
  <c r="G18" i="34"/>
  <c r="F19" i="34"/>
  <c r="G19" i="34"/>
  <c r="F20" i="34"/>
  <c r="G20" i="34"/>
  <c r="F21" i="34"/>
  <c r="G21" i="34"/>
  <c r="F22" i="34"/>
  <c r="G22" i="34"/>
  <c r="F23" i="34"/>
  <c r="G23" i="34"/>
  <c r="F24" i="34"/>
  <c r="G24" i="34"/>
  <c r="F25" i="34"/>
  <c r="G25" i="34"/>
  <c r="F26" i="34"/>
  <c r="G26" i="34"/>
  <c r="F27" i="34"/>
  <c r="G27" i="34"/>
  <c r="F28" i="34"/>
  <c r="G28" i="34"/>
  <c r="F29" i="34"/>
  <c r="G29" i="34"/>
  <c r="F30" i="34"/>
  <c r="G30" i="34"/>
  <c r="F31" i="34"/>
  <c r="G31" i="34"/>
  <c r="F32" i="34"/>
  <c r="G32" i="34"/>
  <c r="F33" i="34"/>
  <c r="G33" i="34"/>
  <c r="F34" i="34"/>
  <c r="G34" i="34"/>
  <c r="F35" i="34"/>
  <c r="G35" i="34"/>
  <c r="F36" i="34"/>
  <c r="G36" i="34"/>
  <c r="F37" i="34"/>
  <c r="G37" i="34"/>
  <c r="F38" i="34"/>
  <c r="G38" i="34"/>
  <c r="F39" i="34"/>
  <c r="G39" i="34"/>
  <c r="F40" i="34"/>
  <c r="G40" i="34"/>
  <c r="F41" i="34"/>
  <c r="G41" i="34"/>
  <c r="F42" i="34"/>
  <c r="G42" i="34"/>
  <c r="G289" i="7"/>
  <c r="G290" i="7"/>
  <c r="F290" i="7"/>
  <c r="G291" i="7"/>
  <c r="F291" i="7"/>
  <c r="C51" i="24"/>
  <c r="C60" i="24"/>
  <c r="C61" i="24"/>
  <c r="B63" i="24"/>
  <c r="C71" i="24"/>
  <c r="A63" i="24"/>
  <c r="G5" i="62"/>
  <c r="H5" i="62"/>
  <c r="A4" i="59"/>
  <c r="E18" i="13"/>
  <c r="F18" i="13" s="1"/>
  <c r="C13" i="1"/>
  <c r="AH9" i="6" s="1"/>
  <c r="AJ9" i="6" s="1"/>
  <c r="E15" i="12"/>
  <c r="F15" i="12" s="1"/>
  <c r="E46" i="13"/>
  <c r="E47" i="13"/>
  <c r="E48" i="13"/>
  <c r="E49" i="13"/>
  <c r="E119" i="13"/>
  <c r="E133" i="13"/>
  <c r="E141" i="13"/>
  <c r="E27" i="12"/>
  <c r="E34" i="12"/>
  <c r="E39" i="12"/>
  <c r="E80" i="12"/>
  <c r="F63" i="13"/>
  <c r="F139" i="13"/>
  <c r="F46" i="13"/>
  <c r="F47" i="13"/>
  <c r="F48" i="13"/>
  <c r="F49" i="13"/>
  <c r="F119" i="13"/>
  <c r="F133" i="13"/>
  <c r="F141" i="13"/>
  <c r="F34" i="12"/>
  <c r="F86" i="12"/>
  <c r="F80" i="12"/>
  <c r="G63" i="13"/>
  <c r="G139" i="13"/>
  <c r="G46" i="13"/>
  <c r="G47" i="13"/>
  <c r="G48" i="13"/>
  <c r="G49" i="13"/>
  <c r="G119" i="13"/>
  <c r="G133" i="13"/>
  <c r="G141" i="13"/>
  <c r="G27" i="12"/>
  <c r="G39" i="12"/>
  <c r="G86" i="12"/>
  <c r="G80" i="12"/>
  <c r="H63" i="13"/>
  <c r="H139" i="13"/>
  <c r="H46" i="13"/>
  <c r="H47" i="13"/>
  <c r="H48" i="13"/>
  <c r="H49" i="13"/>
  <c r="H119" i="13"/>
  <c r="H133" i="13"/>
  <c r="H141" i="13"/>
  <c r="H27" i="12"/>
  <c r="H87" i="12"/>
  <c r="H39" i="12"/>
  <c r="H86" i="12"/>
  <c r="H80" i="12"/>
  <c r="I63" i="13"/>
  <c r="I139" i="13"/>
  <c r="I46" i="13"/>
  <c r="I47" i="13"/>
  <c r="I48" i="13"/>
  <c r="I49" i="13"/>
  <c r="I119" i="13"/>
  <c r="I133" i="13"/>
  <c r="I141" i="13"/>
  <c r="I27" i="12"/>
  <c r="I87" i="12"/>
  <c r="I39" i="12"/>
  <c r="I86" i="12"/>
  <c r="I80" i="12"/>
  <c r="J63" i="13"/>
  <c r="J139" i="13"/>
  <c r="J46" i="13"/>
  <c r="J47" i="13"/>
  <c r="J48" i="13"/>
  <c r="J49" i="13"/>
  <c r="J119" i="13"/>
  <c r="J133" i="13"/>
  <c r="J141" i="13"/>
  <c r="J27" i="12"/>
  <c r="J87" i="12"/>
  <c r="J39" i="12"/>
  <c r="J86" i="12"/>
  <c r="J80" i="12"/>
  <c r="O27" i="12"/>
  <c r="O87" i="12"/>
  <c r="O80" i="12"/>
  <c r="K63" i="13"/>
  <c r="K139" i="13"/>
  <c r="K46" i="13"/>
  <c r="K47" i="13"/>
  <c r="K48" i="13"/>
  <c r="K49" i="13"/>
  <c r="K119" i="13"/>
  <c r="K133" i="13"/>
  <c r="K141" i="13"/>
  <c r="K27" i="12"/>
  <c r="K34" i="12"/>
  <c r="K39" i="12"/>
  <c r="K86" i="12"/>
  <c r="K80" i="12"/>
  <c r="P27" i="12"/>
  <c r="P87" i="12"/>
  <c r="P80" i="12"/>
  <c r="L63" i="13"/>
  <c r="L139" i="13"/>
  <c r="L46" i="13"/>
  <c r="L47" i="13"/>
  <c r="L48" i="13"/>
  <c r="L49" i="13"/>
  <c r="L119" i="13"/>
  <c r="L133" i="13"/>
  <c r="L141" i="13"/>
  <c r="L27" i="12"/>
  <c r="L34" i="12"/>
  <c r="L39" i="12"/>
  <c r="L86" i="12"/>
  <c r="L80" i="12"/>
  <c r="Y27" i="12"/>
  <c r="Y87" i="12"/>
  <c r="Y39" i="12"/>
  <c r="Y86" i="12"/>
  <c r="Y80" i="12"/>
  <c r="M63" i="13"/>
  <c r="M139" i="13"/>
  <c r="M46" i="13"/>
  <c r="M47" i="13"/>
  <c r="M48" i="13"/>
  <c r="M49" i="13"/>
  <c r="M119" i="13"/>
  <c r="M133" i="13"/>
  <c r="M141" i="13"/>
  <c r="M27" i="12"/>
  <c r="M87" i="12"/>
  <c r="M39" i="12"/>
  <c r="M86" i="12"/>
  <c r="M80" i="12"/>
  <c r="N63" i="13"/>
  <c r="N139" i="13"/>
  <c r="N46" i="13"/>
  <c r="N47" i="13"/>
  <c r="N48" i="13"/>
  <c r="N49" i="13"/>
  <c r="N119" i="13"/>
  <c r="N133" i="13"/>
  <c r="N141" i="13"/>
  <c r="N27" i="12"/>
  <c r="N34" i="12"/>
  <c r="N39" i="12"/>
  <c r="N86" i="12"/>
  <c r="N80" i="12"/>
  <c r="O119" i="13"/>
  <c r="O133" i="13"/>
  <c r="O141" i="13"/>
  <c r="P20" i="59"/>
  <c r="P21" i="59"/>
  <c r="D32" i="58"/>
  <c r="E32" i="58"/>
  <c r="F32" i="58"/>
  <c r="J32" i="58"/>
  <c r="K32" i="58"/>
  <c r="L32" i="58"/>
  <c r="J8" i="58"/>
  <c r="K8" i="58"/>
  <c r="L8" i="58"/>
  <c r="D35" i="58"/>
  <c r="E35" i="58"/>
  <c r="F35" i="58"/>
  <c r="D39" i="58"/>
  <c r="E39" i="58"/>
  <c r="F39" i="58"/>
  <c r="I43" i="58"/>
  <c r="J43" i="58"/>
  <c r="E44" i="58"/>
  <c r="E45" i="58"/>
  <c r="E46" i="58"/>
  <c r="E47" i="58"/>
  <c r="E48" i="58"/>
  <c r="E49" i="58"/>
  <c r="E50" i="58"/>
  <c r="E51" i="58"/>
  <c r="E52" i="58"/>
  <c r="E53" i="58"/>
  <c r="E54" i="58"/>
  <c r="I54" i="58"/>
  <c r="J54" i="58"/>
  <c r="K54" i="58"/>
  <c r="E55" i="58"/>
  <c r="E56" i="58"/>
  <c r="E57" i="58"/>
  <c r="A8" i="54"/>
  <c r="G5" i="2"/>
  <c r="F10" i="76" s="1"/>
  <c r="B17" i="76" s="1"/>
  <c r="L62" i="54"/>
  <c r="A8" i="53"/>
  <c r="E23" i="53"/>
  <c r="F23" i="53"/>
  <c r="A8" i="52"/>
  <c r="G18" i="52"/>
  <c r="I18" i="52" s="1"/>
  <c r="G19" i="52"/>
  <c r="I19" i="52" s="1"/>
  <c r="G20" i="52"/>
  <c r="I20" i="52" s="1"/>
  <c r="G21" i="52"/>
  <c r="I21" i="52" s="1"/>
  <c r="G22" i="52"/>
  <c r="I22" i="52" s="1"/>
  <c r="G23" i="52"/>
  <c r="I23" i="52" s="1"/>
  <c r="G24" i="52"/>
  <c r="I24" i="52" s="1"/>
  <c r="G25" i="52"/>
  <c r="I25" i="52" s="1"/>
  <c r="G26" i="52"/>
  <c r="I26" i="52" s="1"/>
  <c r="G27" i="52"/>
  <c r="I27" i="52" s="1"/>
  <c r="C49" i="52"/>
  <c r="D49" i="52"/>
  <c r="F49" i="52"/>
  <c r="I72" i="52" s="1"/>
  <c r="H49" i="52"/>
  <c r="L49" i="52"/>
  <c r="F63" i="52"/>
  <c r="G63" i="52"/>
  <c r="H63" i="52"/>
  <c r="L34" i="36"/>
  <c r="I66" i="52"/>
  <c r="G34" i="36"/>
  <c r="I74" i="52" s="1"/>
  <c r="C12" i="1"/>
  <c r="A5" i="3"/>
  <c r="I100" i="52"/>
  <c r="I107" i="52"/>
  <c r="A8" i="51"/>
  <c r="F67" i="51"/>
  <c r="K31" i="51"/>
  <c r="K71" i="51"/>
  <c r="K33" i="51"/>
  <c r="K36" i="51"/>
  <c r="K43" i="51"/>
  <c r="C15" i="1"/>
  <c r="K48" i="51"/>
  <c r="K68" i="51"/>
  <c r="A8" i="50"/>
  <c r="I15" i="50"/>
  <c r="F24" i="50"/>
  <c r="H20" i="50"/>
  <c r="J31" i="50"/>
  <c r="I43" i="50"/>
  <c r="I44" i="50"/>
  <c r="I45" i="50"/>
  <c r="I46" i="50"/>
  <c r="A7" i="49"/>
  <c r="D16" i="49"/>
  <c r="E16" i="49"/>
  <c r="E18" i="49"/>
  <c r="D25" i="49"/>
  <c r="E25" i="49"/>
  <c r="E63" i="49"/>
  <c r="D33" i="49"/>
  <c r="E33" i="49"/>
  <c r="E35" i="49"/>
  <c r="A62" i="49"/>
  <c r="A63" i="49"/>
  <c r="N3" i="48"/>
  <c r="O3" i="48"/>
  <c r="A6" i="48"/>
  <c r="O19" i="48"/>
  <c r="O20" i="48"/>
  <c r="C21" i="48"/>
  <c r="D21" i="48"/>
  <c r="E21" i="48"/>
  <c r="F21" i="48"/>
  <c r="G21" i="48"/>
  <c r="H21" i="48"/>
  <c r="I21" i="48"/>
  <c r="J21" i="48"/>
  <c r="K21" i="48"/>
  <c r="L21" i="48"/>
  <c r="M21" i="48"/>
  <c r="N21" i="48"/>
  <c r="O23" i="48"/>
  <c r="O24" i="48"/>
  <c r="O25" i="48"/>
  <c r="O26" i="48"/>
  <c r="O27" i="48"/>
  <c r="O28" i="48"/>
  <c r="O29" i="48"/>
  <c r="O30" i="48"/>
  <c r="O31" i="48"/>
  <c r="O32" i="48"/>
  <c r="O33" i="48"/>
  <c r="O34" i="48"/>
  <c r="O35" i="48"/>
  <c r="O36" i="48"/>
  <c r="O37" i="48"/>
  <c r="O38" i="48"/>
  <c r="O39" i="48"/>
  <c r="O40" i="48"/>
  <c r="O41" i="48"/>
  <c r="O42" i="48"/>
  <c r="O43" i="48"/>
  <c r="O44" i="48"/>
  <c r="C45" i="48"/>
  <c r="D45" i="48"/>
  <c r="E45" i="48"/>
  <c r="F45" i="48"/>
  <c r="G45" i="48"/>
  <c r="H45" i="48"/>
  <c r="I45" i="48"/>
  <c r="J45" i="48"/>
  <c r="K45" i="48"/>
  <c r="L45" i="48"/>
  <c r="M45" i="48"/>
  <c r="N45" i="48"/>
  <c r="L3" i="47"/>
  <c r="M3" i="47"/>
  <c r="A6" i="47"/>
  <c r="N10" i="47"/>
  <c r="J17" i="47"/>
  <c r="L17" i="47"/>
  <c r="J18" i="47"/>
  <c r="L18" i="47"/>
  <c r="K18" i="47"/>
  <c r="I19" i="47"/>
  <c r="J21" i="47"/>
  <c r="L21" i="47"/>
  <c r="M21" i="47"/>
  <c r="J22" i="47"/>
  <c r="L22" i="47"/>
  <c r="I23" i="47"/>
  <c r="J25" i="47"/>
  <c r="L25" i="47"/>
  <c r="M25" i="47"/>
  <c r="J26" i="47"/>
  <c r="L26" i="47"/>
  <c r="K26" i="47"/>
  <c r="I27" i="47"/>
  <c r="J29" i="47"/>
  <c r="J30" i="47"/>
  <c r="L30" i="47"/>
  <c r="M30" i="47"/>
  <c r="I31" i="47"/>
  <c r="J33" i="47"/>
  <c r="L33" i="47"/>
  <c r="M33" i="47"/>
  <c r="J34" i="47"/>
  <c r="L34" i="47"/>
  <c r="M34" i="47"/>
  <c r="I35" i="47"/>
  <c r="J37" i="47"/>
  <c r="J38" i="47"/>
  <c r="L38" i="47"/>
  <c r="I39" i="47"/>
  <c r="J41" i="47"/>
  <c r="L41" i="47"/>
  <c r="J42" i="47"/>
  <c r="L42" i="47"/>
  <c r="I43" i="47"/>
  <c r="J45" i="47"/>
  <c r="L45" i="47"/>
  <c r="M45" i="47"/>
  <c r="J46" i="47"/>
  <c r="L46" i="47"/>
  <c r="M46" i="47"/>
  <c r="I47" i="47"/>
  <c r="J49" i="47"/>
  <c r="L49" i="47"/>
  <c r="J50" i="47"/>
  <c r="L50" i="47"/>
  <c r="M50" i="47"/>
  <c r="I51" i="47"/>
  <c r="J53" i="47"/>
  <c r="L53" i="47"/>
  <c r="J54" i="47"/>
  <c r="L54" i="47"/>
  <c r="M54" i="47"/>
  <c r="I55" i="47"/>
  <c r="J57" i="47"/>
  <c r="L57" i="47"/>
  <c r="M57" i="47"/>
  <c r="J58" i="47"/>
  <c r="L58" i="47"/>
  <c r="I59" i="47"/>
  <c r="J61" i="47"/>
  <c r="L61" i="47"/>
  <c r="M61" i="47"/>
  <c r="J62" i="47"/>
  <c r="L62" i="47"/>
  <c r="M62" i="47"/>
  <c r="I63" i="47"/>
  <c r="J65" i="47"/>
  <c r="L65" i="47"/>
  <c r="M65" i="47"/>
  <c r="J66" i="47"/>
  <c r="L66" i="47"/>
  <c r="K66" i="47"/>
  <c r="I67" i="47"/>
  <c r="J69" i="47"/>
  <c r="L69" i="47"/>
  <c r="J70" i="47"/>
  <c r="L70" i="47"/>
  <c r="I71" i="47"/>
  <c r="J73" i="47"/>
  <c r="L73" i="47"/>
  <c r="J74" i="47"/>
  <c r="L74" i="47"/>
  <c r="M74" i="47"/>
  <c r="I75" i="47"/>
  <c r="J77" i="47"/>
  <c r="L77" i="47"/>
  <c r="M77" i="47"/>
  <c r="J78" i="47"/>
  <c r="L78" i="47"/>
  <c r="I79" i="47"/>
  <c r="J81" i="47"/>
  <c r="L81" i="47"/>
  <c r="K81" i="47"/>
  <c r="J82" i="47"/>
  <c r="I83" i="47"/>
  <c r="J85" i="47"/>
  <c r="L85" i="47"/>
  <c r="J86" i="47"/>
  <c r="L86" i="47"/>
  <c r="I87" i="47"/>
  <c r="J89" i="47"/>
  <c r="L89" i="47"/>
  <c r="K89" i="47"/>
  <c r="J90" i="47"/>
  <c r="L90" i="47"/>
  <c r="M90" i="47"/>
  <c r="I91" i="47"/>
  <c r="J93" i="47"/>
  <c r="L93" i="47"/>
  <c r="M93" i="47"/>
  <c r="J94" i="47"/>
  <c r="L94" i="47"/>
  <c r="I95" i="47"/>
  <c r="J97" i="47"/>
  <c r="L97" i="47"/>
  <c r="J98" i="47"/>
  <c r="L98" i="47"/>
  <c r="M98" i="47"/>
  <c r="I99" i="47"/>
  <c r="J101" i="47"/>
  <c r="J102" i="47"/>
  <c r="L102" i="47"/>
  <c r="I103" i="47"/>
  <c r="J105" i="47"/>
  <c r="L105" i="47"/>
  <c r="M105" i="47"/>
  <c r="J106" i="47"/>
  <c r="L106" i="47"/>
  <c r="I107" i="47"/>
  <c r="J109" i="47"/>
  <c r="L109" i="47"/>
  <c r="J110" i="47"/>
  <c r="L110" i="47"/>
  <c r="M110" i="47"/>
  <c r="I111" i="47"/>
  <c r="J113" i="47"/>
  <c r="L113" i="47"/>
  <c r="K113" i="47"/>
  <c r="J114" i="47"/>
  <c r="L114" i="47"/>
  <c r="M114" i="47"/>
  <c r="I115" i="47"/>
  <c r="J117" i="47"/>
  <c r="L117" i="47"/>
  <c r="J118" i="47"/>
  <c r="L118" i="47"/>
  <c r="M118" i="47"/>
  <c r="I119" i="47"/>
  <c r="J121" i="47"/>
  <c r="L121" i="47"/>
  <c r="J122" i="47"/>
  <c r="L122" i="47"/>
  <c r="I123" i="47"/>
  <c r="J125" i="47"/>
  <c r="L125" i="47"/>
  <c r="J126" i="47"/>
  <c r="L126" i="47"/>
  <c r="M126" i="47"/>
  <c r="I127" i="47"/>
  <c r="J129" i="47"/>
  <c r="L129" i="47"/>
  <c r="K129" i="47"/>
  <c r="J130" i="47"/>
  <c r="L130" i="47"/>
  <c r="M130" i="47"/>
  <c r="I131" i="47"/>
  <c r="J133" i="47"/>
  <c r="L133" i="47"/>
  <c r="M133" i="47"/>
  <c r="J134" i="47"/>
  <c r="L134" i="47"/>
  <c r="M134" i="47"/>
  <c r="I135" i="47"/>
  <c r="J137" i="47"/>
  <c r="L137" i="47"/>
  <c r="M137" i="47"/>
  <c r="J138" i="47"/>
  <c r="L138" i="47"/>
  <c r="J139" i="47"/>
  <c r="A7" i="46"/>
  <c r="D17" i="46"/>
  <c r="C23" i="46"/>
  <c r="D23" i="46"/>
  <c r="E23" i="46"/>
  <c r="F23" i="46"/>
  <c r="G23" i="46"/>
  <c r="C29" i="46"/>
  <c r="D29" i="46"/>
  <c r="E29" i="46"/>
  <c r="F29" i="46"/>
  <c r="G29" i="46"/>
  <c r="H29" i="46"/>
  <c r="I29" i="46"/>
  <c r="D37" i="46"/>
  <c r="C43" i="46"/>
  <c r="D43" i="46"/>
  <c r="E43" i="46"/>
  <c r="F43" i="46"/>
  <c r="G43" i="46"/>
  <c r="C49" i="46"/>
  <c r="D49" i="46"/>
  <c r="E49" i="46"/>
  <c r="F49" i="46"/>
  <c r="G49" i="46"/>
  <c r="H49" i="46"/>
  <c r="I49" i="46"/>
  <c r="A7" i="44"/>
  <c r="D16" i="44"/>
  <c r="E16" i="44"/>
  <c r="D17" i="44"/>
  <c r="E17" i="44"/>
  <c r="D18" i="44"/>
  <c r="D19" i="44"/>
  <c r="E19" i="44"/>
  <c r="D20" i="44"/>
  <c r="E20" i="44"/>
  <c r="D21" i="44"/>
  <c r="E21" i="44"/>
  <c r="D22" i="44"/>
  <c r="E22" i="44"/>
  <c r="D23" i="44"/>
  <c r="E23" i="44"/>
  <c r="D24" i="44"/>
  <c r="E24" i="44"/>
  <c r="D25" i="44"/>
  <c r="E25" i="44"/>
  <c r="D26" i="44"/>
  <c r="E26" i="44"/>
  <c r="D27" i="44"/>
  <c r="E27" i="44"/>
  <c r="D28" i="44"/>
  <c r="E28" i="44"/>
  <c r="D29" i="44"/>
  <c r="E29" i="44"/>
  <c r="D31" i="44"/>
  <c r="E31" i="44"/>
  <c r="B32" i="44"/>
  <c r="D35" i="44"/>
  <c r="E35" i="44"/>
  <c r="D36" i="44"/>
  <c r="E36" i="44"/>
  <c r="D37" i="44"/>
  <c r="E37" i="44"/>
  <c r="D38" i="44"/>
  <c r="E38" i="44"/>
  <c r="D39" i="44"/>
  <c r="D40" i="44"/>
  <c r="E40" i="44"/>
  <c r="D41" i="44"/>
  <c r="E41" i="44"/>
  <c r="D42" i="44"/>
  <c r="E42" i="44"/>
  <c r="D43" i="44"/>
  <c r="E43" i="44"/>
  <c r="D44" i="44"/>
  <c r="E44" i="44"/>
  <c r="D45" i="44"/>
  <c r="E45" i="44"/>
  <c r="D46" i="44"/>
  <c r="E46" i="44"/>
  <c r="D47" i="44"/>
  <c r="E47" i="44"/>
  <c r="D48" i="44"/>
  <c r="E48" i="44"/>
  <c r="D49" i="44"/>
  <c r="E49" i="44"/>
  <c r="D50" i="44"/>
  <c r="E50" i="44"/>
  <c r="D51" i="44"/>
  <c r="E51" i="44"/>
  <c r="D52" i="44"/>
  <c r="E52" i="44"/>
  <c r="D53" i="44"/>
  <c r="E53" i="44"/>
  <c r="D55" i="44"/>
  <c r="E55" i="44"/>
  <c r="D56" i="44"/>
  <c r="E56" i="44"/>
  <c r="D57" i="44"/>
  <c r="E57" i="44"/>
  <c r="D58" i="44"/>
  <c r="E58" i="44"/>
  <c r="D59" i="44"/>
  <c r="E59" i="44"/>
  <c r="D60" i="44"/>
  <c r="E60" i="44"/>
  <c r="D61" i="44"/>
  <c r="E61" i="44"/>
  <c r="D62" i="44"/>
  <c r="E62" i="44"/>
  <c r="D63" i="44"/>
  <c r="E63" i="44"/>
  <c r="B64" i="44"/>
  <c r="J11" i="43"/>
  <c r="D23" i="43"/>
  <c r="F23" i="43"/>
  <c r="G23" i="43" s="1"/>
  <c r="H23" i="43" s="1"/>
  <c r="J23" i="43" s="1"/>
  <c r="L23" i="43" s="1"/>
  <c r="D24" i="43"/>
  <c r="F24" i="43"/>
  <c r="G24" i="43" s="1"/>
  <c r="H24" i="43" s="1"/>
  <c r="J24" i="43" s="1"/>
  <c r="L24" i="43" s="1"/>
  <c r="D25" i="43"/>
  <c r="F25" i="43"/>
  <c r="G25" i="43" s="1"/>
  <c r="H25" i="43" s="1"/>
  <c r="J25" i="43" s="1"/>
  <c r="L25" i="43" s="1"/>
  <c r="D26" i="43"/>
  <c r="F26" i="43"/>
  <c r="G26" i="43" s="1"/>
  <c r="H26" i="43" s="1"/>
  <c r="J26" i="43" s="1"/>
  <c r="L26" i="43" s="1"/>
  <c r="D27" i="43"/>
  <c r="F27" i="43"/>
  <c r="D28" i="43"/>
  <c r="F28" i="43"/>
  <c r="D29" i="43"/>
  <c r="F29" i="43"/>
  <c r="G29" i="43" s="1"/>
  <c r="H29" i="43" s="1"/>
  <c r="J29" i="43" s="1"/>
  <c r="L29" i="43" s="1"/>
  <c r="D30" i="43"/>
  <c r="F30" i="43"/>
  <c r="G30" i="43" s="1"/>
  <c r="H30" i="43" s="1"/>
  <c r="J30" i="43" s="1"/>
  <c r="L30" i="43" s="1"/>
  <c r="D31" i="43"/>
  <c r="F31" i="43"/>
  <c r="D32" i="43"/>
  <c r="F32" i="43"/>
  <c r="G32" i="43" s="1"/>
  <c r="H32" i="43" s="1"/>
  <c r="J32" i="43" s="1"/>
  <c r="L32" i="43" s="1"/>
  <c r="D33" i="43"/>
  <c r="F33" i="43"/>
  <c r="G33" i="43" s="1"/>
  <c r="H33" i="43" s="1"/>
  <c r="J33" i="43" s="1"/>
  <c r="L33" i="43" s="1"/>
  <c r="D34" i="43"/>
  <c r="F34" i="43"/>
  <c r="G34" i="43" s="1"/>
  <c r="H34" i="43" s="1"/>
  <c r="J34" i="43" s="1"/>
  <c r="L34" i="43" s="1"/>
  <c r="D35" i="43"/>
  <c r="F35" i="43"/>
  <c r="G35" i="43" s="1"/>
  <c r="H35" i="43" s="1"/>
  <c r="J35" i="43" s="1"/>
  <c r="L35" i="43" s="1"/>
  <c r="D36" i="43"/>
  <c r="F36" i="43"/>
  <c r="G36" i="43" s="1"/>
  <c r="H36" i="43" s="1"/>
  <c r="J36" i="43" s="1"/>
  <c r="L36" i="43" s="1"/>
  <c r="D37" i="43"/>
  <c r="F37" i="43"/>
  <c r="G37" i="43" s="1"/>
  <c r="H37" i="43" s="1"/>
  <c r="J37" i="43" s="1"/>
  <c r="L37" i="43" s="1"/>
  <c r="D38" i="43"/>
  <c r="F38" i="43"/>
  <c r="G38" i="43" s="1"/>
  <c r="H38" i="43" s="1"/>
  <c r="J38" i="43" s="1"/>
  <c r="L38" i="43" s="1"/>
  <c r="D39" i="43"/>
  <c r="F39" i="43"/>
  <c r="G39" i="43" s="1"/>
  <c r="H39" i="43" s="1"/>
  <c r="J39" i="43" s="1"/>
  <c r="L39" i="43" s="1"/>
  <c r="D40" i="43"/>
  <c r="F40" i="43"/>
  <c r="G40" i="43" s="1"/>
  <c r="H40" i="43" s="1"/>
  <c r="J40" i="43" s="1"/>
  <c r="L40" i="43" s="1"/>
  <c r="D41" i="43"/>
  <c r="F41" i="43"/>
  <c r="G41" i="43" s="1"/>
  <c r="H41" i="43" s="1"/>
  <c r="J41" i="43" s="1"/>
  <c r="L41" i="43" s="1"/>
  <c r="D42" i="43"/>
  <c r="F42" i="43"/>
  <c r="G42" i="43" s="1"/>
  <c r="H42" i="43" s="1"/>
  <c r="J42" i="43" s="1"/>
  <c r="L42" i="43" s="1"/>
  <c r="D43" i="43"/>
  <c r="F43" i="43"/>
  <c r="G43" i="43" s="1"/>
  <c r="H43" i="43" s="1"/>
  <c r="J43" i="43" s="1"/>
  <c r="L43" i="43" s="1"/>
  <c r="D44" i="43"/>
  <c r="F44" i="43"/>
  <c r="G44" i="43" s="1"/>
  <c r="H44" i="43" s="1"/>
  <c r="J44" i="43" s="1"/>
  <c r="L44" i="43" s="1"/>
  <c r="D45" i="43"/>
  <c r="F45" i="43"/>
  <c r="G45" i="43" s="1"/>
  <c r="H45" i="43" s="1"/>
  <c r="J45" i="43" s="1"/>
  <c r="L45" i="43" s="1"/>
  <c r="D46" i="43"/>
  <c r="F46" i="43"/>
  <c r="G46" i="43" s="1"/>
  <c r="H46" i="43" s="1"/>
  <c r="J46" i="43" s="1"/>
  <c r="L46" i="43" s="1"/>
  <c r="D47" i="43"/>
  <c r="F47" i="43"/>
  <c r="G47" i="43" s="1"/>
  <c r="H47" i="43" s="1"/>
  <c r="J47" i="43" s="1"/>
  <c r="L47" i="43" s="1"/>
  <c r="A8" i="42"/>
  <c r="B19" i="42"/>
  <c r="M19" i="42"/>
  <c r="K19" i="42"/>
  <c r="C33" i="42"/>
  <c r="D33" i="42"/>
  <c r="F33" i="42"/>
  <c r="G33" i="42"/>
  <c r="A8" i="41"/>
  <c r="D44" i="41"/>
  <c r="E44" i="41"/>
  <c r="F44" i="41"/>
  <c r="N3" i="40"/>
  <c r="O3" i="40"/>
  <c r="A6" i="40"/>
  <c r="J13" i="40"/>
  <c r="N13" i="40"/>
  <c r="J14" i="40"/>
  <c r="N14" i="40"/>
  <c r="J15" i="40"/>
  <c r="N15" i="40"/>
  <c r="J16" i="40"/>
  <c r="N16" i="40"/>
  <c r="J17" i="40"/>
  <c r="N17" i="40"/>
  <c r="J18" i="40"/>
  <c r="N18" i="40"/>
  <c r="J19" i="40"/>
  <c r="N19" i="40"/>
  <c r="J20" i="40"/>
  <c r="N20" i="40"/>
  <c r="J21" i="40"/>
  <c r="N21" i="40"/>
  <c r="J22" i="40"/>
  <c r="N22" i="40"/>
  <c r="J23" i="40"/>
  <c r="N23" i="40"/>
  <c r="J24" i="40"/>
  <c r="N24" i="40"/>
  <c r="J25" i="40"/>
  <c r="N25" i="40"/>
  <c r="J26" i="40"/>
  <c r="N26" i="40"/>
  <c r="B27" i="40"/>
  <c r="D27" i="40"/>
  <c r="E27" i="40"/>
  <c r="H27" i="40"/>
  <c r="I27" i="40"/>
  <c r="L27" i="40"/>
  <c r="M27" i="40"/>
  <c r="A8" i="39"/>
  <c r="C39" i="39"/>
  <c r="C399" i="39" s="1"/>
  <c r="A39" i="39"/>
  <c r="I19" i="39"/>
  <c r="B39" i="39"/>
  <c r="F19" i="39"/>
  <c r="I20" i="39"/>
  <c r="I25" i="39"/>
  <c r="I26" i="39" s="1"/>
  <c r="I31" i="39"/>
  <c r="I32" i="39"/>
  <c r="J33" i="39"/>
  <c r="A8" i="38"/>
  <c r="E23" i="38"/>
  <c r="I23" i="38"/>
  <c r="G25" i="38"/>
  <c r="I25" i="38"/>
  <c r="G26" i="38"/>
  <c r="I26" i="38"/>
  <c r="G27" i="38"/>
  <c r="I27" i="38"/>
  <c r="G28" i="38"/>
  <c r="I28" i="38"/>
  <c r="G29" i="38"/>
  <c r="I29" i="38"/>
  <c r="G30" i="38"/>
  <c r="I30" i="38"/>
  <c r="G31" i="38"/>
  <c r="I31" i="38"/>
  <c r="C33" i="38"/>
  <c r="A8" i="36"/>
  <c r="F19" i="36"/>
  <c r="K19" i="36"/>
  <c r="F21" i="36"/>
  <c r="K21" i="36" s="1"/>
  <c r="F22" i="36"/>
  <c r="K22" i="36" s="1"/>
  <c r="F23" i="36"/>
  <c r="F24" i="36"/>
  <c r="K24" i="36" s="1"/>
  <c r="F25" i="36"/>
  <c r="K25" i="36" s="1"/>
  <c r="F26" i="36"/>
  <c r="K26" i="36"/>
  <c r="F27" i="36"/>
  <c r="K27" i="36" s="1"/>
  <c r="F28" i="36"/>
  <c r="K28" i="36" s="1"/>
  <c r="F29" i="36"/>
  <c r="K29" i="36"/>
  <c r="F30" i="36"/>
  <c r="K30" i="36"/>
  <c r="F31" i="36"/>
  <c r="K31" i="36" s="1"/>
  <c r="F32" i="36"/>
  <c r="K32" i="36"/>
  <c r="H34" i="36"/>
  <c r="I34" i="36"/>
  <c r="J34" i="36"/>
  <c r="M34" i="36"/>
  <c r="C38" i="36"/>
  <c r="C60" i="36"/>
  <c r="D38" i="36"/>
  <c r="D60" i="36"/>
  <c r="E38" i="36"/>
  <c r="E60" i="36"/>
  <c r="F38" i="36"/>
  <c r="F60" i="36"/>
  <c r="G38" i="36"/>
  <c r="G60" i="36"/>
  <c r="H38" i="36"/>
  <c r="H60" i="36"/>
  <c r="I38" i="36"/>
  <c r="I60" i="36"/>
  <c r="J38" i="36"/>
  <c r="J60" i="36"/>
  <c r="K38" i="36"/>
  <c r="K60" i="36"/>
  <c r="L38" i="36"/>
  <c r="L60" i="36"/>
  <c r="M38" i="36"/>
  <c r="M60" i="36"/>
  <c r="C39" i="36"/>
  <c r="C61" i="36"/>
  <c r="D39" i="36"/>
  <c r="D61" i="36"/>
  <c r="E39" i="36"/>
  <c r="E61" i="36"/>
  <c r="F39" i="36"/>
  <c r="F61" i="36"/>
  <c r="G39" i="36"/>
  <c r="G61" i="36"/>
  <c r="H39" i="36"/>
  <c r="H61" i="36"/>
  <c r="I39" i="36"/>
  <c r="I61" i="36"/>
  <c r="J39" i="36"/>
  <c r="J61" i="36"/>
  <c r="K39" i="36"/>
  <c r="K61" i="36"/>
  <c r="L39" i="36"/>
  <c r="L61" i="36"/>
  <c r="M39" i="36"/>
  <c r="M61" i="36"/>
  <c r="C62" i="36"/>
  <c r="D40" i="36"/>
  <c r="D62" i="36"/>
  <c r="E40" i="36"/>
  <c r="E62" i="36"/>
  <c r="F40" i="36"/>
  <c r="F62" i="36"/>
  <c r="G40" i="36"/>
  <c r="G62" i="36"/>
  <c r="H40" i="36"/>
  <c r="H62" i="36"/>
  <c r="I40" i="36"/>
  <c r="I62" i="36"/>
  <c r="J40" i="36"/>
  <c r="J62" i="36"/>
  <c r="K40" i="36"/>
  <c r="K62" i="36"/>
  <c r="L40" i="36"/>
  <c r="L62" i="36"/>
  <c r="M40" i="36"/>
  <c r="M62" i="36"/>
  <c r="F41" i="36"/>
  <c r="K41" i="36" s="1"/>
  <c r="F42" i="36"/>
  <c r="K42" i="36" s="1"/>
  <c r="F43" i="36"/>
  <c r="K43" i="36"/>
  <c r="F44" i="36"/>
  <c r="K44" i="36" s="1"/>
  <c r="F45" i="36"/>
  <c r="K45" i="36"/>
  <c r="F46" i="36"/>
  <c r="K46" i="36"/>
  <c r="F47" i="36"/>
  <c r="K47" i="36" s="1"/>
  <c r="F48" i="36"/>
  <c r="F49" i="36"/>
  <c r="K49" i="36"/>
  <c r="F50" i="36"/>
  <c r="K50" i="36" s="1"/>
  <c r="F51" i="36"/>
  <c r="K51" i="36" s="1"/>
  <c r="F52" i="36"/>
  <c r="K52" i="36"/>
  <c r="F54" i="36"/>
  <c r="K54" i="36"/>
  <c r="G56" i="36"/>
  <c r="H56" i="36"/>
  <c r="I56" i="36"/>
  <c r="J56" i="36"/>
  <c r="L56" i="36"/>
  <c r="M56" i="36"/>
  <c r="C63" i="36"/>
  <c r="D63" i="36"/>
  <c r="E63" i="36"/>
  <c r="G63" i="36"/>
  <c r="H63" i="36"/>
  <c r="I63" i="36"/>
  <c r="J63" i="36"/>
  <c r="L63" i="36"/>
  <c r="M63" i="36"/>
  <c r="C64" i="36"/>
  <c r="D64" i="36"/>
  <c r="E64" i="36"/>
  <c r="G64" i="36"/>
  <c r="H64" i="36"/>
  <c r="I64" i="36"/>
  <c r="J64" i="36"/>
  <c r="L64" i="36"/>
  <c r="M64" i="36"/>
  <c r="C65" i="36"/>
  <c r="D65" i="36"/>
  <c r="E65" i="36"/>
  <c r="G65" i="36"/>
  <c r="H65" i="36"/>
  <c r="I65" i="36"/>
  <c r="J65" i="36"/>
  <c r="L65" i="36"/>
  <c r="M65" i="36"/>
  <c r="C66" i="36"/>
  <c r="D66" i="36"/>
  <c r="E66" i="36"/>
  <c r="G66" i="36"/>
  <c r="H66" i="36"/>
  <c r="I66" i="36"/>
  <c r="J66" i="36"/>
  <c r="L66" i="36"/>
  <c r="M66" i="36"/>
  <c r="C67" i="36"/>
  <c r="D67" i="36"/>
  <c r="E67" i="36"/>
  <c r="F67" i="36" s="1"/>
  <c r="G67" i="36"/>
  <c r="H67" i="36"/>
  <c r="I67" i="36"/>
  <c r="J67" i="36"/>
  <c r="L67" i="36"/>
  <c r="M67" i="36"/>
  <c r="C68" i="36"/>
  <c r="D68" i="36"/>
  <c r="E68" i="36"/>
  <c r="G68" i="36"/>
  <c r="H68" i="36"/>
  <c r="I68" i="36"/>
  <c r="J68" i="36"/>
  <c r="L68" i="36"/>
  <c r="M68" i="36"/>
  <c r="C69" i="36"/>
  <c r="D69" i="36"/>
  <c r="E69" i="36"/>
  <c r="G69" i="36"/>
  <c r="H69" i="36"/>
  <c r="I69" i="36"/>
  <c r="J69" i="36"/>
  <c r="L69" i="36"/>
  <c r="M69" i="36"/>
  <c r="C70" i="36"/>
  <c r="D70" i="36"/>
  <c r="E70" i="36"/>
  <c r="G70" i="36"/>
  <c r="H70" i="36"/>
  <c r="I70" i="36"/>
  <c r="J70" i="36"/>
  <c r="L70" i="36"/>
  <c r="M70" i="36"/>
  <c r="C71" i="36"/>
  <c r="D71" i="36"/>
  <c r="E71" i="36"/>
  <c r="G71" i="36"/>
  <c r="H71" i="36"/>
  <c r="I71" i="36"/>
  <c r="J71" i="36"/>
  <c r="L71" i="36"/>
  <c r="M71" i="36"/>
  <c r="C72" i="36"/>
  <c r="D72" i="36"/>
  <c r="E72" i="36"/>
  <c r="G72" i="36"/>
  <c r="H72" i="36"/>
  <c r="I72" i="36"/>
  <c r="J72" i="36"/>
  <c r="L72" i="36"/>
  <c r="M72" i="36"/>
  <c r="C73" i="36"/>
  <c r="D73" i="36"/>
  <c r="E73" i="36"/>
  <c r="G73" i="36"/>
  <c r="H73" i="36"/>
  <c r="I73" i="36"/>
  <c r="J73" i="36"/>
  <c r="L73" i="36"/>
  <c r="M73" i="36"/>
  <c r="C74" i="36"/>
  <c r="D74" i="36"/>
  <c r="E74" i="36"/>
  <c r="G74" i="36"/>
  <c r="H74" i="36"/>
  <c r="I74" i="36"/>
  <c r="J74" i="36"/>
  <c r="L74" i="36"/>
  <c r="M74" i="36"/>
  <c r="M88" i="36"/>
  <c r="M94" i="36"/>
  <c r="A8" i="35"/>
  <c r="E15" i="35"/>
  <c r="E16" i="35"/>
  <c r="E17" i="35"/>
  <c r="E18" i="35"/>
  <c r="E19" i="35"/>
  <c r="E20" i="35"/>
  <c r="E21" i="35"/>
  <c r="E22" i="35"/>
  <c r="E23" i="35"/>
  <c r="C25" i="35"/>
  <c r="G25" i="35"/>
  <c r="G32" i="35"/>
  <c r="G47" i="35"/>
  <c r="G48" i="35"/>
  <c r="G49" i="35"/>
  <c r="G50" i="35"/>
  <c r="D51" i="35"/>
  <c r="D57" i="35"/>
  <c r="E51" i="35"/>
  <c r="E57" i="35"/>
  <c r="F51" i="35"/>
  <c r="F57" i="35"/>
  <c r="G55" i="35"/>
  <c r="C8" i="34"/>
  <c r="I43" i="34"/>
  <c r="B48" i="34"/>
  <c r="F48" i="34"/>
  <c r="G48" i="34"/>
  <c r="I48" i="34"/>
  <c r="B49" i="34"/>
  <c r="F49" i="34"/>
  <c r="G49" i="34"/>
  <c r="I49" i="34"/>
  <c r="B50" i="34"/>
  <c r="F50" i="34"/>
  <c r="G50" i="34"/>
  <c r="I50" i="34"/>
  <c r="B51" i="34"/>
  <c r="F51" i="34"/>
  <c r="G51" i="34"/>
  <c r="I51" i="34"/>
  <c r="B52" i="34"/>
  <c r="F52" i="34"/>
  <c r="G52" i="34"/>
  <c r="I52" i="34"/>
  <c r="B53" i="34"/>
  <c r="F53" i="34"/>
  <c r="G53" i="34"/>
  <c r="I53" i="34"/>
  <c r="B54" i="34"/>
  <c r="F54" i="34"/>
  <c r="G54" i="34"/>
  <c r="I54" i="34"/>
  <c r="B55" i="34"/>
  <c r="F55" i="34"/>
  <c r="G55" i="34"/>
  <c r="I55" i="34"/>
  <c r="B56" i="34"/>
  <c r="F56" i="34"/>
  <c r="G56" i="34"/>
  <c r="I56" i="34"/>
  <c r="B57" i="34"/>
  <c r="F57" i="34"/>
  <c r="G57" i="34"/>
  <c r="I57" i="34"/>
  <c r="B58" i="34"/>
  <c r="F58" i="34"/>
  <c r="G58" i="34"/>
  <c r="I58" i="34"/>
  <c r="B59" i="34"/>
  <c r="F59" i="34"/>
  <c r="G59" i="34"/>
  <c r="I59" i="34"/>
  <c r="B60" i="34"/>
  <c r="F60" i="34"/>
  <c r="G60" i="34"/>
  <c r="I60" i="34"/>
  <c r="B61" i="34"/>
  <c r="F61" i="34"/>
  <c r="G61" i="34"/>
  <c r="I61" i="34"/>
  <c r="B62" i="34"/>
  <c r="F62" i="34"/>
  <c r="G62" i="34"/>
  <c r="I62" i="34"/>
  <c r="B63" i="34"/>
  <c r="F63" i="34"/>
  <c r="G63" i="34"/>
  <c r="I63" i="34"/>
  <c r="A8" i="33"/>
  <c r="F52" i="33"/>
  <c r="F62" i="33"/>
  <c r="G52" i="33"/>
  <c r="G54" i="33"/>
  <c r="G57" i="33"/>
  <c r="F58" i="33"/>
  <c r="G58" i="33"/>
  <c r="F59" i="33"/>
  <c r="G59" i="33"/>
  <c r="F60" i="33"/>
  <c r="G60" i="33"/>
  <c r="F61" i="33"/>
  <c r="G61" i="33"/>
  <c r="F63" i="33"/>
  <c r="G63" i="33"/>
  <c r="G66" i="33"/>
  <c r="G70" i="33"/>
  <c r="F69" i="33"/>
  <c r="F70" i="33"/>
  <c r="D5" i="32"/>
  <c r="E5" i="32"/>
  <c r="A8" i="32"/>
  <c r="B121" i="32"/>
  <c r="D79" i="32" s="1"/>
  <c r="A8" i="31"/>
  <c r="E19" i="31"/>
  <c r="F19" i="31"/>
  <c r="E20" i="31"/>
  <c r="F20" i="31"/>
  <c r="E21" i="31"/>
  <c r="F21" i="31"/>
  <c r="E22" i="31"/>
  <c r="F22" i="31"/>
  <c r="E23" i="31"/>
  <c r="F23" i="31"/>
  <c r="E24" i="31"/>
  <c r="F24" i="31"/>
  <c r="E25" i="31"/>
  <c r="F25" i="31"/>
  <c r="E26" i="31"/>
  <c r="F26" i="31"/>
  <c r="E27" i="31"/>
  <c r="F27" i="31"/>
  <c r="E28" i="31"/>
  <c r="F28" i="31"/>
  <c r="E29" i="31"/>
  <c r="F29" i="31"/>
  <c r="E30" i="31"/>
  <c r="F30" i="31"/>
  <c r="E31" i="31"/>
  <c r="F31" i="31"/>
  <c r="E32" i="31"/>
  <c r="F32" i="31"/>
  <c r="E33" i="31"/>
  <c r="F33" i="31"/>
  <c r="E34" i="31"/>
  <c r="F34" i="31"/>
  <c r="E35" i="31"/>
  <c r="F35" i="31"/>
  <c r="E36" i="31"/>
  <c r="F36" i="31"/>
  <c r="E37" i="31"/>
  <c r="F37" i="31"/>
  <c r="B38" i="31"/>
  <c r="B56" i="31"/>
  <c r="F5" i="30"/>
  <c r="G5" i="30"/>
  <c r="A8" i="30"/>
  <c r="D13" i="30"/>
  <c r="B38" i="30"/>
  <c r="B57" i="30"/>
  <c r="J5" i="29"/>
  <c r="K5" i="29"/>
  <c r="A8" i="29"/>
  <c r="L14" i="29"/>
  <c r="I20" i="29"/>
  <c r="J20" i="29"/>
  <c r="K20" i="29"/>
  <c r="I21" i="29"/>
  <c r="J21" i="29"/>
  <c r="K21" i="29"/>
  <c r="I22" i="29"/>
  <c r="J22" i="29"/>
  <c r="J28" i="29" s="1"/>
  <c r="K22" i="29"/>
  <c r="I23" i="29"/>
  <c r="J23" i="29"/>
  <c r="K23" i="29"/>
  <c r="I24" i="29"/>
  <c r="J24" i="29"/>
  <c r="K24" i="29"/>
  <c r="I25" i="29"/>
  <c r="I28" i="29" s="1"/>
  <c r="J25" i="29"/>
  <c r="K25" i="29"/>
  <c r="I26" i="29"/>
  <c r="J26" i="29"/>
  <c r="K26" i="29"/>
  <c r="I27" i="29"/>
  <c r="J27" i="29"/>
  <c r="K27" i="29"/>
  <c r="K28" i="29" s="1"/>
  <c r="D28" i="29"/>
  <c r="F28" i="29"/>
  <c r="K16" i="28"/>
  <c r="V16" i="28" s="1"/>
  <c r="K19" i="28"/>
  <c r="V19" i="28" s="1"/>
  <c r="E76" i="28"/>
  <c r="I76" i="28"/>
  <c r="J76" i="28"/>
  <c r="E77" i="28"/>
  <c r="I77" i="28"/>
  <c r="J77" i="28"/>
  <c r="O77" i="28" s="1"/>
  <c r="M77" i="28" s="1"/>
  <c r="E78" i="28"/>
  <c r="I78" i="28"/>
  <c r="J78" i="28"/>
  <c r="E79" i="28"/>
  <c r="I79" i="28"/>
  <c r="J79" i="28"/>
  <c r="O79" i="28" s="1"/>
  <c r="E80" i="28"/>
  <c r="I80" i="28"/>
  <c r="J80" i="28"/>
  <c r="O80" i="28" s="1"/>
  <c r="E81" i="28"/>
  <c r="K81" i="28"/>
  <c r="N81" i="28" s="1"/>
  <c r="I81" i="28"/>
  <c r="J81" i="28"/>
  <c r="E82" i="28"/>
  <c r="K82" i="28"/>
  <c r="N82" i="28" s="1"/>
  <c r="M82" i="28" s="1"/>
  <c r="I82" i="28"/>
  <c r="J82" i="28"/>
  <c r="O82" i="28" s="1"/>
  <c r="E83" i="28"/>
  <c r="I83" i="28"/>
  <c r="J83" i="28"/>
  <c r="E84" i="28"/>
  <c r="I84" i="28"/>
  <c r="J84" i="28"/>
  <c r="E85" i="28"/>
  <c r="I85" i="28"/>
  <c r="J85" i="28"/>
  <c r="O85" i="28" s="1"/>
  <c r="M85" i="28" s="1"/>
  <c r="E86" i="28"/>
  <c r="I86" i="28"/>
  <c r="J86" i="28"/>
  <c r="O86" i="28" s="1"/>
  <c r="E87" i="28"/>
  <c r="I87" i="28"/>
  <c r="J87" i="28"/>
  <c r="O87" i="28" s="1"/>
  <c r="E88" i="28"/>
  <c r="I88" i="28"/>
  <c r="J88" i="28"/>
  <c r="O88" i="28" s="1"/>
  <c r="E89" i="28"/>
  <c r="I89" i="28"/>
  <c r="J89" i="28"/>
  <c r="E90" i="28"/>
  <c r="I90" i="28"/>
  <c r="J90" i="28"/>
  <c r="O90" i="28" s="1"/>
  <c r="G5" i="27"/>
  <c r="H5" i="27"/>
  <c r="A8" i="27"/>
  <c r="H14" i="27"/>
  <c r="D17" i="27"/>
  <c r="H17" i="27"/>
  <c r="D40" i="27"/>
  <c r="D19" i="27"/>
  <c r="H40" i="27"/>
  <c r="D23" i="27"/>
  <c r="C17" i="26"/>
  <c r="C33" i="26" s="1"/>
  <c r="D17" i="26"/>
  <c r="D33" i="26"/>
  <c r="E17" i="26"/>
  <c r="E34" i="26" s="1"/>
  <c r="F17" i="26"/>
  <c r="F33" i="26"/>
  <c r="G17" i="26"/>
  <c r="C20" i="26"/>
  <c r="C21" i="26" s="1"/>
  <c r="D20" i="26"/>
  <c r="D21" i="26" s="1"/>
  <c r="E20" i="26"/>
  <c r="E21" i="26" s="1"/>
  <c r="F20" i="26"/>
  <c r="F21" i="26" s="1"/>
  <c r="C24" i="26"/>
  <c r="C23" i="26" s="1"/>
  <c r="D24" i="26"/>
  <c r="D23" i="26" s="1"/>
  <c r="E24" i="26"/>
  <c r="E23" i="26" s="1"/>
  <c r="E29" i="26" s="1"/>
  <c r="F24" i="26"/>
  <c r="F23" i="26" s="1"/>
  <c r="C17" i="25"/>
  <c r="C34" i="25" s="1"/>
  <c r="D17" i="25"/>
  <c r="D34" i="25" s="1"/>
  <c r="E17" i="25"/>
  <c r="E34" i="25"/>
  <c r="F17" i="25"/>
  <c r="F34" i="25" s="1"/>
  <c r="G17" i="25"/>
  <c r="G34" i="25"/>
  <c r="C20" i="25"/>
  <c r="C21" i="25"/>
  <c r="D20" i="25"/>
  <c r="D21" i="25"/>
  <c r="E20" i="25"/>
  <c r="E21" i="25" s="1"/>
  <c r="F20" i="25"/>
  <c r="G20" i="25"/>
  <c r="G21" i="25"/>
  <c r="C24" i="25"/>
  <c r="C23" i="25" s="1"/>
  <c r="D24" i="25"/>
  <c r="D23" i="25" s="1"/>
  <c r="E24" i="25"/>
  <c r="E23" i="25" s="1"/>
  <c r="F24" i="25"/>
  <c r="F23" i="25"/>
  <c r="F27" i="25" s="1"/>
  <c r="G24" i="25"/>
  <c r="G23" i="25" s="1"/>
  <c r="B5" i="24"/>
  <c r="C5" i="24"/>
  <c r="A8" i="24"/>
  <c r="F5" i="23"/>
  <c r="G5" i="23"/>
  <c r="A8" i="23"/>
  <c r="E16" i="23"/>
  <c r="F16" i="23"/>
  <c r="E17" i="23"/>
  <c r="G17" i="23"/>
  <c r="E18" i="23"/>
  <c r="F18" i="23"/>
  <c r="E19" i="23"/>
  <c r="F19" i="23"/>
  <c r="E20" i="23"/>
  <c r="G20" i="23"/>
  <c r="E21" i="23"/>
  <c r="F21" i="23"/>
  <c r="E22" i="23"/>
  <c r="F22" i="23"/>
  <c r="E23" i="23"/>
  <c r="F23" i="23"/>
  <c r="E24" i="23"/>
  <c r="G24" i="23"/>
  <c r="E25" i="23"/>
  <c r="E26" i="23"/>
  <c r="G26" i="23"/>
  <c r="E27" i="23"/>
  <c r="F27" i="23"/>
  <c r="E28" i="23"/>
  <c r="G28" i="23"/>
  <c r="A12" i="22"/>
  <c r="K18" i="22"/>
  <c r="K20" i="22"/>
  <c r="K24" i="22"/>
  <c r="K28" i="22"/>
  <c r="K30" i="22"/>
  <c r="K32" i="22"/>
  <c r="M32" i="22"/>
  <c r="M28" i="22"/>
  <c r="M30" i="22"/>
  <c r="M18" i="22"/>
  <c r="M20" i="22"/>
  <c r="K41" i="22"/>
  <c r="K43" i="22"/>
  <c r="K47" i="22"/>
  <c r="K51" i="22"/>
  <c r="K53" i="22"/>
  <c r="K55" i="22"/>
  <c r="M55" i="22"/>
  <c r="M51" i="22"/>
  <c r="M53" i="22"/>
  <c r="M41" i="22"/>
  <c r="M43" i="22"/>
  <c r="K63" i="22"/>
  <c r="K65" i="22"/>
  <c r="K69" i="22"/>
  <c r="K73" i="22"/>
  <c r="K75" i="22"/>
  <c r="K77" i="22"/>
  <c r="M77" i="22"/>
  <c r="M73" i="22"/>
  <c r="M75" i="22"/>
  <c r="M63" i="22"/>
  <c r="M65" i="22"/>
  <c r="E22" i="22"/>
  <c r="I24" i="22" s="1"/>
  <c r="C26" i="22"/>
  <c r="G26" i="22"/>
  <c r="E45" i="22"/>
  <c r="E47" i="22" s="1"/>
  <c r="C49" i="22"/>
  <c r="G49" i="22"/>
  <c r="E67" i="22"/>
  <c r="I69" i="22" s="1"/>
  <c r="C71" i="22"/>
  <c r="G71" i="22"/>
  <c r="A8" i="21"/>
  <c r="W16" i="21"/>
  <c r="W18" i="21"/>
  <c r="E20" i="21"/>
  <c r="E22" i="21" s="1"/>
  <c r="E24" i="21" s="1"/>
  <c r="I20" i="21"/>
  <c r="I22" i="21" s="1"/>
  <c r="I24" i="21" s="1"/>
  <c r="M20" i="21"/>
  <c r="M22" i="21" s="1"/>
  <c r="Q20" i="21"/>
  <c r="Q22" i="21" s="1"/>
  <c r="U20" i="21"/>
  <c r="U22" i="21" s="1"/>
  <c r="U24" i="21" s="1"/>
  <c r="C24" i="21"/>
  <c r="G24" i="21"/>
  <c r="K24" i="21"/>
  <c r="O24" i="21"/>
  <c r="S24" i="21"/>
  <c r="W26" i="21"/>
  <c r="E30" i="21"/>
  <c r="I30" i="21"/>
  <c r="M30" i="21"/>
  <c r="Q30" i="21"/>
  <c r="U30" i="21"/>
  <c r="E32" i="21"/>
  <c r="E36" i="21" s="1"/>
  <c r="I32" i="21"/>
  <c r="I36" i="21" s="1"/>
  <c r="M32" i="21"/>
  <c r="M36" i="21" s="1"/>
  <c r="Q32" i="21"/>
  <c r="U32" i="21"/>
  <c r="U36" i="21" s="1"/>
  <c r="C34" i="21"/>
  <c r="G34" i="21"/>
  <c r="K34" i="21"/>
  <c r="O34" i="21"/>
  <c r="S34" i="21"/>
  <c r="F5" i="20"/>
  <c r="G5" i="20"/>
  <c r="A8" i="20"/>
  <c r="E16" i="20"/>
  <c r="G16" i="20"/>
  <c r="E17" i="20"/>
  <c r="G17" i="20"/>
  <c r="E18" i="20"/>
  <c r="G18" i="20"/>
  <c r="E19" i="20"/>
  <c r="G19" i="20"/>
  <c r="E20" i="20"/>
  <c r="G20" i="20"/>
  <c r="E21" i="20"/>
  <c r="G21" i="20"/>
  <c r="E22" i="20"/>
  <c r="G22" i="20"/>
  <c r="E23" i="20"/>
  <c r="G23" i="20"/>
  <c r="E24" i="20"/>
  <c r="F24" i="20"/>
  <c r="E25" i="20"/>
  <c r="F25" i="20"/>
  <c r="E26" i="20"/>
  <c r="G26" i="20"/>
  <c r="E27" i="20"/>
  <c r="F27" i="20"/>
  <c r="E28" i="20"/>
  <c r="G28" i="20"/>
  <c r="H5" i="19"/>
  <c r="I5" i="19"/>
  <c r="A8" i="19"/>
  <c r="I21" i="19"/>
  <c r="I23" i="19" s="1"/>
  <c r="I28" i="19"/>
  <c r="I29" i="19" s="1"/>
  <c r="I30" i="19"/>
  <c r="E5" i="18"/>
  <c r="F5" i="18"/>
  <c r="A8" i="18"/>
  <c r="F66" i="18"/>
  <c r="C14" i="1"/>
  <c r="F23" i="16"/>
  <c r="G23" i="16"/>
  <c r="G25" i="16"/>
  <c r="G26" i="16"/>
  <c r="G27" i="16"/>
  <c r="F26" i="16"/>
  <c r="A39" i="16"/>
  <c r="B41" i="16"/>
  <c r="C41" i="16"/>
  <c r="D41" i="16"/>
  <c r="E41" i="16"/>
  <c r="F41" i="16"/>
  <c r="G46" i="16"/>
  <c r="E24" i="15"/>
  <c r="F24" i="15"/>
  <c r="F28" i="15"/>
  <c r="B34" i="15"/>
  <c r="E27" i="15"/>
  <c r="AN1" i="13"/>
  <c r="AM3" i="13"/>
  <c r="AN3" i="13"/>
  <c r="A6" i="13"/>
  <c r="AH9" i="13"/>
  <c r="P119" i="13"/>
  <c r="Q119" i="13"/>
  <c r="R119" i="13"/>
  <c r="S119" i="13"/>
  <c r="T119" i="13"/>
  <c r="U119" i="13"/>
  <c r="V119" i="13"/>
  <c r="W119" i="13"/>
  <c r="X119" i="13"/>
  <c r="Y31" i="13"/>
  <c r="Y119" i="13"/>
  <c r="P133" i="13"/>
  <c r="P141" i="13"/>
  <c r="Q133" i="13"/>
  <c r="Q141" i="13"/>
  <c r="R133" i="13"/>
  <c r="R141" i="13"/>
  <c r="S133" i="13"/>
  <c r="S141" i="13"/>
  <c r="T133" i="13"/>
  <c r="T141" i="13"/>
  <c r="U133" i="13"/>
  <c r="U141" i="13"/>
  <c r="V133" i="13"/>
  <c r="V141" i="13"/>
  <c r="W133" i="13"/>
  <c r="W141" i="13"/>
  <c r="X133" i="13"/>
  <c r="X141" i="13"/>
  <c r="Y133" i="13"/>
  <c r="Y141" i="13"/>
  <c r="Z141" i="13"/>
  <c r="AA141" i="13"/>
  <c r="AB141" i="13"/>
  <c r="AC141" i="13"/>
  <c r="AD141" i="13"/>
  <c r="AE141" i="13"/>
  <c r="AF141" i="13"/>
  <c r="AG141" i="13"/>
  <c r="AH141" i="13"/>
  <c r="AI141" i="13"/>
  <c r="B83" i="13"/>
  <c r="B84" i="13"/>
  <c r="D42" i="13"/>
  <c r="G55" i="13"/>
  <c r="H55" i="13"/>
  <c r="I55" i="13"/>
  <c r="J55" i="13"/>
  <c r="K55" i="13"/>
  <c r="L55" i="13"/>
  <c r="M55" i="13"/>
  <c r="G80" i="13"/>
  <c r="G57" i="13"/>
  <c r="H80" i="13"/>
  <c r="I80" i="13"/>
  <c r="I57" i="13"/>
  <c r="J80" i="13"/>
  <c r="J79" i="13"/>
  <c r="J78" i="13" s="1"/>
  <c r="J97" i="13" s="1"/>
  <c r="K80" i="13"/>
  <c r="K79" i="13"/>
  <c r="K78" i="13" s="1"/>
  <c r="K97" i="13" s="1"/>
  <c r="L80" i="13"/>
  <c r="L57" i="13"/>
  <c r="M80" i="13"/>
  <c r="M79" i="13"/>
  <c r="M78" i="13" s="1"/>
  <c r="M97" i="13" s="1"/>
  <c r="C11" i="1"/>
  <c r="W10" i="6"/>
  <c r="U10" i="6"/>
  <c r="S10" i="6"/>
  <c r="Q10" i="6"/>
  <c r="O10" i="6"/>
  <c r="M10" i="6"/>
  <c r="K10" i="6"/>
  <c r="I10" i="6"/>
  <c r="G10" i="6"/>
  <c r="AC10" i="6"/>
  <c r="AA10" i="6"/>
  <c r="Y10" i="6"/>
  <c r="J29" i="6"/>
  <c r="L29" i="6"/>
  <c r="N29" i="6"/>
  <c r="P29" i="6"/>
  <c r="R29" i="6"/>
  <c r="T29" i="6"/>
  <c r="V29" i="6"/>
  <c r="X29" i="6"/>
  <c r="Z29" i="6"/>
  <c r="AB29" i="6"/>
  <c r="AD29" i="6"/>
  <c r="H31" i="6"/>
  <c r="H33" i="6" s="1"/>
  <c r="J51" i="7" a="1"/>
  <c r="J51" i="7" s="1"/>
  <c r="J69" i="7" a="1"/>
  <c r="J69" i="7" s="1"/>
  <c r="AE10" i="6"/>
  <c r="I29" i="6"/>
  <c r="K29" i="6"/>
  <c r="M29" i="6"/>
  <c r="O29" i="6"/>
  <c r="Q29" i="6"/>
  <c r="S29" i="6"/>
  <c r="U29" i="6"/>
  <c r="W29" i="6"/>
  <c r="Y29" i="6"/>
  <c r="AC29" i="6"/>
  <c r="G31" i="6"/>
  <c r="G33" i="6" s="1"/>
  <c r="I51" i="7" a="1"/>
  <c r="I51" i="7" s="1"/>
  <c r="J36" i="11"/>
  <c r="J37" i="11"/>
  <c r="S37" i="11" s="1"/>
  <c r="I69" i="7" a="1"/>
  <c r="I69" i="7" s="1"/>
  <c r="H69" i="7" s="1" a="1"/>
  <c r="B61" i="13"/>
  <c r="B62" i="13"/>
  <c r="A63" i="13"/>
  <c r="B64" i="13"/>
  <c r="B65" i="13"/>
  <c r="B66" i="13"/>
  <c r="B67" i="13"/>
  <c r="B68" i="13"/>
  <c r="I69" i="13"/>
  <c r="J69" i="13"/>
  <c r="L69" i="13"/>
  <c r="N69" i="13"/>
  <c r="Z69" i="13"/>
  <c r="AA69" i="13"/>
  <c r="AB69" i="13"/>
  <c r="AC69" i="13"/>
  <c r="AD69" i="13"/>
  <c r="AE69" i="13"/>
  <c r="AF69" i="13"/>
  <c r="AG69" i="13"/>
  <c r="AH69" i="13"/>
  <c r="AI69" i="13"/>
  <c r="Y77" i="13"/>
  <c r="Z78" i="13"/>
  <c r="AA78" i="13"/>
  <c r="AB78" i="13"/>
  <c r="AC78" i="13"/>
  <c r="AD78" i="13"/>
  <c r="AE78" i="13"/>
  <c r="AF78" i="13"/>
  <c r="AG78" i="13"/>
  <c r="AH78" i="13"/>
  <c r="AI78" i="13"/>
  <c r="D106" i="13"/>
  <c r="D107" i="13"/>
  <c r="AN1" i="12"/>
  <c r="AM3" i="12"/>
  <c r="AN3" i="12"/>
  <c r="A6" i="12"/>
  <c r="AH9" i="12"/>
  <c r="Q27" i="12"/>
  <c r="Q87" i="12"/>
  <c r="R27" i="12"/>
  <c r="R87" i="12"/>
  <c r="T27" i="12"/>
  <c r="T34" i="12"/>
  <c r="T45" i="12"/>
  <c r="U27" i="12"/>
  <c r="U87" i="12"/>
  <c r="V27" i="12"/>
  <c r="V87" i="12"/>
  <c r="W27" i="12"/>
  <c r="W87" i="12"/>
  <c r="X27" i="12"/>
  <c r="X34" i="12"/>
  <c r="X45" i="12"/>
  <c r="Q80" i="12"/>
  <c r="R80" i="12"/>
  <c r="S80" i="12"/>
  <c r="T80" i="12"/>
  <c r="U80" i="12"/>
  <c r="V80" i="12"/>
  <c r="W80" i="12"/>
  <c r="X80" i="12"/>
  <c r="AK36" i="12"/>
  <c r="B37" i="12"/>
  <c r="B38" i="12"/>
  <c r="A39" i="12"/>
  <c r="B40" i="12"/>
  <c r="B41" i="12"/>
  <c r="B42" i="12"/>
  <c r="B43" i="12"/>
  <c r="B44" i="12"/>
  <c r="AA56" i="12"/>
  <c r="AB56" i="12"/>
  <c r="AC56" i="12"/>
  <c r="AD56" i="12"/>
  <c r="AE56" i="12"/>
  <c r="AF56" i="12"/>
  <c r="AG56" i="12"/>
  <c r="AH56" i="12"/>
  <c r="AI56" i="12"/>
  <c r="T5" i="11"/>
  <c r="O82" i="11"/>
  <c r="O89" i="11" s="1"/>
  <c r="O100" i="11" s="1"/>
  <c r="Q82" i="11"/>
  <c r="Q89" i="11" s="1"/>
  <c r="Q100" i="11" s="1"/>
  <c r="H14" i="7"/>
  <c r="G10" i="8" s="1"/>
  <c r="H15" i="7"/>
  <c r="G11" i="8" s="1"/>
  <c r="H18" i="7" a="1"/>
  <c r="H18" i="7" s="1"/>
  <c r="G14" i="8" s="1"/>
  <c r="H19" i="7" a="1"/>
  <c r="H19" i="7" s="1"/>
  <c r="G15" i="8" s="1"/>
  <c r="H20" i="7" a="1"/>
  <c r="H20" i="7" s="1"/>
  <c r="G16" i="8" s="1"/>
  <c r="H21" i="7" a="1"/>
  <c r="H21" i="7" s="1"/>
  <c r="G17" i="8" s="1"/>
  <c r="H22" i="7" a="1"/>
  <c r="H22" i="7" s="1"/>
  <c r="G18" i="8" s="1"/>
  <c r="H25" i="7" a="1"/>
  <c r="H25" i="7"/>
  <c r="G21" i="8" s="1"/>
  <c r="H26" i="7" a="1"/>
  <c r="H26" i="7" s="1"/>
  <c r="G22" i="8" s="1"/>
  <c r="H27" i="7" a="1"/>
  <c r="H27" i="7"/>
  <c r="G23" i="8" s="1"/>
  <c r="H30" i="7" a="1"/>
  <c r="H30" i="7" s="1"/>
  <c r="G26" i="8" s="1"/>
  <c r="H31" i="7" a="1"/>
  <c r="H31" i="7" s="1"/>
  <c r="G27" i="8" s="1"/>
  <c r="H32" i="7" a="1"/>
  <c r="H32" i="7" s="1"/>
  <c r="G28" i="8" s="1"/>
  <c r="H33" i="7" a="1"/>
  <c r="H33" i="7" s="1"/>
  <c r="G29" i="8" s="1"/>
  <c r="H34" i="7" a="1"/>
  <c r="H34" i="7" s="1"/>
  <c r="G30" i="8" s="1"/>
  <c r="H35" i="7" a="1"/>
  <c r="H35" i="7"/>
  <c r="G31" i="8" s="1"/>
  <c r="H36" i="7" a="1"/>
  <c r="H36" i="7"/>
  <c r="G32" i="8" s="1"/>
  <c r="H37" i="7" a="1"/>
  <c r="H37" i="7"/>
  <c r="G33" i="8" s="1"/>
  <c r="H38" i="7" a="1"/>
  <c r="H38" i="7" s="1"/>
  <c r="G34" i="8" s="1"/>
  <c r="H39" i="7" a="1"/>
  <c r="H39" i="7" s="1"/>
  <c r="G35" i="8" s="1"/>
  <c r="H40" i="7" a="1"/>
  <c r="H40" i="7" s="1"/>
  <c r="G36" i="8" s="1"/>
  <c r="H41" i="7" a="1"/>
  <c r="H41" i="7" s="1"/>
  <c r="G37" i="8" s="1"/>
  <c r="H42" i="7" a="1"/>
  <c r="H42" i="7" s="1"/>
  <c r="G38" i="8" s="1"/>
  <c r="H43" i="7" a="1"/>
  <c r="H43" i="7"/>
  <c r="G39" i="8" s="1"/>
  <c r="H44" i="7" a="1"/>
  <c r="H44" i="7" s="1"/>
  <c r="G40" i="8" s="1"/>
  <c r="H45" i="7" a="1"/>
  <c r="H45" i="7"/>
  <c r="G41" i="8" s="1"/>
  <c r="H46" i="7" a="1"/>
  <c r="H46" i="7" s="1"/>
  <c r="G42" i="8" s="1"/>
  <c r="H47" i="7" a="1"/>
  <c r="H47" i="7" s="1"/>
  <c r="G43" i="8" s="1"/>
  <c r="H48" i="7" a="1"/>
  <c r="H48" i="7" s="1"/>
  <c r="G44" i="8" s="1"/>
  <c r="H49" i="7" a="1"/>
  <c r="H49" i="7" s="1"/>
  <c r="G45" i="8" s="1"/>
  <c r="H50" i="7" a="1"/>
  <c r="H50" i="7" s="1"/>
  <c r="G46" i="8" s="1"/>
  <c r="H54" i="7" a="1"/>
  <c r="H54" i="7"/>
  <c r="G50" i="8" s="1"/>
  <c r="H55" i="7" a="1"/>
  <c r="H55" i="7"/>
  <c r="G51" i="8" s="1"/>
  <c r="H58" i="7" a="1"/>
  <c r="H58" i="7"/>
  <c r="G54" i="8" s="1"/>
  <c r="H61" i="7" a="1"/>
  <c r="H61" i="7" s="1"/>
  <c r="G57" i="8" s="1"/>
  <c r="H62" i="7" a="1"/>
  <c r="H62" i="7" s="1"/>
  <c r="G58" i="8" s="1"/>
  <c r="H63" i="7" a="1"/>
  <c r="H63" i="7" s="1"/>
  <c r="G59" i="8" s="1"/>
  <c r="H64" i="7" a="1"/>
  <c r="H64" i="7" s="1"/>
  <c r="G60" i="8" s="1"/>
  <c r="H65" i="7" a="1"/>
  <c r="H65" i="7"/>
  <c r="G61" i="8" s="1"/>
  <c r="H66" i="7" a="1"/>
  <c r="H66" i="7" s="1"/>
  <c r="G62" i="8" s="1"/>
  <c r="H67" i="7" a="1"/>
  <c r="H67" i="7"/>
  <c r="G63" i="8" s="1"/>
  <c r="H71" i="7" a="1"/>
  <c r="H71" i="7" s="1"/>
  <c r="G67" i="8" s="1"/>
  <c r="H72" i="7" a="1"/>
  <c r="H72" i="7" s="1"/>
  <c r="G68" i="8" s="1"/>
  <c r="H73" i="7" a="1"/>
  <c r="H73" i="7" s="1"/>
  <c r="G69" i="8" s="1"/>
  <c r="H74" i="7" a="1"/>
  <c r="H74" i="7" s="1"/>
  <c r="G70" i="8" s="1"/>
  <c r="H75" i="7" a="1"/>
  <c r="H75" i="7" s="1"/>
  <c r="G71" i="8" s="1"/>
  <c r="H76" i="7" a="1"/>
  <c r="H76" i="7"/>
  <c r="G72" i="8" s="1"/>
  <c r="H77" i="7" a="1"/>
  <c r="H77" i="7"/>
  <c r="G73" i="8" s="1"/>
  <c r="H78" i="7" a="1"/>
  <c r="H78" i="7"/>
  <c r="G74" i="8" s="1"/>
  <c r="H79" i="7" a="1"/>
  <c r="H79" i="7" s="1"/>
  <c r="G75" i="8" s="1"/>
  <c r="H83" i="7" a="1"/>
  <c r="H83" i="7" s="1"/>
  <c r="G77" i="8" s="1"/>
  <c r="H84" i="7" a="1"/>
  <c r="H84" i="7" s="1"/>
  <c r="G78" i="8" s="1"/>
  <c r="H85" i="7" a="1"/>
  <c r="H85" i="7"/>
  <c r="G79" i="8" s="1"/>
  <c r="H89" i="7" a="1"/>
  <c r="H89" i="7"/>
  <c r="H83" i="8" s="1"/>
  <c r="H3" i="7"/>
  <c r="I3" i="7"/>
  <c r="A6" i="7"/>
  <c r="C16" i="1"/>
  <c r="C49" i="7"/>
  <c r="C50" i="7" s="1"/>
  <c r="A46" i="8" s="1"/>
  <c r="H68" i="7" a="1"/>
  <c r="H68" i="7" s="1"/>
  <c r="G64" i="8" s="1"/>
  <c r="E72" i="7"/>
  <c r="A68" i="8" s="1"/>
  <c r="H101" i="7"/>
  <c r="H141" i="7"/>
  <c r="H143" i="7" s="1"/>
  <c r="H152" i="7"/>
  <c r="F164" i="7"/>
  <c r="I190" i="7" s="1"/>
  <c r="H190" i="7" s="1"/>
  <c r="F165" i="7"/>
  <c r="I191" i="7" s="1"/>
  <c r="H191" i="7" s="1"/>
  <c r="F166" i="7"/>
  <c r="F167" i="7"/>
  <c r="I193" i="7" s="1"/>
  <c r="H193" i="7" s="1"/>
  <c r="F168" i="7"/>
  <c r="I194" i="7" s="1"/>
  <c r="H194" i="7" s="1"/>
  <c r="F169" i="7"/>
  <c r="I195" i="7" s="1"/>
  <c r="H195" i="7" s="1"/>
  <c r="F170" i="7"/>
  <c r="I196" i="7" s="1"/>
  <c r="H196" i="7" s="1"/>
  <c r="F171" i="7"/>
  <c r="I197" i="7" s="1"/>
  <c r="H197" i="7" s="1"/>
  <c r="F172" i="7"/>
  <c r="I198" i="7" s="1"/>
  <c r="H198" i="7" s="1"/>
  <c r="F173" i="7"/>
  <c r="I199" i="7" s="1"/>
  <c r="H199" i="7" s="1"/>
  <c r="F174" i="7"/>
  <c r="I200" i="7" s="1"/>
  <c r="H200" i="7" s="1"/>
  <c r="F175" i="7"/>
  <c r="I201" i="7" s="1"/>
  <c r="H201" i="7" s="1"/>
  <c r="F176" i="7"/>
  <c r="I202" i="7" s="1"/>
  <c r="H202" i="7" s="1"/>
  <c r="F177" i="7"/>
  <c r="I203" i="7" s="1"/>
  <c r="H203" i="7" s="1"/>
  <c r="F178" i="7"/>
  <c r="I204" i="7" s="1"/>
  <c r="H204" i="7" s="1"/>
  <c r="F179" i="7"/>
  <c r="I205" i="7" s="1"/>
  <c r="H205" i="7" s="1"/>
  <c r="H236" i="7"/>
  <c r="G246" i="7"/>
  <c r="D277" i="7"/>
  <c r="A289" i="7"/>
  <c r="D289" i="7"/>
  <c r="A290" i="7"/>
  <c r="D290" i="7"/>
  <c r="A291" i="7"/>
  <c r="AH10" i="6"/>
  <c r="G26" i="6"/>
  <c r="H26" i="6"/>
  <c r="AI26" i="6"/>
  <c r="AI31" i="6"/>
  <c r="AI33" i="6" s="1"/>
  <c r="AI67" i="6" s="1"/>
  <c r="G9" i="5"/>
  <c r="I49" i="5"/>
  <c r="I50" i="5"/>
  <c r="I51" i="5"/>
  <c r="I52" i="5"/>
  <c r="I79" i="5"/>
  <c r="I80" i="5"/>
  <c r="I81" i="5"/>
  <c r="I82" i="5"/>
  <c r="I83" i="5"/>
  <c r="I84" i="5"/>
  <c r="I118" i="5"/>
  <c r="I119" i="5"/>
  <c r="I120" i="5"/>
  <c r="I121" i="5"/>
  <c r="C17" i="1"/>
  <c r="C83" i="24"/>
  <c r="C80" i="24"/>
  <c r="F69" i="13"/>
  <c r="K69" i="13"/>
  <c r="E69" i="13"/>
  <c r="H69" i="13"/>
  <c r="M69" i="13"/>
  <c r="G69" i="13"/>
  <c r="J11" i="9"/>
  <c r="I10" i="45"/>
  <c r="H5" i="8"/>
  <c r="A4" i="60"/>
  <c r="H11" i="62"/>
  <c r="D44" i="13"/>
  <c r="E5" i="2"/>
  <c r="D275" i="7"/>
  <c r="H11" i="57"/>
  <c r="E24" i="57" s="1"/>
  <c r="D24" i="57" s="1"/>
  <c r="C24" i="57" s="1"/>
  <c r="A49" i="54"/>
  <c r="D43" i="13"/>
  <c r="A4" i="6"/>
  <c r="B3" i="8"/>
  <c r="A8" i="22"/>
  <c r="O9" i="40"/>
  <c r="P20" i="51"/>
  <c r="B16" i="5"/>
  <c r="B49" i="5"/>
  <c r="B17" i="5"/>
  <c r="J86" i="7" a="1"/>
  <c r="J86" i="7" s="1"/>
  <c r="I86" i="7" a="1"/>
  <c r="I86" i="7" s="1"/>
  <c r="H86" i="7" s="1" a="1"/>
  <c r="G22" i="23"/>
  <c r="L37" i="47"/>
  <c r="K37" i="47"/>
  <c r="A23" i="38"/>
  <c r="G24" i="38" s="1"/>
  <c r="F17" i="20"/>
  <c r="K30" i="47"/>
  <c r="F26" i="20"/>
  <c r="Z34" i="13"/>
  <c r="H34" i="12"/>
  <c r="N140" i="13"/>
  <c r="I140" i="13"/>
  <c r="G25" i="23"/>
  <c r="F25" i="23"/>
  <c r="B33" i="42"/>
  <c r="D181" i="7"/>
  <c r="D71" i="4"/>
  <c r="C36" i="65" s="1"/>
  <c r="C77" i="24"/>
  <c r="C76" i="24"/>
  <c r="C81" i="24"/>
  <c r="C70" i="24"/>
  <c r="C82" i="24"/>
  <c r="C72" i="24"/>
  <c r="C75" i="24"/>
  <c r="C79" i="24"/>
  <c r="C78" i="24"/>
  <c r="C73" i="24"/>
  <c r="C68" i="24"/>
  <c r="C69" i="24"/>
  <c r="C74" i="24"/>
  <c r="J23" i="7"/>
  <c r="J24" i="7"/>
  <c r="J59" i="47"/>
  <c r="AB144" i="13"/>
  <c r="I144" i="13"/>
  <c r="AI144" i="13"/>
  <c r="AH144" i="13"/>
  <c r="N144" i="13"/>
  <c r="AG144" i="13"/>
  <c r="AE144" i="13"/>
  <c r="AD144" i="13"/>
  <c r="AC144" i="13"/>
  <c r="AH90" i="12"/>
  <c r="Z90" i="12"/>
  <c r="AD90" i="12"/>
  <c r="AC90" i="12"/>
  <c r="AA90" i="12"/>
  <c r="I54" i="11"/>
  <c r="I23" i="7" s="1"/>
  <c r="I28" i="7" s="1" a="1"/>
  <c r="F20" i="20"/>
  <c r="AI31" i="13"/>
  <c r="AI34" i="13"/>
  <c r="AI33" i="13"/>
  <c r="H19" i="9"/>
  <c r="H20" i="9"/>
  <c r="C19" i="9"/>
  <c r="C20" i="9"/>
  <c r="F23" i="20"/>
  <c r="D19" i="9"/>
  <c r="D20" i="9"/>
  <c r="K140" i="13"/>
  <c r="K144" i="13"/>
  <c r="H31" i="13"/>
  <c r="H32" i="13"/>
  <c r="L31" i="13"/>
  <c r="L32" i="13"/>
  <c r="AE87" i="12"/>
  <c r="AE90" i="12"/>
  <c r="N47" i="48"/>
  <c r="H121" i="9"/>
  <c r="F75" i="51"/>
  <c r="E72" i="12"/>
  <c r="F126" i="13"/>
  <c r="G126" i="13"/>
  <c r="M126" i="13"/>
  <c r="I75" i="12"/>
  <c r="E75" i="12"/>
  <c r="N126" i="13"/>
  <c r="J75" i="12"/>
  <c r="E126" i="13"/>
  <c r="K75" i="12"/>
  <c r="H126" i="13"/>
  <c r="I126" i="13"/>
  <c r="J126" i="13"/>
  <c r="F75" i="12"/>
  <c r="L75" i="12"/>
  <c r="G75" i="12"/>
  <c r="M75" i="12"/>
  <c r="L126" i="13"/>
  <c r="H75" i="12"/>
  <c r="N75" i="12"/>
  <c r="K126" i="13"/>
  <c r="G16" i="23"/>
  <c r="E25" i="7"/>
  <c r="C25" i="7"/>
  <c r="E45" i="12"/>
  <c r="M34" i="12"/>
  <c r="M45" i="12"/>
  <c r="D34" i="45"/>
  <c r="D95" i="45"/>
  <c r="K47" i="48"/>
  <c r="F28" i="23"/>
  <c r="I34" i="12"/>
  <c r="I45" i="12"/>
  <c r="F24" i="23"/>
  <c r="K39" i="58"/>
  <c r="J109" i="9"/>
  <c r="B130" i="9"/>
  <c r="F54" i="33"/>
  <c r="H45" i="12"/>
  <c r="G19" i="23"/>
  <c r="O45" i="48"/>
  <c r="L47" i="48"/>
  <c r="I9" i="7"/>
  <c r="C26" i="7"/>
  <c r="E26" i="7"/>
  <c r="C27" i="7"/>
  <c r="A23" i="8" s="1"/>
  <c r="P34" i="12"/>
  <c r="P45" i="12"/>
  <c r="P57" i="12"/>
  <c r="P58" i="12"/>
  <c r="P68" i="12" s="1"/>
  <c r="P78" i="12" s="1"/>
  <c r="P91" i="12" s="1"/>
  <c r="O34" i="12"/>
  <c r="O45" i="12"/>
  <c r="O57" i="12"/>
  <c r="B20" i="42"/>
  <c r="M20" i="42"/>
  <c r="B21" i="42"/>
  <c r="M21" i="42"/>
  <c r="J20" i="42"/>
  <c r="E19" i="42"/>
  <c r="E33" i="42"/>
  <c r="G24" i="20"/>
  <c r="F18" i="20"/>
  <c r="F21" i="20"/>
  <c r="C67" i="7"/>
  <c r="A63" i="8" s="1"/>
  <c r="C68" i="7"/>
  <c r="A64" i="8" s="1"/>
  <c r="I18" i="45"/>
  <c r="J45" i="50"/>
  <c r="AF31" i="13"/>
  <c r="AF70" i="13"/>
  <c r="AF74" i="13"/>
  <c r="AF73" i="13"/>
  <c r="AF75" i="13"/>
  <c r="AC31" i="13"/>
  <c r="AC34" i="13"/>
  <c r="AG31" i="13"/>
  <c r="AG32" i="13"/>
  <c r="AG94" i="13"/>
  <c r="AG105" i="13"/>
  <c r="J27" i="9"/>
  <c r="B28" i="9"/>
  <c r="B84" i="9"/>
  <c r="L61" i="54"/>
  <c r="L64" i="54"/>
  <c r="J43" i="50"/>
  <c r="G27" i="20"/>
  <c r="Y34" i="12"/>
  <c r="Y45" i="12"/>
  <c r="Y57" i="12"/>
  <c r="Y58" i="12"/>
  <c r="Y68" i="12" s="1"/>
  <c r="Y78" i="12" s="1"/>
  <c r="Y91" i="12" s="1"/>
  <c r="E121" i="9"/>
  <c r="AI34" i="12"/>
  <c r="AI45" i="12"/>
  <c r="AI57" i="12"/>
  <c r="J34" i="12"/>
  <c r="J45" i="12"/>
  <c r="Z34" i="12"/>
  <c r="Z45" i="12"/>
  <c r="Z57" i="12"/>
  <c r="G23" i="53"/>
  <c r="G25" i="53"/>
  <c r="J44" i="50"/>
  <c r="J46" i="50"/>
  <c r="M42" i="47"/>
  <c r="K42" i="47"/>
  <c r="J31" i="47"/>
  <c r="K34" i="47"/>
  <c r="K118" i="47"/>
  <c r="E32" i="45"/>
  <c r="E34" i="45"/>
  <c r="E95" i="45"/>
  <c r="G23" i="23"/>
  <c r="G30" i="23" s="1"/>
  <c r="F26" i="23"/>
  <c r="C121" i="9"/>
  <c r="B66" i="44"/>
  <c r="I20" i="42"/>
  <c r="O26" i="40"/>
  <c r="O23" i="40"/>
  <c r="O20" i="40"/>
  <c r="O17" i="40"/>
  <c r="O14" i="40"/>
  <c r="O19" i="40"/>
  <c r="O16" i="40"/>
  <c r="F34" i="26"/>
  <c r="G21" i="23"/>
  <c r="J97" i="9"/>
  <c r="O13" i="40"/>
  <c r="K23" i="38"/>
  <c r="E24" i="38"/>
  <c r="E25" i="35"/>
  <c r="G31" i="13"/>
  <c r="G34" i="13"/>
  <c r="G33" i="13"/>
  <c r="G39" i="13"/>
  <c r="J31" i="13"/>
  <c r="J32" i="13"/>
  <c r="J39" i="13"/>
  <c r="M140" i="13"/>
  <c r="M144" i="13"/>
  <c r="M39" i="13"/>
  <c r="P31" i="13"/>
  <c r="P34" i="13"/>
  <c r="P39" i="13"/>
  <c r="S31" i="13"/>
  <c r="S34" i="13"/>
  <c r="S39" i="13"/>
  <c r="V140" i="13"/>
  <c r="V144" i="13"/>
  <c r="V39" i="13"/>
  <c r="Y140" i="13"/>
  <c r="Y144" i="13"/>
  <c r="Y39" i="13"/>
  <c r="H140" i="13"/>
  <c r="H144" i="13"/>
  <c r="H39" i="13"/>
  <c r="K31" i="13"/>
  <c r="K32" i="13"/>
  <c r="K39" i="13"/>
  <c r="N31" i="13"/>
  <c r="N34" i="13"/>
  <c r="N33" i="13"/>
  <c r="N39" i="13"/>
  <c r="Q140" i="13"/>
  <c r="Q144" i="13"/>
  <c r="Q39" i="13"/>
  <c r="T140" i="13"/>
  <c r="T144" i="13"/>
  <c r="T39" i="13"/>
  <c r="W140" i="13"/>
  <c r="W144" i="13"/>
  <c r="W39" i="13"/>
  <c r="AA31" i="13"/>
  <c r="AA32" i="13"/>
  <c r="AA94" i="13"/>
  <c r="AA97" i="13"/>
  <c r="AA39" i="13"/>
  <c r="Z32" i="13"/>
  <c r="Z94" i="13"/>
  <c r="Z39" i="13"/>
  <c r="F140" i="13"/>
  <c r="F144" i="13"/>
  <c r="F39" i="13"/>
  <c r="I31" i="13"/>
  <c r="I94" i="13"/>
  <c r="I39" i="13"/>
  <c r="L140" i="13"/>
  <c r="L144" i="13"/>
  <c r="L39" i="13"/>
  <c r="O140" i="13"/>
  <c r="O144" i="13"/>
  <c r="O39" i="13"/>
  <c r="R140" i="13"/>
  <c r="R144" i="13"/>
  <c r="R39" i="13"/>
  <c r="U31" i="13"/>
  <c r="U34" i="13"/>
  <c r="U39" i="13"/>
  <c r="X140" i="13"/>
  <c r="X144" i="13"/>
  <c r="X39" i="13"/>
  <c r="E87" i="12"/>
  <c r="E90" i="12"/>
  <c r="E50" i="13"/>
  <c r="E39" i="13"/>
  <c r="T32" i="13"/>
  <c r="Z33" i="13"/>
  <c r="Y34" i="13"/>
  <c r="H88" i="36"/>
  <c r="K87" i="12"/>
  <c r="K90" i="12"/>
  <c r="G121" i="9"/>
  <c r="V77" i="28"/>
  <c r="V78" i="28"/>
  <c r="V87" i="28"/>
  <c r="V85" i="28"/>
  <c r="V79" i="28"/>
  <c r="V88" i="28"/>
  <c r="M47" i="48"/>
  <c r="G47" i="48"/>
  <c r="D47" i="48"/>
  <c r="E47" i="48"/>
  <c r="O21" i="48"/>
  <c r="M138" i="47"/>
  <c r="K138" i="47"/>
  <c r="J55" i="47"/>
  <c r="J140" i="47"/>
  <c r="J71" i="45"/>
  <c r="J93" i="45"/>
  <c r="D34" i="26"/>
  <c r="G27" i="23"/>
  <c r="K49" i="22"/>
  <c r="K57" i="22"/>
  <c r="M57" i="22"/>
  <c r="M59" i="22" s="1"/>
  <c r="AC34" i="12"/>
  <c r="AC45" i="12"/>
  <c r="AC57" i="12"/>
  <c r="G41" i="16"/>
  <c r="G44" i="16"/>
  <c r="G28" i="16"/>
  <c r="E51" i="49"/>
  <c r="E66" i="49"/>
  <c r="I47" i="48"/>
  <c r="F47" i="48"/>
  <c r="C47" i="48"/>
  <c r="M41" i="47"/>
  <c r="M43" i="47"/>
  <c r="L43" i="47"/>
  <c r="J19" i="47"/>
  <c r="L139" i="47"/>
  <c r="M139" i="47"/>
  <c r="F32" i="45"/>
  <c r="F34" i="45"/>
  <c r="F95" i="45"/>
  <c r="I39" i="45"/>
  <c r="J39" i="45"/>
  <c r="L19" i="42"/>
  <c r="H20" i="42"/>
  <c r="O24" i="40"/>
  <c r="O21" i="40"/>
  <c r="O18" i="40"/>
  <c r="O15" i="40"/>
  <c r="F19" i="20"/>
  <c r="F28" i="20"/>
  <c r="G25" i="20"/>
  <c r="F22" i="20"/>
  <c r="I79" i="13"/>
  <c r="I78" i="13" s="1"/>
  <c r="I97" i="13" s="1"/>
  <c r="AA140" i="13"/>
  <c r="AA144" i="13"/>
  <c r="Q31" i="13"/>
  <c r="Q94" i="13"/>
  <c r="W31" i="13"/>
  <c r="W94" i="13"/>
  <c r="W103" i="13"/>
  <c r="W115" i="13" s="1"/>
  <c r="W130" i="13" s="1"/>
  <c r="W145" i="13" s="1"/>
  <c r="K50" i="13"/>
  <c r="K102" i="13"/>
  <c r="K120" i="13" s="1"/>
  <c r="F50" i="13"/>
  <c r="AD31" i="13"/>
  <c r="AD70" i="13"/>
  <c r="AD74" i="13"/>
  <c r="AD73" i="13"/>
  <c r="AD75" i="13"/>
  <c r="Z70" i="13"/>
  <c r="Z74" i="13"/>
  <c r="Z73" i="13"/>
  <c r="Z75" i="13"/>
  <c r="M90" i="12"/>
  <c r="L45" i="12"/>
  <c r="J90" i="12"/>
  <c r="F87" i="12"/>
  <c r="F90" i="12"/>
  <c r="AE45" i="12"/>
  <c r="AE57" i="12"/>
  <c r="K45" i="12"/>
  <c r="S90" i="12"/>
  <c r="U90" i="12"/>
  <c r="I90" i="12"/>
  <c r="F121" i="9"/>
  <c r="I121" i="9"/>
  <c r="G91" i="52"/>
  <c r="L91" i="52"/>
  <c r="K77" i="51"/>
  <c r="G27" i="43"/>
  <c r="H27" i="43" s="1"/>
  <c r="J27" i="43" s="1"/>
  <c r="L27" i="43" s="1"/>
  <c r="G31" i="43"/>
  <c r="H31" i="43" s="1"/>
  <c r="J31" i="43" s="1"/>
  <c r="L31" i="43" s="1"/>
  <c r="G28" i="43"/>
  <c r="H28" i="43" s="1"/>
  <c r="J28" i="43" s="1"/>
  <c r="L28" i="43" s="1"/>
  <c r="I63" i="52"/>
  <c r="I64" i="52"/>
  <c r="I80" i="52"/>
  <c r="L80" i="52"/>
  <c r="H47" i="48"/>
  <c r="M18" i="47"/>
  <c r="I31" i="45"/>
  <c r="I32" i="45"/>
  <c r="J32" i="45"/>
  <c r="F277" i="7"/>
  <c r="G51" i="35"/>
  <c r="G57" i="35"/>
  <c r="G34" i="35"/>
  <c r="I64" i="34"/>
  <c r="F43" i="34"/>
  <c r="H92" i="36" s="1"/>
  <c r="F64" i="33"/>
  <c r="F71" i="33"/>
  <c r="G62" i="33"/>
  <c r="G64" i="33"/>
  <c r="G71" i="33"/>
  <c r="C34" i="26"/>
  <c r="G18" i="23"/>
  <c r="F17" i="23"/>
  <c r="F20" i="23"/>
  <c r="C66" i="18"/>
  <c r="H91" i="36"/>
  <c r="M89" i="36" s="1"/>
  <c r="B36" i="15"/>
  <c r="B38" i="15"/>
  <c r="C34" i="15"/>
  <c r="F29" i="15"/>
  <c r="G79" i="13"/>
  <c r="G78" i="13" s="1"/>
  <c r="G97" i="13" s="1"/>
  <c r="G98" i="13" s="1"/>
  <c r="G99" i="13" s="1"/>
  <c r="G100" i="13" s="1"/>
  <c r="M50" i="13"/>
  <c r="M102" i="13"/>
  <c r="M120" i="13" s="1"/>
  <c r="L50" i="13"/>
  <c r="L102" i="13"/>
  <c r="L120" i="13" s="1"/>
  <c r="Z140" i="13"/>
  <c r="Z144" i="13"/>
  <c r="J50" i="13"/>
  <c r="J53" i="13"/>
  <c r="F31" i="13"/>
  <c r="L79" i="13"/>
  <c r="L78" i="13" s="1"/>
  <c r="L97" i="13" s="1"/>
  <c r="M31" i="13"/>
  <c r="V31" i="13"/>
  <c r="R31" i="13"/>
  <c r="I50" i="13"/>
  <c r="I53" i="13"/>
  <c r="G50" i="13"/>
  <c r="G53" i="13"/>
  <c r="AF87" i="12"/>
  <c r="AF90" i="12"/>
  <c r="AD34" i="12"/>
  <c r="AD45" i="12"/>
  <c r="AD57" i="12"/>
  <c r="Q90" i="12"/>
  <c r="F45" i="12"/>
  <c r="AH34" i="12"/>
  <c r="AH45" i="12"/>
  <c r="AH57" i="12"/>
  <c r="R34" i="12"/>
  <c r="R45" i="12"/>
  <c r="R57" i="12"/>
  <c r="R58" i="12"/>
  <c r="R68" i="12" s="1"/>
  <c r="R78" i="12" s="1"/>
  <c r="R91" i="12" s="1"/>
  <c r="Q34" i="12"/>
  <c r="Q45" i="12"/>
  <c r="Q57" i="12"/>
  <c r="Q58" i="12"/>
  <c r="Q68" i="12" s="1"/>
  <c r="Q78" i="12" s="1"/>
  <c r="Q91" i="12" s="1"/>
  <c r="S34" i="12"/>
  <c r="S45" i="12"/>
  <c r="S57" i="12"/>
  <c r="S58" i="12"/>
  <c r="S68" i="12" s="1"/>
  <c r="S78" i="12" s="1"/>
  <c r="S91" i="12" s="1"/>
  <c r="W90" i="12"/>
  <c r="O90" i="12"/>
  <c r="F19" i="9"/>
  <c r="F20" i="9"/>
  <c r="J80" i="9"/>
  <c r="B121" i="9"/>
  <c r="I19" i="9"/>
  <c r="I20" i="9"/>
  <c r="E19" i="9"/>
  <c r="E20" i="9"/>
  <c r="G19" i="9"/>
  <c r="G20" i="9"/>
  <c r="D121" i="9"/>
  <c r="I9" i="25"/>
  <c r="A43" i="25"/>
  <c r="B43" i="25" s="1"/>
  <c r="F11" i="18"/>
  <c r="E64" i="49"/>
  <c r="E62" i="49"/>
  <c r="K90" i="47"/>
  <c r="K91" i="47"/>
  <c r="E27" i="49"/>
  <c r="L82" i="47"/>
  <c r="M82" i="47"/>
  <c r="L119" i="47"/>
  <c r="J103" i="47"/>
  <c r="E65" i="49"/>
  <c r="K137" i="47"/>
  <c r="M129" i="47"/>
  <c r="M131" i="47"/>
  <c r="K33" i="47"/>
  <c r="G34" i="45"/>
  <c r="G95" i="45"/>
  <c r="O22" i="40"/>
  <c r="N27" i="40"/>
  <c r="F71" i="36"/>
  <c r="K71" i="36" s="1"/>
  <c r="F68" i="36"/>
  <c r="K68" i="36" s="1"/>
  <c r="E33" i="26"/>
  <c r="G34" i="26"/>
  <c r="G33" i="26"/>
  <c r="D14" i="18"/>
  <c r="D66" i="18"/>
  <c r="H107" i="36"/>
  <c r="F27" i="15"/>
  <c r="F26" i="15"/>
  <c r="AE31" i="13"/>
  <c r="AE70" i="13"/>
  <c r="AE74" i="13"/>
  <c r="AE73" i="13"/>
  <c r="AE75" i="13"/>
  <c r="S140" i="13"/>
  <c r="S144" i="13"/>
  <c r="AH31" i="13"/>
  <c r="K57" i="13"/>
  <c r="O32" i="13"/>
  <c r="O103" i="13"/>
  <c r="O115" i="13" s="1"/>
  <c r="O130" i="13" s="1"/>
  <c r="O145" i="13" s="1"/>
  <c r="U140" i="13"/>
  <c r="U144" i="13"/>
  <c r="G140" i="13"/>
  <c r="G144" i="13"/>
  <c r="J140" i="13"/>
  <c r="J144" i="13"/>
  <c r="AB31" i="13"/>
  <c r="AB32" i="13"/>
  <c r="AB94" i="13"/>
  <c r="X31" i="13"/>
  <c r="H90" i="12"/>
  <c r="V34" i="12"/>
  <c r="V45" i="12"/>
  <c r="V57" i="12"/>
  <c r="V58" i="12"/>
  <c r="V68" i="12" s="1"/>
  <c r="V78" i="12" s="1"/>
  <c r="V91" i="12" s="1"/>
  <c r="U34" i="12"/>
  <c r="U45" i="12"/>
  <c r="U57" i="12"/>
  <c r="U58" i="12"/>
  <c r="W34" i="12"/>
  <c r="W45" i="12"/>
  <c r="W57" i="12"/>
  <c r="W58" i="12"/>
  <c r="W68" i="12" s="1"/>
  <c r="W78" i="12" s="1"/>
  <c r="W91" i="12" s="1"/>
  <c r="X87" i="12"/>
  <c r="X90" i="12"/>
  <c r="T87" i="12"/>
  <c r="T90" i="12"/>
  <c r="N87" i="12"/>
  <c r="N90" i="12"/>
  <c r="L87" i="12"/>
  <c r="L90" i="12"/>
  <c r="V90" i="12"/>
  <c r="AA34" i="12"/>
  <c r="AA45" i="12"/>
  <c r="AA57" i="12"/>
  <c r="AF45" i="12"/>
  <c r="AF57" i="12"/>
  <c r="E28" i="9"/>
  <c r="V9" i="28"/>
  <c r="J11" i="50"/>
  <c r="C14" i="50" s="1"/>
  <c r="H19" i="50" s="1"/>
  <c r="J32" i="50" s="1"/>
  <c r="J36" i="50" s="1"/>
  <c r="G12" i="30"/>
  <c r="I4" i="3"/>
  <c r="H11" i="53"/>
  <c r="E252" i="7"/>
  <c r="I8" i="7"/>
  <c r="D113" i="7" s="1"/>
  <c r="G11" i="23"/>
  <c r="F12" i="15"/>
  <c r="C32" i="15"/>
  <c r="I11" i="34"/>
  <c r="L11" i="54"/>
  <c r="G11" i="33"/>
  <c r="E10" i="44"/>
  <c r="M9" i="47"/>
  <c r="C11" i="24"/>
  <c r="G12" i="31"/>
  <c r="B107" i="36"/>
  <c r="C34" i="35"/>
  <c r="I11" i="39"/>
  <c r="I9" i="26"/>
  <c r="A43" i="26" s="1"/>
  <c r="B43" i="26" s="1"/>
  <c r="D59" i="26"/>
  <c r="H11" i="35"/>
  <c r="E250" i="7"/>
  <c r="W11" i="21"/>
  <c r="E10" i="49"/>
  <c r="M11" i="36"/>
  <c r="B19" i="36" s="1"/>
  <c r="D299" i="7"/>
  <c r="C53" i="35"/>
  <c r="F13" i="53"/>
  <c r="E268" i="7"/>
  <c r="I11" i="19"/>
  <c r="C13" i="19" s="1"/>
  <c r="H11" i="27"/>
  <c r="G11" i="20"/>
  <c r="L11" i="41"/>
  <c r="I10" i="46"/>
  <c r="K12" i="29"/>
  <c r="K10" i="38"/>
  <c r="AI9" i="12"/>
  <c r="B106" i="36"/>
  <c r="G12" i="16"/>
  <c r="A35" i="16" s="1"/>
  <c r="O8" i="48"/>
  <c r="M11" i="52"/>
  <c r="J15" i="52"/>
  <c r="J23" i="52" s="1"/>
  <c r="M23" i="52" s="1"/>
  <c r="A23" i="32"/>
  <c r="G11" i="31"/>
  <c r="D23" i="31"/>
  <c r="F123" i="13"/>
  <c r="I123" i="13"/>
  <c r="L123" i="13"/>
  <c r="E123" i="13"/>
  <c r="G123" i="13"/>
  <c r="J123" i="13"/>
  <c r="M123" i="13"/>
  <c r="H123" i="13"/>
  <c r="K123" i="13"/>
  <c r="N123" i="13"/>
  <c r="C57" i="7"/>
  <c r="Y94" i="13"/>
  <c r="Y103" i="13"/>
  <c r="Y115" i="13" s="1"/>
  <c r="Y130" i="13" s="1"/>
  <c r="Y145" i="13" s="1"/>
  <c r="P140" i="13"/>
  <c r="P144" i="13"/>
  <c r="J57" i="13"/>
  <c r="H50" i="13"/>
  <c r="E57" i="7"/>
  <c r="M72" i="12"/>
  <c r="J72" i="12"/>
  <c r="G72" i="12"/>
  <c r="L72" i="12"/>
  <c r="I72" i="12"/>
  <c r="F72" i="12"/>
  <c r="N72" i="12"/>
  <c r="K72" i="12"/>
  <c r="H72" i="12"/>
  <c r="I15" i="12"/>
  <c r="C22" i="7"/>
  <c r="K93" i="47"/>
  <c r="J119" i="47"/>
  <c r="J123" i="47"/>
  <c r="J95" i="47"/>
  <c r="J127" i="47"/>
  <c r="J83" i="47"/>
  <c r="J63" i="47"/>
  <c r="L101" i="47"/>
  <c r="M101" i="47"/>
  <c r="K97" i="47"/>
  <c r="M97" i="47"/>
  <c r="M99" i="47"/>
  <c r="K61" i="47"/>
  <c r="J87" i="47"/>
  <c r="J115" i="47"/>
  <c r="K126" i="47"/>
  <c r="I143" i="47"/>
  <c r="J99" i="47"/>
  <c r="J71" i="47"/>
  <c r="K105" i="47"/>
  <c r="J75" i="47"/>
  <c r="J111" i="47"/>
  <c r="K62" i="47"/>
  <c r="D39" i="39"/>
  <c r="J39" i="39" s="1"/>
  <c r="K39" i="39" s="1"/>
  <c r="I76" i="36"/>
  <c r="E13" i="53"/>
  <c r="G11" i="30"/>
  <c r="C42" i="35"/>
  <c r="O76" i="36"/>
  <c r="C66" i="7"/>
  <c r="I111" i="52"/>
  <c r="F74" i="36"/>
  <c r="K74" i="36" s="1"/>
  <c r="AI9" i="13"/>
  <c r="F72" i="36"/>
  <c r="I82" i="52"/>
  <c r="L82" i="52" s="1"/>
  <c r="I78" i="52"/>
  <c r="L78" i="52" s="1"/>
  <c r="I70" i="52"/>
  <c r="I84" i="52" s="1"/>
  <c r="L84" i="52" s="1"/>
  <c r="K46" i="47"/>
  <c r="J43" i="47"/>
  <c r="J39" i="47"/>
  <c r="J35" i="47"/>
  <c r="J23" i="47"/>
  <c r="L51" i="47"/>
  <c r="M49" i="47"/>
  <c r="M51" i="47"/>
  <c r="K17" i="47"/>
  <c r="K19" i="47"/>
  <c r="L19" i="47"/>
  <c r="M135" i="47"/>
  <c r="M121" i="47"/>
  <c r="K121" i="47"/>
  <c r="M102" i="47"/>
  <c r="M94" i="47"/>
  <c r="M95" i="47"/>
  <c r="K94" i="47"/>
  <c r="L95" i="47"/>
  <c r="K86" i="47"/>
  <c r="M86" i="47"/>
  <c r="L55" i="47"/>
  <c r="L35" i="47"/>
  <c r="K110" i="47"/>
  <c r="M63" i="47"/>
  <c r="K130" i="47"/>
  <c r="K131" i="47"/>
  <c r="K21" i="47"/>
  <c r="J131" i="47"/>
  <c r="M113" i="47"/>
  <c r="M115" i="47"/>
  <c r="J51" i="47"/>
  <c r="M47" i="47"/>
  <c r="L29" i="47"/>
  <c r="K114" i="47"/>
  <c r="K115" i="47"/>
  <c r="K77" i="47"/>
  <c r="L63" i="47"/>
  <c r="K25" i="47"/>
  <c r="K27" i="47"/>
  <c r="M26" i="47"/>
  <c r="M27" i="47"/>
  <c r="M66" i="47"/>
  <c r="M67" i="47"/>
  <c r="L47" i="47"/>
  <c r="K125" i="47"/>
  <c r="J79" i="47"/>
  <c r="K50" i="47"/>
  <c r="J91" i="47"/>
  <c r="K102" i="47"/>
  <c r="J27" i="47"/>
  <c r="J47" i="47"/>
  <c r="K74" i="47"/>
  <c r="K45" i="47"/>
  <c r="K134" i="47"/>
  <c r="K49" i="47"/>
  <c r="K57" i="47"/>
  <c r="L115" i="47"/>
  <c r="J107" i="47"/>
  <c r="K41" i="47"/>
  <c r="M35" i="47"/>
  <c r="M70" i="47"/>
  <c r="K70" i="47"/>
  <c r="L75" i="47"/>
  <c r="K73" i="47"/>
  <c r="M73" i="47"/>
  <c r="M75" i="47"/>
  <c r="L23" i="47"/>
  <c r="M22" i="47"/>
  <c r="M23" i="47"/>
  <c r="K22" i="47"/>
  <c r="J135" i="47"/>
  <c r="K54" i="47"/>
  <c r="K98" i="47"/>
  <c r="L27" i="47"/>
  <c r="M17" i="47"/>
  <c r="M81" i="47"/>
  <c r="K106" i="47"/>
  <c r="L107" i="47"/>
  <c r="M106" i="47"/>
  <c r="M107" i="47"/>
  <c r="K78" i="47"/>
  <c r="L79" i="47"/>
  <c r="M78" i="47"/>
  <c r="M79" i="47"/>
  <c r="L71" i="47"/>
  <c r="M69" i="47"/>
  <c r="K69" i="47"/>
  <c r="K109" i="47"/>
  <c r="M109" i="47"/>
  <c r="M111" i="47"/>
  <c r="L111" i="47"/>
  <c r="L87" i="47"/>
  <c r="M85" i="47"/>
  <c r="K85" i="47"/>
  <c r="M122" i="47"/>
  <c r="K122" i="47"/>
  <c r="K58" i="47"/>
  <c r="M58" i="47"/>
  <c r="M59" i="47"/>
  <c r="L59" i="47"/>
  <c r="J67" i="47"/>
  <c r="L131" i="47"/>
  <c r="L123" i="47"/>
  <c r="F66" i="36"/>
  <c r="F64" i="36"/>
  <c r="H76" i="36"/>
  <c r="L76" i="36"/>
  <c r="I13" i="34"/>
  <c r="I47" i="34"/>
  <c r="F13" i="18"/>
  <c r="Y32" i="13"/>
  <c r="O34" i="13"/>
  <c r="X57" i="12"/>
  <c r="T57" i="12"/>
  <c r="T58" i="12"/>
  <c r="T68" i="12" s="1"/>
  <c r="T78" i="12" s="1"/>
  <c r="T91" i="12" s="1"/>
  <c r="A27" i="54"/>
  <c r="G277" i="7"/>
  <c r="C56" i="7"/>
  <c r="E83" i="7"/>
  <c r="K48" i="36"/>
  <c r="I42" i="50"/>
  <c r="J42" i="50"/>
  <c r="F34" i="50"/>
  <c r="E66" i="7"/>
  <c r="E49" i="7"/>
  <c r="E22" i="7"/>
  <c r="T94" i="13"/>
  <c r="T103" i="13"/>
  <c r="T115" i="13" s="1"/>
  <c r="T130" i="13" s="1"/>
  <c r="T145" i="13" s="1"/>
  <c r="T34" i="13"/>
  <c r="F16" i="20"/>
  <c r="L91" i="47"/>
  <c r="N45" i="12"/>
  <c r="M57" i="13"/>
  <c r="L67" i="47"/>
  <c r="K65" i="47"/>
  <c r="K67" i="47"/>
  <c r="H79" i="13"/>
  <c r="H78" i="13" s="1"/>
  <c r="H97" i="13" s="1"/>
  <c r="H57" i="13"/>
  <c r="F36" i="15"/>
  <c r="D36" i="15"/>
  <c r="E36" i="15"/>
  <c r="C36" i="15"/>
  <c r="F21" i="25"/>
  <c r="F29" i="25"/>
  <c r="K23" i="36"/>
  <c r="O25" i="40"/>
  <c r="J27" i="40"/>
  <c r="E39" i="44"/>
  <c r="E64" i="44"/>
  <c r="D64" i="44"/>
  <c r="E18" i="44"/>
  <c r="E32" i="44"/>
  <c r="D32" i="44"/>
  <c r="AB87" i="12"/>
  <c r="AB90" i="12"/>
  <c r="AB34" i="12"/>
  <c r="AB45" i="12"/>
  <c r="AB57" i="12"/>
  <c r="E140" i="13"/>
  <c r="E144" i="13"/>
  <c r="E31" i="13"/>
  <c r="E94" i="13"/>
  <c r="AF139" i="13"/>
  <c r="AF144" i="13"/>
  <c r="B63" i="13"/>
  <c r="E56" i="7"/>
  <c r="M89" i="47"/>
  <c r="M91" i="47"/>
  <c r="M37" i="47"/>
  <c r="L39" i="47"/>
  <c r="I71" i="45"/>
  <c r="I93" i="45"/>
  <c r="L135" i="47"/>
  <c r="K133" i="47"/>
  <c r="L99" i="47"/>
  <c r="M53" i="47"/>
  <c r="M55" i="47"/>
  <c r="K53" i="47"/>
  <c r="M117" i="47"/>
  <c r="M119" i="47"/>
  <c r="K117" i="47"/>
  <c r="M38" i="47"/>
  <c r="K38" i="47"/>
  <c r="L127" i="47"/>
  <c r="M125" i="47"/>
  <c r="M127" i="47"/>
  <c r="J81" i="9"/>
  <c r="H19" i="27"/>
  <c r="B39" i="12"/>
  <c r="R90" i="12"/>
  <c r="K71" i="22"/>
  <c r="K79" i="22"/>
  <c r="M79" i="22"/>
  <c r="M81" i="22" s="1"/>
  <c r="K26" i="22"/>
  <c r="K34" i="22"/>
  <c r="F65" i="36"/>
  <c r="K65" i="36" s="1"/>
  <c r="G34" i="12"/>
  <c r="G87" i="12"/>
  <c r="G90" i="12"/>
  <c r="J47" i="48"/>
  <c r="N50" i="13"/>
  <c r="Y90" i="12"/>
  <c r="AG87" i="12"/>
  <c r="AG90" i="12"/>
  <c r="AG34" i="12"/>
  <c r="AG45" i="12"/>
  <c r="AG57" i="12"/>
  <c r="P90" i="12"/>
  <c r="K5" i="58"/>
  <c r="K34" i="58"/>
  <c r="F11" i="15"/>
  <c r="A20" i="15" s="1"/>
  <c r="E242" i="7"/>
  <c r="I10" i="39"/>
  <c r="N39" i="39" s="1"/>
  <c r="F13" i="51"/>
  <c r="F14" i="51" s="1"/>
  <c r="K11" i="29"/>
  <c r="G11" i="16"/>
  <c r="A19" i="16" s="1"/>
  <c r="C85" i="24"/>
  <c r="C87" i="24"/>
  <c r="I118" i="13"/>
  <c r="Z112" i="13"/>
  <c r="Z96" i="13"/>
  <c r="N55" i="13"/>
  <c r="F55" i="13"/>
  <c r="F53" i="13"/>
  <c r="L34" i="13"/>
  <c r="L33" i="13"/>
  <c r="AF34" i="13"/>
  <c r="AF39" i="13"/>
  <c r="L70" i="13"/>
  <c r="L74" i="13"/>
  <c r="L73" i="13"/>
  <c r="L94" i="13"/>
  <c r="AI39" i="13"/>
  <c r="AI32" i="13"/>
  <c r="AI94" i="13"/>
  <c r="AI105" i="13"/>
  <c r="AF32" i="13"/>
  <c r="AF94" i="13"/>
  <c r="AF121" i="13"/>
  <c r="AI70" i="13"/>
  <c r="AI74" i="13"/>
  <c r="AI73" i="13"/>
  <c r="AI75" i="13"/>
  <c r="X72" i="12"/>
  <c r="P72" i="12"/>
  <c r="AC32" i="13"/>
  <c r="AC94" i="13"/>
  <c r="AC121" i="13"/>
  <c r="AG112" i="13"/>
  <c r="H70" i="13"/>
  <c r="H74" i="13"/>
  <c r="H73" i="13"/>
  <c r="H34" i="13"/>
  <c r="H33" i="13"/>
  <c r="K53" i="13"/>
  <c r="H94" i="13"/>
  <c r="J21" i="42"/>
  <c r="AG70" i="12"/>
  <c r="AG71" i="12"/>
  <c r="AD59" i="12"/>
  <c r="AD71" i="12"/>
  <c r="AD70" i="12"/>
  <c r="AC65" i="12"/>
  <c r="AC70" i="12"/>
  <c r="AC71" i="12"/>
  <c r="AA70" i="12"/>
  <c r="AA71" i="12"/>
  <c r="Z71" i="12"/>
  <c r="Z70" i="12"/>
  <c r="AI70" i="12"/>
  <c r="AI71" i="12"/>
  <c r="AF71" i="12"/>
  <c r="AF70" i="12"/>
  <c r="AE71" i="12"/>
  <c r="AE70" i="12"/>
  <c r="AB70" i="12"/>
  <c r="AB71" i="12"/>
  <c r="AH70" i="12"/>
  <c r="AH71" i="12"/>
  <c r="J57" i="12"/>
  <c r="L57" i="12"/>
  <c r="F57" i="12"/>
  <c r="N57" i="12"/>
  <c r="I57" i="12"/>
  <c r="K57" i="12"/>
  <c r="K58" i="12"/>
  <c r="H57" i="12"/>
  <c r="M57" i="12"/>
  <c r="AC70" i="13"/>
  <c r="AC74" i="13"/>
  <c r="AC73" i="13"/>
  <c r="AC75" i="13"/>
  <c r="L83" i="47"/>
  <c r="D28" i="9"/>
  <c r="S94" i="13"/>
  <c r="S103" i="13"/>
  <c r="S115" i="13" s="1"/>
  <c r="S130" i="13" s="1"/>
  <c r="S145" i="13" s="1"/>
  <c r="B61" i="9"/>
  <c r="B62" i="9"/>
  <c r="AA34" i="13"/>
  <c r="AA33" i="13"/>
  <c r="AA70" i="13"/>
  <c r="AA74" i="13"/>
  <c r="AA73" i="13"/>
  <c r="AA75" i="13"/>
  <c r="AE32" i="13"/>
  <c r="AE94" i="13"/>
  <c r="AE104" i="13"/>
  <c r="U32" i="13"/>
  <c r="U94" i="13"/>
  <c r="E57" i="12"/>
  <c r="K94" i="13"/>
  <c r="J34" i="13"/>
  <c r="J33" i="13"/>
  <c r="J70" i="13"/>
  <c r="J74" i="13"/>
  <c r="J73" i="13"/>
  <c r="J75" i="13"/>
  <c r="I103" i="13"/>
  <c r="I117" i="13"/>
  <c r="I105" i="13"/>
  <c r="I125" i="13"/>
  <c r="I114" i="13"/>
  <c r="AH59" i="12"/>
  <c r="I67" i="12"/>
  <c r="L67" i="12"/>
  <c r="I58" i="12"/>
  <c r="M65" i="12"/>
  <c r="L65" i="12"/>
  <c r="I74" i="12"/>
  <c r="O47" i="48"/>
  <c r="Q32" i="13"/>
  <c r="K34" i="13"/>
  <c r="K33" i="13"/>
  <c r="B83" i="9"/>
  <c r="B85" i="9"/>
  <c r="B87" i="9"/>
  <c r="G28" i="9"/>
  <c r="G83" i="9"/>
  <c r="B43" i="9"/>
  <c r="B44" i="9"/>
  <c r="F28" i="9"/>
  <c r="F43" i="9"/>
  <c r="F44" i="9"/>
  <c r="I32" i="13"/>
  <c r="H28" i="9"/>
  <c r="H84" i="9"/>
  <c r="S32" i="13"/>
  <c r="I34" i="13"/>
  <c r="I33" i="13"/>
  <c r="O27" i="40"/>
  <c r="I70" i="13"/>
  <c r="I74" i="13"/>
  <c r="I73" i="13"/>
  <c r="I101" i="13"/>
  <c r="I28" i="9"/>
  <c r="K70" i="13"/>
  <c r="K74" i="13"/>
  <c r="K73" i="13"/>
  <c r="K101" i="13"/>
  <c r="K20" i="42"/>
  <c r="C28" i="9"/>
  <c r="C61" i="9"/>
  <c r="C62" i="9"/>
  <c r="J94" i="13"/>
  <c r="M140" i="47"/>
  <c r="F39" i="39"/>
  <c r="H39" i="39" s="1"/>
  <c r="O58" i="12"/>
  <c r="O68" i="12" s="1"/>
  <c r="O78" i="12" s="1"/>
  <c r="O91" i="12" s="1"/>
  <c r="B33" i="16"/>
  <c r="K82" i="47"/>
  <c r="K83" i="47"/>
  <c r="M34" i="22"/>
  <c r="M36" i="22" s="1"/>
  <c r="F33" i="16"/>
  <c r="K99" i="47"/>
  <c r="I22" i="42"/>
  <c r="H22" i="42"/>
  <c r="L20" i="42"/>
  <c r="H21" i="42"/>
  <c r="I21" i="42"/>
  <c r="AI96" i="13"/>
  <c r="K119" i="47"/>
  <c r="K43" i="47"/>
  <c r="M83" i="47"/>
  <c r="H75" i="13"/>
  <c r="AG96" i="13"/>
  <c r="AG97" i="13"/>
  <c r="G94" i="13"/>
  <c r="AG70" i="13"/>
  <c r="AG74" i="13"/>
  <c r="AG73" i="13"/>
  <c r="AG75" i="13"/>
  <c r="N94" i="13"/>
  <c r="N113" i="13"/>
  <c r="N108" i="13" s="1"/>
  <c r="AG34" i="13"/>
  <c r="AG33" i="13"/>
  <c r="AG121" i="13"/>
  <c r="AG104" i="13"/>
  <c r="G30" i="20"/>
  <c r="J47" i="50"/>
  <c r="K35" i="47"/>
  <c r="Z65" i="12"/>
  <c r="AC60" i="12"/>
  <c r="AE59" i="12"/>
  <c r="AI60" i="12"/>
  <c r="AI65" i="12"/>
  <c r="AI59" i="12"/>
  <c r="AC59" i="12"/>
  <c r="M74" i="12"/>
  <c r="K135" i="47"/>
  <c r="M103" i="47"/>
  <c r="L140" i="47"/>
  <c r="M19" i="47"/>
  <c r="K139" i="47"/>
  <c r="K140" i="47"/>
  <c r="J22" i="42"/>
  <c r="B22" i="42"/>
  <c r="M22" i="42"/>
  <c r="I23" i="42"/>
  <c r="H51" i="35"/>
  <c r="H53" i="35"/>
  <c r="L53" i="13"/>
  <c r="J102" i="13"/>
  <c r="J120" i="13" s="1"/>
  <c r="G102" i="13"/>
  <c r="G120" i="13" s="1"/>
  <c r="G70" i="13"/>
  <c r="G74" i="13"/>
  <c r="G73" i="13"/>
  <c r="G101" i="13"/>
  <c r="G32" i="13"/>
  <c r="P94" i="13"/>
  <c r="P103" i="13"/>
  <c r="P115" i="13" s="1"/>
  <c r="P130" i="13" s="1"/>
  <c r="P145" i="13" s="1"/>
  <c r="N70" i="13"/>
  <c r="N74" i="13"/>
  <c r="N73" i="13"/>
  <c r="N32" i="13"/>
  <c r="Z97" i="13"/>
  <c r="P32" i="13"/>
  <c r="A44" i="16"/>
  <c r="A37" i="16"/>
  <c r="I102" i="13"/>
  <c r="I120" i="13" s="1"/>
  <c r="M53" i="13"/>
  <c r="E32" i="13"/>
  <c r="E55" i="13"/>
  <c r="E53" i="13"/>
  <c r="E34" i="13"/>
  <c r="E33" i="13"/>
  <c r="X94" i="13"/>
  <c r="X103" i="13"/>
  <c r="X115" i="13" s="1"/>
  <c r="X130" i="13" s="1"/>
  <c r="X145" i="13" s="1"/>
  <c r="R94" i="13"/>
  <c r="R103" i="13"/>
  <c r="R115" i="13" s="1"/>
  <c r="R130" i="13" s="1"/>
  <c r="R145" i="13" s="1"/>
  <c r="Q34" i="13"/>
  <c r="AC33" i="13"/>
  <c r="AC39" i="13"/>
  <c r="AF33" i="13"/>
  <c r="M94" i="13"/>
  <c r="F94" i="13"/>
  <c r="E113" i="13"/>
  <c r="E108" i="13" s="1"/>
  <c r="W34" i="13"/>
  <c r="AE34" i="13"/>
  <c r="K63" i="47"/>
  <c r="K51" i="47"/>
  <c r="D66" i="44"/>
  <c r="D34" i="31"/>
  <c r="D59" i="25"/>
  <c r="D21" i="27"/>
  <c r="D25" i="27"/>
  <c r="K127" i="47"/>
  <c r="K101" i="47"/>
  <c r="K103" i="47"/>
  <c r="L103" i="47"/>
  <c r="K79" i="47"/>
  <c r="AA112" i="13"/>
  <c r="Z104" i="13"/>
  <c r="Z107" i="13" s="1"/>
  <c r="Z105" i="13"/>
  <c r="M32" i="13"/>
  <c r="AD32" i="13"/>
  <c r="AD94" i="13"/>
  <c r="AD96" i="13"/>
  <c r="AD34" i="13"/>
  <c r="Z121" i="13"/>
  <c r="W32" i="13"/>
  <c r="K107" i="47"/>
  <c r="K95" i="47"/>
  <c r="K47" i="47"/>
  <c r="K59" i="47"/>
  <c r="K75" i="47"/>
  <c r="C38" i="15"/>
  <c r="D34" i="15"/>
  <c r="D38" i="15"/>
  <c r="E34" i="15"/>
  <c r="E38" i="15"/>
  <c r="F34" i="15"/>
  <c r="F38" i="15"/>
  <c r="AA121" i="13"/>
  <c r="AA96" i="13"/>
  <c r="AA98" i="13"/>
  <c r="AA99" i="13"/>
  <c r="V32" i="13"/>
  <c r="V94" i="13"/>
  <c r="V103" i="13"/>
  <c r="V115" i="13" s="1"/>
  <c r="V130" i="13" s="1"/>
  <c r="V145" i="13" s="1"/>
  <c r="V34" i="13"/>
  <c r="M70" i="13"/>
  <c r="M74" i="13"/>
  <c r="M73" i="13"/>
  <c r="M34" i="13"/>
  <c r="M33" i="13"/>
  <c r="F34" i="13"/>
  <c r="F33" i="13"/>
  <c r="F70" i="13"/>
  <c r="F74" i="13"/>
  <c r="F73" i="13"/>
  <c r="F32" i="13"/>
  <c r="R34" i="13"/>
  <c r="R32" i="13"/>
  <c r="AE60" i="12"/>
  <c r="Z59" i="12"/>
  <c r="AD65" i="12"/>
  <c r="AD60" i="12"/>
  <c r="AE65" i="12"/>
  <c r="Z60" i="12"/>
  <c r="AH60" i="12"/>
  <c r="AH65" i="12"/>
  <c r="J19" i="9"/>
  <c r="F61" i="9"/>
  <c r="F62" i="9"/>
  <c r="F32" i="15"/>
  <c r="D28" i="31"/>
  <c r="E68" i="49"/>
  <c r="E70" i="49"/>
  <c r="AB121" i="13"/>
  <c r="AB104" i="13"/>
  <c r="AB97" i="13"/>
  <c r="AB112" i="13"/>
  <c r="AB96" i="13"/>
  <c r="AB105" i="13"/>
  <c r="Q103" i="13"/>
  <c r="Q115" i="13" s="1"/>
  <c r="Q130" i="13" s="1"/>
  <c r="Q145" i="13" s="1"/>
  <c r="X32" i="13"/>
  <c r="X34" i="13"/>
  <c r="AA105" i="13"/>
  <c r="AA104" i="13"/>
  <c r="L75" i="13"/>
  <c r="L101" i="13"/>
  <c r="AH70" i="13"/>
  <c r="AH74" i="13"/>
  <c r="AH73" i="13"/>
  <c r="AH75" i="13"/>
  <c r="AH34" i="13"/>
  <c r="AB34" i="13"/>
  <c r="AB70" i="13"/>
  <c r="AB74" i="13"/>
  <c r="AB73" i="13"/>
  <c r="AB75" i="13"/>
  <c r="AH32" i="13"/>
  <c r="AH94" i="13"/>
  <c r="U103" i="13"/>
  <c r="U115" i="13" s="1"/>
  <c r="U130" i="13" s="1"/>
  <c r="U145" i="13" s="1"/>
  <c r="AF60" i="12"/>
  <c r="AF59" i="12"/>
  <c r="AF65" i="12"/>
  <c r="AA60" i="12"/>
  <c r="AA59" i="12"/>
  <c r="AA65" i="12"/>
  <c r="X58" i="12"/>
  <c r="X68" i="12" s="1"/>
  <c r="X78" i="12" s="1"/>
  <c r="X91" i="12" s="1"/>
  <c r="E61" i="9"/>
  <c r="E62" i="9"/>
  <c r="E84" i="9"/>
  <c r="E43" i="9"/>
  <c r="E44" i="9"/>
  <c r="E83" i="9"/>
  <c r="D61" i="9"/>
  <c r="D62" i="9"/>
  <c r="D43" i="9"/>
  <c r="D44" i="9"/>
  <c r="D84" i="9"/>
  <c r="D83" i="9"/>
  <c r="G43" i="9"/>
  <c r="G44" i="9"/>
  <c r="I84" i="9"/>
  <c r="I83" i="9"/>
  <c r="I61" i="9"/>
  <c r="I62" i="9"/>
  <c r="I43" i="9"/>
  <c r="I44" i="9"/>
  <c r="B63" i="9"/>
  <c r="B64" i="9"/>
  <c r="B65" i="9"/>
  <c r="B32" i="15"/>
  <c r="D25" i="31"/>
  <c r="D32" i="31"/>
  <c r="E32" i="15"/>
  <c r="D29" i="31"/>
  <c r="D36" i="31"/>
  <c r="D32" i="15"/>
  <c r="D30" i="31"/>
  <c r="D19" i="31"/>
  <c r="D18" i="31"/>
  <c r="D21" i="31"/>
  <c r="D33" i="31"/>
  <c r="D27" i="31"/>
  <c r="D38" i="31" s="1"/>
  <c r="D35" i="31"/>
  <c r="D22" i="31"/>
  <c r="D31" i="31"/>
  <c r="D20" i="31"/>
  <c r="D37" i="31"/>
  <c r="D26" i="31"/>
  <c r="D24" i="31"/>
  <c r="B21" i="36"/>
  <c r="B41" i="36" s="1"/>
  <c r="C33" i="16"/>
  <c r="D33" i="16"/>
  <c r="E33" i="16"/>
  <c r="A41" i="16"/>
  <c r="G33" i="16"/>
  <c r="H53" i="13"/>
  <c r="H102" i="13"/>
  <c r="H120" i="13" s="1"/>
  <c r="J15" i="12"/>
  <c r="M123" i="47"/>
  <c r="M87" i="47"/>
  <c r="M71" i="47"/>
  <c r="K123" i="47"/>
  <c r="J143" i="47"/>
  <c r="M29" i="47"/>
  <c r="M31" i="47"/>
  <c r="L31" i="47"/>
  <c r="K29" i="47"/>
  <c r="K31" i="47"/>
  <c r="K111" i="47"/>
  <c r="K23" i="47"/>
  <c r="K55" i="47"/>
  <c r="K87" i="47"/>
  <c r="K71" i="47"/>
  <c r="U68" i="12"/>
  <c r="U78" i="12" s="1"/>
  <c r="U91" i="12" s="1"/>
  <c r="AG60" i="12"/>
  <c r="AG59" i="12"/>
  <c r="AG65" i="12"/>
  <c r="I112" i="13"/>
  <c r="I107" i="13"/>
  <c r="I95" i="13"/>
  <c r="I96" i="13"/>
  <c r="I106" i="13"/>
  <c r="M39" i="47"/>
  <c r="I65" i="12"/>
  <c r="F36" i="50"/>
  <c r="F38" i="50"/>
  <c r="N53" i="13"/>
  <c r="G45" i="12"/>
  <c r="E70" i="13"/>
  <c r="E74" i="13"/>
  <c r="E73" i="13"/>
  <c r="AB65" i="12"/>
  <c r="AB59" i="12"/>
  <c r="AB60" i="12"/>
  <c r="K39" i="47"/>
  <c r="AF97" i="13"/>
  <c r="AF112" i="13"/>
  <c r="E66" i="44"/>
  <c r="AC104" i="13"/>
  <c r="N23" i="29"/>
  <c r="M23" i="29"/>
  <c r="N24" i="29"/>
  <c r="M24" i="29"/>
  <c r="L21" i="29"/>
  <c r="N22" i="29"/>
  <c r="M22" i="29"/>
  <c r="L20" i="29"/>
  <c r="N21" i="29"/>
  <c r="M21" i="29"/>
  <c r="L23" i="29"/>
  <c r="N20" i="29"/>
  <c r="M20" i="29"/>
  <c r="L24" i="29"/>
  <c r="L22" i="29"/>
  <c r="N27" i="29"/>
  <c r="M27" i="29" s="1"/>
  <c r="L27" i="29"/>
  <c r="L26" i="29"/>
  <c r="N25" i="29"/>
  <c r="M25" i="29"/>
  <c r="N26" i="29"/>
  <c r="M26" i="29"/>
  <c r="L25" i="29"/>
  <c r="G113" i="13"/>
  <c r="G108" i="13" s="1"/>
  <c r="K65" i="12"/>
  <c r="F118" i="13"/>
  <c r="F113" i="13"/>
  <c r="F108" i="13" s="1"/>
  <c r="L118" i="13"/>
  <c r="L113" i="13"/>
  <c r="L108" i="13" s="1"/>
  <c r="I113" i="13"/>
  <c r="I108" i="13" s="1"/>
  <c r="M118" i="13"/>
  <c r="M113" i="13"/>
  <c r="M108" i="13" s="1"/>
  <c r="J118" i="13"/>
  <c r="J113" i="13"/>
  <c r="J108" i="13" s="1"/>
  <c r="K113" i="13"/>
  <c r="K108" i="13" s="1"/>
  <c r="H74" i="12"/>
  <c r="H118" i="13"/>
  <c r="H113" i="13"/>
  <c r="H108" i="13" s="1"/>
  <c r="H65" i="12"/>
  <c r="N67" i="12"/>
  <c r="F65" i="12"/>
  <c r="L58" i="12"/>
  <c r="H58" i="12"/>
  <c r="J65" i="12"/>
  <c r="M67" i="12"/>
  <c r="H125" i="13"/>
  <c r="H117" i="13"/>
  <c r="L125" i="13"/>
  <c r="L107" i="13"/>
  <c r="H112" i="13"/>
  <c r="K75" i="13"/>
  <c r="AC96" i="13"/>
  <c r="H95" i="13"/>
  <c r="H96" i="13"/>
  <c r="AF96" i="13"/>
  <c r="L105" i="13"/>
  <c r="L114" i="13"/>
  <c r="H105" i="13"/>
  <c r="L117" i="13"/>
  <c r="AI104" i="13"/>
  <c r="AI112" i="13"/>
  <c r="AI121" i="13"/>
  <c r="AI97" i="13"/>
  <c r="AI98" i="13"/>
  <c r="AI99" i="13"/>
  <c r="AC105" i="13"/>
  <c r="AF105" i="13"/>
  <c r="H103" i="13"/>
  <c r="L103" i="13"/>
  <c r="H107" i="13"/>
  <c r="AF104" i="13"/>
  <c r="H114" i="13"/>
  <c r="L95" i="13"/>
  <c r="L96" i="13"/>
  <c r="H106" i="13"/>
  <c r="L112" i="13"/>
  <c r="L106" i="13"/>
  <c r="AC97" i="13"/>
  <c r="AC98" i="13"/>
  <c r="AC99" i="13"/>
  <c r="AC112" i="13"/>
  <c r="G84" i="9"/>
  <c r="M58" i="12"/>
  <c r="J67" i="12"/>
  <c r="L74" i="12"/>
  <c r="AE97" i="13"/>
  <c r="G61" i="9"/>
  <c r="G62" i="9"/>
  <c r="G63" i="9"/>
  <c r="G64" i="9"/>
  <c r="K103" i="13"/>
  <c r="K118" i="13"/>
  <c r="G95" i="13"/>
  <c r="G96" i="13"/>
  <c r="G118" i="13"/>
  <c r="N95" i="13"/>
  <c r="N118" i="13"/>
  <c r="N74" i="12"/>
  <c r="N58" i="12"/>
  <c r="J74" i="12"/>
  <c r="J58" i="12"/>
  <c r="H67" i="12"/>
  <c r="N65" i="12"/>
  <c r="E70" i="12"/>
  <c r="E71" i="12"/>
  <c r="E105" i="13"/>
  <c r="E117" i="13"/>
  <c r="E118" i="13"/>
  <c r="E60" i="12"/>
  <c r="E58" i="12"/>
  <c r="N71" i="12"/>
  <c r="N70" i="12"/>
  <c r="M71" i="12"/>
  <c r="M70" i="12"/>
  <c r="L71" i="12"/>
  <c r="L70" i="12"/>
  <c r="K67" i="12"/>
  <c r="K70" i="12"/>
  <c r="K71" i="12"/>
  <c r="J70" i="12"/>
  <c r="J71" i="12"/>
  <c r="I70" i="12"/>
  <c r="I71" i="12"/>
  <c r="H71" i="12"/>
  <c r="H88" i="12" s="1"/>
  <c r="H70" i="12"/>
  <c r="F71" i="12"/>
  <c r="F70" i="12"/>
  <c r="K74" i="12"/>
  <c r="F74" i="12"/>
  <c r="F58" i="12"/>
  <c r="K60" i="12"/>
  <c r="M60" i="12"/>
  <c r="I60" i="12"/>
  <c r="L60" i="12"/>
  <c r="G57" i="12"/>
  <c r="H66" i="12"/>
  <c r="H61" i="12" s="1"/>
  <c r="F67" i="12"/>
  <c r="F60" i="12"/>
  <c r="H60" i="12"/>
  <c r="N60" i="12"/>
  <c r="J60" i="12"/>
  <c r="E67" i="12"/>
  <c r="K125" i="13"/>
  <c r="K95" i="13"/>
  <c r="K96" i="13"/>
  <c r="AE121" i="13"/>
  <c r="AE105" i="13"/>
  <c r="AE112" i="13"/>
  <c r="C83" i="9"/>
  <c r="K114" i="13"/>
  <c r="K112" i="13"/>
  <c r="AE96" i="13"/>
  <c r="K107" i="13"/>
  <c r="K106" i="13"/>
  <c r="AD105" i="13"/>
  <c r="AG98" i="13"/>
  <c r="AG99" i="13"/>
  <c r="I75" i="13"/>
  <c r="AD121" i="13"/>
  <c r="AD112" i="13"/>
  <c r="K117" i="13"/>
  <c r="AD104" i="13"/>
  <c r="K105" i="13"/>
  <c r="M103" i="13"/>
  <c r="M105" i="13"/>
  <c r="M117" i="13"/>
  <c r="J105" i="13"/>
  <c r="J103" i="13"/>
  <c r="N103" i="13"/>
  <c r="N105" i="13"/>
  <c r="G103" i="13"/>
  <c r="G117" i="13"/>
  <c r="G105" i="13"/>
  <c r="F103" i="13"/>
  <c r="F105" i="13"/>
  <c r="F117" i="13"/>
  <c r="J107" i="13"/>
  <c r="J95" i="13"/>
  <c r="J96" i="13"/>
  <c r="J114" i="13"/>
  <c r="J117" i="13"/>
  <c r="E103" i="13"/>
  <c r="N114" i="13"/>
  <c r="N117" i="13"/>
  <c r="E114" i="13"/>
  <c r="F125" i="13"/>
  <c r="F114" i="13"/>
  <c r="M114" i="13"/>
  <c r="J106" i="13"/>
  <c r="G125" i="13"/>
  <c r="G114" i="13"/>
  <c r="J112" i="13"/>
  <c r="E107" i="13"/>
  <c r="E112" i="13"/>
  <c r="E106" i="13"/>
  <c r="E65" i="12"/>
  <c r="K21" i="42"/>
  <c r="L21" i="42"/>
  <c r="C63" i="9"/>
  <c r="C64" i="9"/>
  <c r="B47" i="9"/>
  <c r="B45" i="9"/>
  <c r="B46" i="9"/>
  <c r="G107" i="13"/>
  <c r="C84" i="9"/>
  <c r="H83" i="9"/>
  <c r="H85" i="9"/>
  <c r="H87" i="9"/>
  <c r="H61" i="9"/>
  <c r="H62" i="9"/>
  <c r="H43" i="9"/>
  <c r="H44" i="9"/>
  <c r="AG39" i="13"/>
  <c r="C43" i="9"/>
  <c r="C44" i="9"/>
  <c r="C45" i="9"/>
  <c r="C46" i="9"/>
  <c r="J28" i="9"/>
  <c r="C65" i="9"/>
  <c r="F83" i="9"/>
  <c r="F84" i="9"/>
  <c r="J125" i="13"/>
  <c r="M112" i="13"/>
  <c r="H23" i="42"/>
  <c r="L143" i="47"/>
  <c r="E18" i="31"/>
  <c r="E38" i="31"/>
  <c r="C54" i="31" s="1"/>
  <c r="AD97" i="13"/>
  <c r="AD98" i="13"/>
  <c r="AD99" i="13"/>
  <c r="G106" i="13"/>
  <c r="G112" i="13"/>
  <c r="N106" i="13"/>
  <c r="F106" i="13"/>
  <c r="N125" i="13"/>
  <c r="N107" i="13"/>
  <c r="N112" i="13"/>
  <c r="M106" i="13"/>
  <c r="M95" i="13"/>
  <c r="M96" i="13"/>
  <c r="M107" i="13"/>
  <c r="M125" i="13"/>
  <c r="Z98" i="13"/>
  <c r="Z99" i="13"/>
  <c r="E74" i="12"/>
  <c r="J23" i="42"/>
  <c r="B23" i="42"/>
  <c r="M23" i="42"/>
  <c r="H24" i="42"/>
  <c r="G75" i="13"/>
  <c r="N75" i="13"/>
  <c r="E125" i="13"/>
  <c r="F112" i="13"/>
  <c r="F95" i="13"/>
  <c r="F107" i="13"/>
  <c r="AE33" i="13"/>
  <c r="AE39" i="13"/>
  <c r="AH33" i="13"/>
  <c r="AH39" i="13"/>
  <c r="AD33" i="13"/>
  <c r="AD39" i="13"/>
  <c r="AB33" i="13"/>
  <c r="AB39" i="13"/>
  <c r="B106" i="9"/>
  <c r="B95" i="9"/>
  <c r="B88" i="9"/>
  <c r="B89" i="9"/>
  <c r="B107" i="9"/>
  <c r="E85" i="9"/>
  <c r="E87" i="9"/>
  <c r="E95" i="9"/>
  <c r="E18" i="30"/>
  <c r="AB98" i="13"/>
  <c r="AB99" i="13"/>
  <c r="AE113" i="13"/>
  <c r="AE108" i="13" s="1"/>
  <c r="AC113" i="13"/>
  <c r="AC108" i="13" s="1"/>
  <c r="AF98" i="13"/>
  <c r="AF99" i="13"/>
  <c r="AF113" i="13"/>
  <c r="AF108" i="13" s="1"/>
  <c r="F75" i="13"/>
  <c r="M101" i="13"/>
  <c r="M75" i="13"/>
  <c r="F65" i="9"/>
  <c r="F63" i="9"/>
  <c r="F64" i="9"/>
  <c r="F47" i="9"/>
  <c r="F45" i="9"/>
  <c r="F46" i="9"/>
  <c r="M143" i="47"/>
  <c r="AH121" i="13"/>
  <c r="AH104" i="13"/>
  <c r="AH105" i="13"/>
  <c r="AH96" i="13"/>
  <c r="AH97" i="13"/>
  <c r="AH112" i="13"/>
  <c r="I63" i="9"/>
  <c r="I64" i="9"/>
  <c r="I65" i="9"/>
  <c r="D85" i="9"/>
  <c r="D65" i="9"/>
  <c r="D63" i="9"/>
  <c r="D64" i="9"/>
  <c r="E47" i="9"/>
  <c r="E45" i="9"/>
  <c r="E46" i="9"/>
  <c r="B66" i="9"/>
  <c r="I85" i="9"/>
  <c r="I87" i="9"/>
  <c r="I95" i="9"/>
  <c r="G47" i="9"/>
  <c r="G45" i="9"/>
  <c r="G46" i="9"/>
  <c r="I47" i="9"/>
  <c r="I45" i="9"/>
  <c r="I46" i="9"/>
  <c r="G85" i="9"/>
  <c r="G87" i="9"/>
  <c r="D45" i="9"/>
  <c r="D46" i="9"/>
  <c r="D47" i="9"/>
  <c r="E65" i="9"/>
  <c r="E63" i="9"/>
  <c r="E64" i="9"/>
  <c r="B44" i="26"/>
  <c r="A44" i="26" s="1"/>
  <c r="B42" i="26"/>
  <c r="A42" i="26" s="1"/>
  <c r="K15" i="12"/>
  <c r="L15" i="12"/>
  <c r="M15" i="12"/>
  <c r="K143" i="47"/>
  <c r="AD113" i="13"/>
  <c r="AD108" i="13" s="1"/>
  <c r="E75" i="13"/>
  <c r="AB113" i="13"/>
  <c r="AB108" i="13"/>
  <c r="E95" i="13"/>
  <c r="E96" i="13"/>
  <c r="Z113" i="13"/>
  <c r="Z108" i="13" s="1"/>
  <c r="AG113" i="13"/>
  <c r="AG108" i="13" s="1"/>
  <c r="AH113" i="13"/>
  <c r="AH108" i="13" s="1"/>
  <c r="AA113" i="13"/>
  <c r="AA108" i="13" s="1"/>
  <c r="AI113" i="13"/>
  <c r="AI108" i="13" s="1"/>
  <c r="AI66" i="12"/>
  <c r="AI61" i="12" s="1"/>
  <c r="G65" i="9"/>
  <c r="H101" i="13"/>
  <c r="I66" i="12"/>
  <c r="I61" i="12" s="1"/>
  <c r="G65" i="12"/>
  <c r="E66" i="12"/>
  <c r="E61" i="12" s="1"/>
  <c r="J66" i="12"/>
  <c r="J61" i="12" s="1"/>
  <c r="M66" i="12"/>
  <c r="M61" i="12" s="1"/>
  <c r="N66" i="12"/>
  <c r="N61" i="12" s="1"/>
  <c r="G66" i="12"/>
  <c r="G61" i="12" s="1"/>
  <c r="L66" i="12"/>
  <c r="L61" i="12" s="1"/>
  <c r="K66" i="12"/>
  <c r="K61" i="12" s="1"/>
  <c r="F66" i="12"/>
  <c r="F61" i="12" s="1"/>
  <c r="N96" i="13"/>
  <c r="N80" i="13"/>
  <c r="F96" i="13"/>
  <c r="F80" i="13"/>
  <c r="AE98" i="13"/>
  <c r="AE99" i="13"/>
  <c r="AB66" i="12"/>
  <c r="AB61" i="12" s="1"/>
  <c r="AF66" i="12"/>
  <c r="AF61" i="12" s="1"/>
  <c r="AD66" i="12"/>
  <c r="AD61" i="12" s="1"/>
  <c r="AC66" i="12"/>
  <c r="AC61" i="12" s="1"/>
  <c r="AG66" i="12"/>
  <c r="AG61" i="12" s="1"/>
  <c r="AH66" i="12"/>
  <c r="AH61" i="12" s="1"/>
  <c r="AA66" i="12"/>
  <c r="AA61" i="12" s="1"/>
  <c r="G74" i="12"/>
  <c r="G58" i="12"/>
  <c r="G67" i="12"/>
  <c r="AE66" i="12"/>
  <c r="AE61" i="12" s="1"/>
  <c r="Z66" i="12"/>
  <c r="Z61" i="12" s="1"/>
  <c r="G71" i="12"/>
  <c r="G70" i="12"/>
  <c r="G60" i="12"/>
  <c r="K22" i="42"/>
  <c r="L22" i="42"/>
  <c r="J84" i="9"/>
  <c r="B48" i="9"/>
  <c r="B49" i="9"/>
  <c r="B50" i="9"/>
  <c r="C85" i="9"/>
  <c r="C87" i="9"/>
  <c r="C88" i="9"/>
  <c r="C89" i="9"/>
  <c r="C107" i="9"/>
  <c r="J83" i="9"/>
  <c r="C47" i="9"/>
  <c r="C48" i="9"/>
  <c r="C49" i="9"/>
  <c r="C50" i="9"/>
  <c r="J101" i="13"/>
  <c r="C66" i="9"/>
  <c r="C68" i="9"/>
  <c r="H88" i="9"/>
  <c r="H89" i="9"/>
  <c r="H107" i="9"/>
  <c r="H106" i="9"/>
  <c r="H95" i="9"/>
  <c r="F85" i="9"/>
  <c r="F87" i="9"/>
  <c r="H65" i="9"/>
  <c r="H63" i="9"/>
  <c r="H64" i="9"/>
  <c r="H47" i="9"/>
  <c r="H45" i="9"/>
  <c r="H46" i="9"/>
  <c r="E39" i="39"/>
  <c r="F66" i="9"/>
  <c r="F68" i="9"/>
  <c r="I24" i="42"/>
  <c r="F18" i="31"/>
  <c r="F38" i="31" s="1"/>
  <c r="C50" i="31"/>
  <c r="C51" i="31"/>
  <c r="C53" i="31"/>
  <c r="C55" i="31"/>
  <c r="K70" i="51"/>
  <c r="K69" i="51"/>
  <c r="B24" i="42"/>
  <c r="M24" i="42"/>
  <c r="B25" i="42"/>
  <c r="M25" i="42"/>
  <c r="J24" i="42"/>
  <c r="E88" i="9"/>
  <c r="E89" i="9"/>
  <c r="E107" i="9"/>
  <c r="I48" i="9"/>
  <c r="I49" i="9"/>
  <c r="I50" i="9"/>
  <c r="E106" i="9"/>
  <c r="E80" i="13"/>
  <c r="E57" i="13"/>
  <c r="F48" i="9"/>
  <c r="E48" i="9"/>
  <c r="E49" i="9"/>
  <c r="E50" i="9"/>
  <c r="G66" i="9"/>
  <c r="G68" i="9"/>
  <c r="AH98" i="13"/>
  <c r="AH99" i="13"/>
  <c r="G106" i="9"/>
  <c r="G88" i="9"/>
  <c r="G89" i="9"/>
  <c r="G107" i="9"/>
  <c r="B68" i="9"/>
  <c r="B105" i="9"/>
  <c r="E66" i="9"/>
  <c r="E68" i="9"/>
  <c r="D48" i="9"/>
  <c r="G48" i="9"/>
  <c r="D87" i="9"/>
  <c r="G95" i="9"/>
  <c r="I106" i="9"/>
  <c r="I88" i="9"/>
  <c r="I89" i="9"/>
  <c r="I107" i="9"/>
  <c r="D66" i="9"/>
  <c r="D68" i="9"/>
  <c r="I66" i="9"/>
  <c r="I68" i="9"/>
  <c r="B41" i="26"/>
  <c r="A41" i="26" s="1"/>
  <c r="N15" i="12"/>
  <c r="I18" i="13"/>
  <c r="J25" i="42"/>
  <c r="N79" i="13"/>
  <c r="N78" i="13" s="1"/>
  <c r="N97" i="13" s="1"/>
  <c r="N101" i="13"/>
  <c r="N102" i="13"/>
  <c r="N120" i="13" s="1"/>
  <c r="N57" i="13"/>
  <c r="F57" i="13"/>
  <c r="F79" i="13"/>
  <c r="F78" i="13" s="1"/>
  <c r="F97" i="13" s="1"/>
  <c r="F101" i="13"/>
  <c r="F102" i="13"/>
  <c r="F120" i="13" s="1"/>
  <c r="C95" i="9"/>
  <c r="C106" i="9"/>
  <c r="K23" i="42"/>
  <c r="L23" i="42"/>
  <c r="J85" i="9"/>
  <c r="H48" i="9"/>
  <c r="H49" i="9"/>
  <c r="H50" i="9"/>
  <c r="F95" i="9"/>
  <c r="F88" i="9"/>
  <c r="F89" i="9"/>
  <c r="F107" i="9"/>
  <c r="F106" i="9"/>
  <c r="H66" i="9"/>
  <c r="H25" i="42"/>
  <c r="I25" i="42"/>
  <c r="F105" i="9"/>
  <c r="I39" i="39"/>
  <c r="C40" i="39" s="1"/>
  <c r="J57" i="7"/>
  <c r="F49" i="9"/>
  <c r="F50" i="9"/>
  <c r="C105" i="9"/>
  <c r="E79" i="13"/>
  <c r="E78" i="13" s="1"/>
  <c r="E97" i="13" s="1"/>
  <c r="E105" i="9"/>
  <c r="I105" i="9"/>
  <c r="J87" i="9"/>
  <c r="J88" i="9"/>
  <c r="D106" i="9"/>
  <c r="D95" i="9"/>
  <c r="D88" i="9"/>
  <c r="D89" i="9"/>
  <c r="G49" i="9"/>
  <c r="G50" i="9"/>
  <c r="G105" i="9"/>
  <c r="D105" i="9"/>
  <c r="D49" i="9"/>
  <c r="D50" i="9"/>
  <c r="K77" i="13"/>
  <c r="I77" i="13"/>
  <c r="B26" i="42"/>
  <c r="M26" i="42"/>
  <c r="H26" i="42"/>
  <c r="I26" i="42"/>
  <c r="J26" i="42"/>
  <c r="K24" i="42"/>
  <c r="L24" i="42"/>
  <c r="J18" i="13"/>
  <c r="L77" i="13"/>
  <c r="H77" i="13"/>
  <c r="J106" i="9"/>
  <c r="M77" i="13"/>
  <c r="J77" i="13"/>
  <c r="N77" i="13"/>
  <c r="H68" i="9"/>
  <c r="H105" i="9"/>
  <c r="J105" i="9"/>
  <c r="J56" i="7"/>
  <c r="J59" i="7" s="1" a="1"/>
  <c r="J95" i="9"/>
  <c r="D96" i="9"/>
  <c r="D98" i="9"/>
  <c r="D104" i="9"/>
  <c r="D107" i="9"/>
  <c r="J107" i="9"/>
  <c r="J89" i="9"/>
  <c r="P15" i="12"/>
  <c r="B27" i="42"/>
  <c r="M27" i="42"/>
  <c r="J27" i="42"/>
  <c r="I27" i="42"/>
  <c r="H27" i="42"/>
  <c r="K25" i="42"/>
  <c r="L25" i="42"/>
  <c r="K18" i="13"/>
  <c r="G77" i="13"/>
  <c r="B128" i="9"/>
  <c r="F96" i="9"/>
  <c r="F98" i="9"/>
  <c r="F104" i="9"/>
  <c r="F108" i="9"/>
  <c r="C96" i="9"/>
  <c r="C98" i="9"/>
  <c r="C104" i="9"/>
  <c r="C108" i="9"/>
  <c r="G96" i="9"/>
  <c r="G98" i="9"/>
  <c r="G104" i="9"/>
  <c r="G108" i="9"/>
  <c r="B96" i="9"/>
  <c r="H96" i="9"/>
  <c r="H98" i="9"/>
  <c r="H104" i="9"/>
  <c r="H108" i="9"/>
  <c r="I96" i="9"/>
  <c r="I98" i="9"/>
  <c r="I104" i="9"/>
  <c r="I108" i="9"/>
  <c r="E96" i="9"/>
  <c r="E98" i="9"/>
  <c r="E104" i="9"/>
  <c r="E108" i="9"/>
  <c r="D108" i="9"/>
  <c r="L18" i="13"/>
  <c r="M18" i="13"/>
  <c r="Q15" i="12"/>
  <c r="F77" i="13"/>
  <c r="K26" i="42"/>
  <c r="L26" i="42"/>
  <c r="H28" i="42"/>
  <c r="B28" i="42"/>
  <c r="M28" i="42"/>
  <c r="J28" i="42"/>
  <c r="I28" i="42"/>
  <c r="E101" i="13"/>
  <c r="E102" i="13"/>
  <c r="E120" i="13" s="1"/>
  <c r="B98" i="9"/>
  <c r="J96" i="9"/>
  <c r="N18" i="13"/>
  <c r="R15" i="12"/>
  <c r="I29" i="42"/>
  <c r="B29" i="42"/>
  <c r="M29" i="42"/>
  <c r="J29" i="42"/>
  <c r="H29" i="42"/>
  <c r="K27" i="42"/>
  <c r="L27" i="42"/>
  <c r="E77" i="13"/>
  <c r="A184" i="7"/>
  <c r="H11" i="7"/>
  <c r="B104" i="9"/>
  <c r="J98" i="9"/>
  <c r="S15" i="12"/>
  <c r="K28" i="42"/>
  <c r="L28" i="42"/>
  <c r="H30" i="42"/>
  <c r="B30" i="42"/>
  <c r="M30" i="42"/>
  <c r="J30" i="42"/>
  <c r="I30" i="42"/>
  <c r="K29" i="42"/>
  <c r="L29" i="42"/>
  <c r="J104" i="9"/>
  <c r="B108" i="9"/>
  <c r="J108" i="9"/>
  <c r="B129" i="9"/>
  <c r="T15" i="12"/>
  <c r="J31" i="42"/>
  <c r="H31" i="42"/>
  <c r="I31" i="42"/>
  <c r="B31" i="42"/>
  <c r="M31" i="42"/>
  <c r="K30" i="42"/>
  <c r="L30" i="42"/>
  <c r="U15" i="12"/>
  <c r="H32" i="42"/>
  <c r="H33" i="42"/>
  <c r="B32" i="42"/>
  <c r="M32" i="42"/>
  <c r="I32" i="42"/>
  <c r="I33" i="42"/>
  <c r="J32" i="42"/>
  <c r="K31" i="42"/>
  <c r="L31" i="42"/>
  <c r="V15" i="12"/>
  <c r="W15" i="12"/>
  <c r="X15" i="12"/>
  <c r="M33" i="42"/>
  <c r="J33" i="42"/>
  <c r="K32" i="42"/>
  <c r="K33" i="42"/>
  <c r="AA18" i="13"/>
  <c r="L32" i="42"/>
  <c r="L33" i="42"/>
  <c r="AB18" i="13"/>
  <c r="AC18" i="13"/>
  <c r="AD18" i="13"/>
  <c r="AE18" i="13"/>
  <c r="AF18" i="13"/>
  <c r="AG18" i="13"/>
  <c r="AH18" i="13"/>
  <c r="AI18" i="13"/>
  <c r="AA15" i="12"/>
  <c r="AB15" i="12"/>
  <c r="AC15" i="12"/>
  <c r="AD15" i="12"/>
  <c r="AE15" i="12"/>
  <c r="AF15" i="12"/>
  <c r="AG15" i="12"/>
  <c r="AH15" i="12"/>
  <c r="AI15" i="12"/>
  <c r="I54" i="54"/>
  <c r="I53" i="54"/>
  <c r="I52" i="54"/>
  <c r="I55" i="54"/>
  <c r="I51" i="54"/>
  <c r="L57" i="54"/>
  <c r="I50" i="54"/>
  <c r="F312" i="7"/>
  <c r="H312" i="7" s="1"/>
  <c r="I312" i="7" s="1"/>
  <c r="P19" i="59"/>
  <c r="Q19" i="59"/>
  <c r="Q20" i="59"/>
  <c r="Q21" i="59"/>
  <c r="BJ51" i="67"/>
  <c r="E35" i="32"/>
  <c r="S33" i="11" l="1"/>
  <c r="U26" i="64"/>
  <c r="R48" i="64"/>
  <c r="E50" i="64"/>
  <c r="E54" i="64" s="1"/>
  <c r="F50" i="64"/>
  <c r="F54" i="64" s="1"/>
  <c r="N50" i="64"/>
  <c r="N54" i="64" s="1"/>
  <c r="X36" i="64"/>
  <c r="Z22" i="64"/>
  <c r="X28" i="64"/>
  <c r="G50" i="64"/>
  <c r="G54" i="64" s="1"/>
  <c r="Y37" i="64"/>
  <c r="Y36" i="64"/>
  <c r="AA28" i="64"/>
  <c r="Y45" i="64"/>
  <c r="AA29" i="64"/>
  <c r="Y44" i="64"/>
  <c r="AA36" i="64"/>
  <c r="Z36" i="64"/>
  <c r="X22" i="64"/>
  <c r="X45" i="64"/>
  <c r="Z29" i="64"/>
  <c r="Z44" i="64"/>
  <c r="Z43" i="64"/>
  <c r="Y22" i="64"/>
  <c r="Y29" i="64"/>
  <c r="X44" i="64"/>
  <c r="Y28" i="64"/>
  <c r="X43" i="64"/>
  <c r="M50" i="64"/>
  <c r="M54" i="64" s="1"/>
  <c r="T20" i="64"/>
  <c r="AF20" i="64"/>
  <c r="AF21" i="64" s="1"/>
  <c r="AF22" i="64" s="1"/>
  <c r="X35" i="64"/>
  <c r="AA40" i="64"/>
  <c r="Z35" i="64"/>
  <c r="X32" i="64"/>
  <c r="Z27" i="64"/>
  <c r="AA43" i="64"/>
  <c r="Y27" i="64"/>
  <c r="AA42" i="64"/>
  <c r="AA34" i="64"/>
  <c r="Y42" i="64"/>
  <c r="X42" i="64"/>
  <c r="Y26" i="64"/>
  <c r="Z42" i="64"/>
  <c r="Z26" i="64"/>
  <c r="K50" i="64"/>
  <c r="K54" i="64" s="1"/>
  <c r="I50" i="64"/>
  <c r="I54" i="64" s="1"/>
  <c r="Z32" i="64"/>
  <c r="AA26" i="64"/>
  <c r="X34" i="64"/>
  <c r="Y34" i="64"/>
  <c r="X26" i="64"/>
  <c r="AA46" i="64"/>
  <c r="Z38" i="64"/>
  <c r="Z46" i="64"/>
  <c r="AA27" i="64"/>
  <c r="X38" i="64"/>
  <c r="AA38" i="64"/>
  <c r="AA35" i="64"/>
  <c r="X27" i="64"/>
  <c r="Y30" i="64"/>
  <c r="Z30" i="64"/>
  <c r="AA30" i="64"/>
  <c r="Y46" i="64"/>
  <c r="X30" i="64"/>
  <c r="S30" i="11"/>
  <c r="K30" i="11" s="1"/>
  <c r="S27" i="11"/>
  <c r="K27" i="11" s="1"/>
  <c r="F182" i="72"/>
  <c r="G182" i="72"/>
  <c r="K165" i="72"/>
  <c r="D123" i="72"/>
  <c r="D124" i="72" s="1"/>
  <c r="E182" i="72"/>
  <c r="J165" i="72"/>
  <c r="J170" i="72" s="1"/>
  <c r="E115" i="72"/>
  <c r="D167" i="72"/>
  <c r="F120" i="72"/>
  <c r="P71" i="72"/>
  <c r="B228" i="72" s="1"/>
  <c r="I115" i="72"/>
  <c r="R93" i="72"/>
  <c r="R95" i="72" s="1"/>
  <c r="R98" i="72" s="1"/>
  <c r="R99" i="72" s="1"/>
  <c r="J69" i="11"/>
  <c r="J55" i="11"/>
  <c r="O55" i="11" s="1"/>
  <c r="S35" i="11"/>
  <c r="K35" i="11" s="1"/>
  <c r="S34" i="11"/>
  <c r="K34" i="11" s="1"/>
  <c r="K33" i="11"/>
  <c r="S32" i="11"/>
  <c r="K32" i="11" s="1"/>
  <c r="S31" i="11"/>
  <c r="K31" i="11" s="1"/>
  <c r="S29" i="11"/>
  <c r="K29" i="11" s="1"/>
  <c r="S36" i="11"/>
  <c r="K36" i="11" s="1"/>
  <c r="S28" i="11"/>
  <c r="K28" i="11" s="1"/>
  <c r="O101" i="11"/>
  <c r="O103" i="11"/>
  <c r="Q103" i="11"/>
  <c r="Q101" i="11"/>
  <c r="J39" i="11"/>
  <c r="K37" i="11"/>
  <c r="E59" i="11"/>
  <c r="G49" i="52"/>
  <c r="I49" i="52"/>
  <c r="I86" i="52"/>
  <c r="L86" i="52" s="1"/>
  <c r="K24" i="43"/>
  <c r="K29" i="43"/>
  <c r="K25" i="43"/>
  <c r="K28" i="43"/>
  <c r="K30" i="43"/>
  <c r="K26" i="43"/>
  <c r="K23" i="43"/>
  <c r="K38" i="43"/>
  <c r="K42" i="43"/>
  <c r="K34" i="43"/>
  <c r="K46" i="43"/>
  <c r="K27" i="43"/>
  <c r="K31" i="43"/>
  <c r="C53" i="51"/>
  <c r="K13" i="51"/>
  <c r="K47" i="51" s="1"/>
  <c r="F19" i="51"/>
  <c r="K44" i="51" s="1"/>
  <c r="F71" i="51" s="1"/>
  <c r="A100" i="51"/>
  <c r="F39" i="50"/>
  <c r="F40" i="50" s="1"/>
  <c r="J38" i="50"/>
  <c r="J30" i="29"/>
  <c r="B42" i="25"/>
  <c r="B44" i="25"/>
  <c r="C56" i="31"/>
  <c r="G33" i="38"/>
  <c r="I24" i="38"/>
  <c r="G36" i="26"/>
  <c r="D36" i="26"/>
  <c r="E40" i="31"/>
  <c r="B21" i="37"/>
  <c r="E21" i="37"/>
  <c r="A21" i="37" s="1"/>
  <c r="C22" i="37"/>
  <c r="E38" i="30"/>
  <c r="F18" i="30"/>
  <c r="F38" i="30" s="1"/>
  <c r="E40" i="30" s="1"/>
  <c r="A17" i="54"/>
  <c r="J25" i="52"/>
  <c r="M25" i="52" s="1"/>
  <c r="D30" i="37"/>
  <c r="C52" i="31"/>
  <c r="J22" i="52"/>
  <c r="M22" i="52" s="1"/>
  <c r="B63" i="36"/>
  <c r="B22" i="36"/>
  <c r="H10" i="14"/>
  <c r="F9" i="1"/>
  <c r="J180" i="72"/>
  <c r="C180" i="72"/>
  <c r="K180" i="72"/>
  <c r="F180" i="72"/>
  <c r="D180" i="72"/>
  <c r="B180" i="72"/>
  <c r="R180" i="72"/>
  <c r="S180" i="72"/>
  <c r="H180" i="72"/>
  <c r="E180" i="72"/>
  <c r="G180" i="72"/>
  <c r="I180" i="72"/>
  <c r="Q180" i="72"/>
  <c r="T180" i="72"/>
  <c r="L142" i="13"/>
  <c r="G88" i="12"/>
  <c r="F88" i="12"/>
  <c r="AB88" i="12"/>
  <c r="Z88" i="12"/>
  <c r="AD88" i="12"/>
  <c r="K98" i="13"/>
  <c r="K99" i="13" s="1"/>
  <c r="K100" i="13" s="1"/>
  <c r="I142" i="13"/>
  <c r="AI88" i="12"/>
  <c r="C31" i="17"/>
  <c r="C46" i="17" s="1"/>
  <c r="D31" i="17"/>
  <c r="D46" i="17" s="1"/>
  <c r="B11" i="36"/>
  <c r="A11" i="18"/>
  <c r="A12" i="16"/>
  <c r="A10" i="44"/>
  <c r="A11" i="19"/>
  <c r="A12" i="31"/>
  <c r="A11" i="38"/>
  <c r="A10" i="14"/>
  <c r="A11" i="67"/>
  <c r="A4" i="3"/>
  <c r="A10" i="46"/>
  <c r="A10" i="66"/>
  <c r="A9" i="7"/>
  <c r="A12" i="29"/>
  <c r="A9" i="25"/>
  <c r="A11" i="21"/>
  <c r="A9" i="12"/>
  <c r="A11" i="24"/>
  <c r="V123" i="13"/>
  <c r="V77" i="13" s="1"/>
  <c r="Q72" i="12"/>
  <c r="V72" i="12"/>
  <c r="W72" i="12"/>
  <c r="O123" i="13"/>
  <c r="O77" i="13" s="1"/>
  <c r="U72" i="12"/>
  <c r="T72" i="12"/>
  <c r="Q123" i="13"/>
  <c r="Q77" i="13" s="1"/>
  <c r="I88" i="12"/>
  <c r="AG68" i="12"/>
  <c r="AG78" i="12" s="1"/>
  <c r="AG91" i="12" s="1"/>
  <c r="F98" i="13"/>
  <c r="F99" i="13" s="1"/>
  <c r="F100" i="13" s="1"/>
  <c r="AE88" i="12"/>
  <c r="AA88" i="12"/>
  <c r="AG88" i="12"/>
  <c r="E31" i="17"/>
  <c r="E46" i="17" s="1"/>
  <c r="F31" i="17"/>
  <c r="F46" i="17" s="1"/>
  <c r="J88" i="12"/>
  <c r="N88" i="12"/>
  <c r="E98" i="13"/>
  <c r="E99" i="13" s="1"/>
  <c r="E100" i="13" s="1"/>
  <c r="M142" i="13"/>
  <c r="J142" i="13"/>
  <c r="K88" i="12"/>
  <c r="AH88" i="12"/>
  <c r="J98" i="13"/>
  <c r="J99" i="13" s="1"/>
  <c r="J100" i="13" s="1"/>
  <c r="X28" i="17"/>
  <c r="X31" i="17" s="1"/>
  <c r="X46" i="17" s="1"/>
  <c r="H142" i="13"/>
  <c r="M98" i="13"/>
  <c r="M99" i="13" s="1"/>
  <c r="M100" i="13" s="1"/>
  <c r="X26" i="17"/>
  <c r="G142" i="13"/>
  <c r="X27" i="17"/>
  <c r="AH68" i="12"/>
  <c r="AH78" i="12" s="1"/>
  <c r="AH91" i="12" s="1"/>
  <c r="L88" i="12"/>
  <c r="F142" i="13"/>
  <c r="AF88" i="12"/>
  <c r="Z142" i="13"/>
  <c r="G31" i="17"/>
  <c r="G46" i="17" s="1"/>
  <c r="N98" i="13"/>
  <c r="N99" i="13" s="1"/>
  <c r="N100" i="13" s="1"/>
  <c r="E142" i="13"/>
  <c r="AC88" i="12"/>
  <c r="N142" i="13"/>
  <c r="K142" i="13"/>
  <c r="L98" i="13"/>
  <c r="L99" i="13" s="1"/>
  <c r="L100" i="13" s="1"/>
  <c r="I98" i="13"/>
  <c r="I99" i="13" s="1"/>
  <c r="I100" i="13" s="1"/>
  <c r="AC68" i="12"/>
  <c r="AC78" i="12" s="1"/>
  <c r="AC91" i="12" s="1"/>
  <c r="M88" i="12"/>
  <c r="E88" i="12"/>
  <c r="G118" i="72"/>
  <c r="G120" i="72"/>
  <c r="G116" i="72"/>
  <c r="G117" i="72" s="1"/>
  <c r="G122" i="72" s="1"/>
  <c r="O93" i="72"/>
  <c r="O95" i="72" s="1"/>
  <c r="O98" i="72" s="1"/>
  <c r="O99" i="72" s="1"/>
  <c r="H93" i="72"/>
  <c r="C120" i="72"/>
  <c r="C165" i="72"/>
  <c r="B166" i="72"/>
  <c r="D114" i="7"/>
  <c r="D115" i="7" s="1"/>
  <c r="A255" i="7"/>
  <c r="F25" i="76"/>
  <c r="A118" i="76" s="1"/>
  <c r="I186" i="7"/>
  <c r="H186" i="7" s="1"/>
  <c r="F180" i="7"/>
  <c r="F181" i="7" s="1"/>
  <c r="A9" i="75"/>
  <c r="A9" i="76"/>
  <c r="E10" i="11"/>
  <c r="A9" i="65"/>
  <c r="S123" i="13"/>
  <c r="S77" i="13" s="1"/>
  <c r="P123" i="13"/>
  <c r="P77" i="13" s="1"/>
  <c r="A10" i="49"/>
  <c r="A11" i="27"/>
  <c r="W123" i="13"/>
  <c r="W77" i="13" s="1"/>
  <c r="T123" i="13"/>
  <c r="T77" i="13" s="1"/>
  <c r="A11" i="34"/>
  <c r="A11" i="54"/>
  <c r="A10" i="76"/>
  <c r="A10" i="65"/>
  <c r="H51" i="7" a="1"/>
  <c r="D226" i="7"/>
  <c r="A311" i="7"/>
  <c r="A317" i="7" s="1"/>
  <c r="H24" i="7" a="1"/>
  <c r="A322" i="7"/>
  <c r="A323" i="7" s="1"/>
  <c r="A324" i="7" s="1"/>
  <c r="A325" i="7" s="1"/>
  <c r="A326" i="7" s="1"/>
  <c r="A327" i="7" s="1"/>
  <c r="A77" i="8"/>
  <c r="I31" i="19"/>
  <c r="I33" i="19" s="1"/>
  <c r="H98" i="13"/>
  <c r="H99" i="13" s="1"/>
  <c r="H100" i="13" s="1"/>
  <c r="H31" i="17"/>
  <c r="H46" i="17" s="1"/>
  <c r="E48" i="14"/>
  <c r="E36" i="65"/>
  <c r="AE115" i="13"/>
  <c r="AE130" i="13" s="1"/>
  <c r="AE145" i="13" s="1"/>
  <c r="D36" i="65"/>
  <c r="L49" i="43"/>
  <c r="K33" i="43"/>
  <c r="K45" i="43"/>
  <c r="K41" i="43"/>
  <c r="K37" i="43"/>
  <c r="K39" i="43"/>
  <c r="K35" i="43"/>
  <c r="K43" i="43"/>
  <c r="K47" i="43"/>
  <c r="K44" i="43"/>
  <c r="K40" i="43"/>
  <c r="K36" i="43"/>
  <c r="K32" i="43"/>
  <c r="C61" i="43"/>
  <c r="C60" i="43" s="1"/>
  <c r="C59" i="43" s="1"/>
  <c r="C58" i="43" s="1"/>
  <c r="C57" i="43" s="1"/>
  <c r="C56" i="43" s="1"/>
  <c r="C55" i="43" s="1"/>
  <c r="C63" i="43" s="1"/>
  <c r="J76" i="36"/>
  <c r="G76" i="36"/>
  <c r="F115" i="7"/>
  <c r="G280" i="7" s="1"/>
  <c r="C76" i="36"/>
  <c r="M90" i="36" s="1"/>
  <c r="H93" i="36" s="1"/>
  <c r="B23" i="36"/>
  <c r="B43" i="36" s="1"/>
  <c r="K56" i="36"/>
  <c r="K66" i="36"/>
  <c r="F73" i="36"/>
  <c r="K73" i="36" s="1"/>
  <c r="K67" i="36"/>
  <c r="H105" i="36"/>
  <c r="H108" i="36" s="1"/>
  <c r="F56" i="36"/>
  <c r="G278" i="7"/>
  <c r="F34" i="36"/>
  <c r="F63" i="36"/>
  <c r="K63" i="36" s="1"/>
  <c r="K72" i="36"/>
  <c r="F70" i="36"/>
  <c r="K70" i="36" s="1"/>
  <c r="F69" i="36"/>
  <c r="K69" i="36" s="1"/>
  <c r="K64" i="36"/>
  <c r="K34" i="36"/>
  <c r="K76" i="36" s="1"/>
  <c r="G287" i="7"/>
  <c r="F121" i="7"/>
  <c r="F263" i="7" s="1"/>
  <c r="F286" i="7" s="1"/>
  <c r="F262" i="7"/>
  <c r="F127" i="7"/>
  <c r="H127" i="7" s="1"/>
  <c r="M76" i="36"/>
  <c r="F255" i="7"/>
  <c r="M95" i="36"/>
  <c r="M98" i="36" s="1"/>
  <c r="H99" i="36"/>
  <c r="H101" i="36" s="1"/>
  <c r="G64" i="34"/>
  <c r="F64" i="34"/>
  <c r="B35" i="65"/>
  <c r="F36" i="65"/>
  <c r="G35" i="65"/>
  <c r="F42" i="65"/>
  <c r="G317" i="7"/>
  <c r="H317" i="7" s="1"/>
  <c r="F39" i="65"/>
  <c r="F40" i="65"/>
  <c r="C20" i="65"/>
  <c r="F46" i="65"/>
  <c r="G32" i="65"/>
  <c r="H328" i="7"/>
  <c r="A96" i="7"/>
  <c r="H306" i="7"/>
  <c r="J28" i="7"/>
  <c r="A77" i="10"/>
  <c r="A6" i="17"/>
  <c r="E24" i="22"/>
  <c r="M24" i="22" s="1"/>
  <c r="M26" i="22" s="1"/>
  <c r="A120" i="32"/>
  <c r="F122" i="32"/>
  <c r="AA68" i="12"/>
  <c r="AA78" i="12" s="1"/>
  <c r="AA91" i="12" s="1"/>
  <c r="S72" i="12"/>
  <c r="R123" i="13"/>
  <c r="R77" i="13" s="1"/>
  <c r="U123" i="13"/>
  <c r="U77" i="13" s="1"/>
  <c r="A25" i="32"/>
  <c r="A49" i="32"/>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I34" i="21"/>
  <c r="A11" i="53"/>
  <c r="A12" i="30"/>
  <c r="A11" i="20"/>
  <c r="A9" i="48"/>
  <c r="A9" i="47"/>
  <c r="A21" i="8"/>
  <c r="A10" i="74"/>
  <c r="A10" i="75"/>
  <c r="J24" i="52"/>
  <c r="M24" i="52" s="1"/>
  <c r="R72" i="12"/>
  <c r="X123" i="13"/>
  <c r="X77" i="13" s="1"/>
  <c r="O72" i="12"/>
  <c r="A11" i="35"/>
  <c r="A9" i="13"/>
  <c r="E11" i="11"/>
  <c r="A9" i="26"/>
  <c r="A11" i="37"/>
  <c r="E39" i="32"/>
  <c r="B46" i="32" s="1"/>
  <c r="D46" i="32" s="1"/>
  <c r="A11" i="9"/>
  <c r="A10" i="69"/>
  <c r="J20" i="52"/>
  <c r="M20" i="52" s="1"/>
  <c r="A9" i="28"/>
  <c r="A11" i="57"/>
  <c r="A11" i="62"/>
  <c r="A11" i="39"/>
  <c r="A11" i="41"/>
  <c r="AD115" i="13"/>
  <c r="AD130" i="13" s="1"/>
  <c r="AD145" i="13" s="1"/>
  <c r="J19" i="52"/>
  <c r="M19" i="52" s="1"/>
  <c r="J21" i="52"/>
  <c r="M21" i="52" s="1"/>
  <c r="A11" i="51"/>
  <c r="A12" i="15"/>
  <c r="A11" i="50"/>
  <c r="A11" i="43"/>
  <c r="A11" i="23"/>
  <c r="A11" i="33"/>
  <c r="A11" i="52"/>
  <c r="J27" i="52"/>
  <c r="M27" i="52" s="1"/>
  <c r="E34" i="21"/>
  <c r="M34" i="21"/>
  <c r="A10" i="45"/>
  <c r="A9" i="40"/>
  <c r="A10" i="55"/>
  <c r="A11" i="42"/>
  <c r="A11" i="32"/>
  <c r="AF115" i="13"/>
  <c r="AF130" i="13" s="1"/>
  <c r="AF145" i="13" s="1"/>
  <c r="B145" i="7"/>
  <c r="AA115" i="13"/>
  <c r="AA130" i="13" s="1"/>
  <c r="AA145" i="13" s="1"/>
  <c r="Q24" i="21"/>
  <c r="AB115" i="13"/>
  <c r="AB130" i="13" s="1"/>
  <c r="AB145" i="13" s="1"/>
  <c r="B68" i="43"/>
  <c r="B70" i="43" s="1"/>
  <c r="E69" i="22"/>
  <c r="M69" i="22" s="1"/>
  <c r="M71" i="22" s="1"/>
  <c r="AA15" i="6"/>
  <c r="Z68" i="12"/>
  <c r="Z78" i="12" s="1"/>
  <c r="Z91" i="12" s="1"/>
  <c r="AF68" i="12"/>
  <c r="AF78" i="12" s="1"/>
  <c r="AF91" i="12" s="1"/>
  <c r="J26" i="52"/>
  <c r="M26" i="52" s="1"/>
  <c r="A8" i="13"/>
  <c r="A9" i="74"/>
  <c r="AH115" i="13"/>
  <c r="AH130" i="13" s="1"/>
  <c r="AH145" i="13" s="1"/>
  <c r="AI68" i="12"/>
  <c r="AI78" i="12" s="1"/>
  <c r="AI91" i="12" s="1"/>
  <c r="D216" i="7"/>
  <c r="D27" i="25"/>
  <c r="D29" i="25"/>
  <c r="D30" i="25"/>
  <c r="C27" i="25"/>
  <c r="C29" i="25"/>
  <c r="C30" i="25"/>
  <c r="G29" i="25"/>
  <c r="G27" i="25"/>
  <c r="G30" i="25"/>
  <c r="E27" i="25"/>
  <c r="E30" i="25"/>
  <c r="E29" i="25"/>
  <c r="F30" i="25"/>
  <c r="F32" i="25" s="1"/>
  <c r="F22" i="25"/>
  <c r="B45" i="26"/>
  <c r="F36" i="26"/>
  <c r="D53" i="26"/>
  <c r="E36" i="26"/>
  <c r="B40" i="26"/>
  <c r="C36" i="26"/>
  <c r="E55" i="26" s="1"/>
  <c r="F27" i="26"/>
  <c r="F30" i="26"/>
  <c r="D30" i="26"/>
  <c r="D27" i="26"/>
  <c r="D29" i="26"/>
  <c r="C27" i="26"/>
  <c r="C30" i="26"/>
  <c r="C29" i="26"/>
  <c r="G27" i="26"/>
  <c r="G30" i="26"/>
  <c r="G29" i="26"/>
  <c r="F35" i="26"/>
  <c r="F29" i="26"/>
  <c r="E35" i="26"/>
  <c r="E30" i="26"/>
  <c r="E32" i="26" s="1"/>
  <c r="E27" i="26"/>
  <c r="D35" i="26"/>
  <c r="C35" i="26"/>
  <c r="E167" i="7"/>
  <c r="E172" i="7"/>
  <c r="F27" i="76"/>
  <c r="A200" i="76" s="1"/>
  <c r="F26" i="76"/>
  <c r="A159" i="76" s="1"/>
  <c r="H277" i="7"/>
  <c r="V89" i="28"/>
  <c r="M90" i="28"/>
  <c r="M80" i="28"/>
  <c r="O84" i="28"/>
  <c r="M84" i="28" s="1"/>
  <c r="O89" i="28"/>
  <c r="M89" i="28" s="1"/>
  <c r="O81" i="28"/>
  <c r="M81" i="28" s="1"/>
  <c r="O76" i="28"/>
  <c r="M76" i="28"/>
  <c r="M79" i="28"/>
  <c r="O83" i="28"/>
  <c r="M83" i="28" s="1"/>
  <c r="M88" i="28"/>
  <c r="O78" i="28"/>
  <c r="M78" i="28" s="1"/>
  <c r="M87" i="28"/>
  <c r="M86" i="28"/>
  <c r="V83" i="28"/>
  <c r="V76" i="28"/>
  <c r="V82" i="28"/>
  <c r="V86" i="28"/>
  <c r="V84" i="28"/>
  <c r="K69" i="28"/>
  <c r="J92" i="28"/>
  <c r="O69" i="28"/>
  <c r="V69" i="28"/>
  <c r="V90" i="28"/>
  <c r="K92" i="28"/>
  <c r="D91" i="28" s="1"/>
  <c r="D92" i="28" s="1"/>
  <c r="V80" i="28"/>
  <c r="N92" i="28"/>
  <c r="V81" i="28"/>
  <c r="E168" i="7"/>
  <c r="E179" i="7"/>
  <c r="H69" i="7"/>
  <c r="E177" i="7"/>
  <c r="H7" i="8"/>
  <c r="E165" i="7"/>
  <c r="A154" i="7"/>
  <c r="E174" i="7"/>
  <c r="E173" i="7"/>
  <c r="E171" i="7"/>
  <c r="E170" i="7"/>
  <c r="E176" i="7"/>
  <c r="E169" i="7"/>
  <c r="F23" i="76"/>
  <c r="D224" i="7"/>
  <c r="D225" i="7"/>
  <c r="H51" i="7"/>
  <c r="D219" i="7"/>
  <c r="E178" i="7"/>
  <c r="F24" i="76"/>
  <c r="A77" i="76" s="1"/>
  <c r="D209" i="7"/>
  <c r="D211" i="7"/>
  <c r="D212" i="7"/>
  <c r="D221" i="7"/>
  <c r="E175" i="7"/>
  <c r="E166" i="7"/>
  <c r="D213" i="7"/>
  <c r="D218" i="7"/>
  <c r="D210" i="7"/>
  <c r="D227" i="7"/>
  <c r="D220" i="7"/>
  <c r="H86" i="7"/>
  <c r="D215" i="7"/>
  <c r="D228" i="7"/>
  <c r="D217" i="7"/>
  <c r="A52" i="8"/>
  <c r="A18" i="8"/>
  <c r="AG32" i="6"/>
  <c r="L53" i="6"/>
  <c r="AJ69" i="6"/>
  <c r="AI69" i="6"/>
  <c r="K54" i="6"/>
  <c r="M55" i="6"/>
  <c r="N44" i="6"/>
  <c r="K16" i="6"/>
  <c r="M40" i="6"/>
  <c r="K15" i="6"/>
  <c r="M52" i="6"/>
  <c r="K20" i="6"/>
  <c r="M48" i="6"/>
  <c r="L24" i="6"/>
  <c r="M64" i="6"/>
  <c r="M53" i="6"/>
  <c r="J40" i="6"/>
  <c r="J54" i="6"/>
  <c r="M60" i="6"/>
  <c r="I59" i="6"/>
  <c r="M39" i="6"/>
  <c r="M56" i="6"/>
  <c r="K18" i="6"/>
  <c r="K47" i="6"/>
  <c r="N16" i="6"/>
  <c r="M47" i="6"/>
  <c r="I47" i="6"/>
  <c r="O47" i="6"/>
  <c r="M58" i="6"/>
  <c r="M15" i="6"/>
  <c r="K55" i="6"/>
  <c r="K58" i="6"/>
  <c r="L56" i="6"/>
  <c r="N60" i="6"/>
  <c r="J38" i="6"/>
  <c r="M18" i="6"/>
  <c r="J44" i="6"/>
  <c r="O38" i="6"/>
  <c r="N46" i="6"/>
  <c r="N64" i="6"/>
  <c r="K48" i="6"/>
  <c r="L38" i="6"/>
  <c r="N58" i="6"/>
  <c r="L58" i="6"/>
  <c r="N49" i="6"/>
  <c r="L41" i="6"/>
  <c r="N59" i="6"/>
  <c r="N55" i="6"/>
  <c r="L62" i="6"/>
  <c r="N40" i="6"/>
  <c r="G39" i="22"/>
  <c r="C39" i="22"/>
  <c r="N47" i="6"/>
  <c r="I38" i="6"/>
  <c r="I53" i="6"/>
  <c r="L23" i="6"/>
  <c r="M38" i="6"/>
  <c r="N63" i="6"/>
  <c r="M54" i="6"/>
  <c r="N42" i="6"/>
  <c r="N56" i="6"/>
  <c r="K65" i="6"/>
  <c r="L45" i="6"/>
  <c r="I61" i="6"/>
  <c r="N43" i="6"/>
  <c r="N62" i="6"/>
  <c r="K38" i="6"/>
  <c r="K56" i="6"/>
  <c r="N54" i="6"/>
  <c r="I51" i="6"/>
  <c r="AE29" i="6"/>
  <c r="H67" i="6"/>
  <c r="H69" i="6" s="1"/>
  <c r="H34" i="6"/>
  <c r="H35" i="6" s="1"/>
  <c r="AH67" i="6"/>
  <c r="AH69" i="6" s="1"/>
  <c r="AH34" i="6"/>
  <c r="AH35" i="6" s="1"/>
  <c r="G67" i="6"/>
  <c r="G69" i="6" s="1"/>
  <c r="G34" i="6"/>
  <c r="G35" i="6" s="1"/>
  <c r="AJ34" i="6"/>
  <c r="AJ35" i="6" s="1"/>
  <c r="C61" i="22"/>
  <c r="G39" i="39"/>
  <c r="A10" i="57"/>
  <c r="Z115" i="13"/>
  <c r="Z130" i="13" s="1"/>
  <c r="Z145" i="13" s="1"/>
  <c r="A9" i="55"/>
  <c r="A155" i="13"/>
  <c r="E115" i="13"/>
  <c r="E121" i="13" s="1"/>
  <c r="E130" i="13" s="1"/>
  <c r="E145" i="13" s="1"/>
  <c r="E68" i="12"/>
  <c r="E78" i="12" s="1"/>
  <c r="H68" i="12"/>
  <c r="H78" i="12" s="1"/>
  <c r="H91" i="12" s="1"/>
  <c r="AI115" i="13"/>
  <c r="AI130" i="13" s="1"/>
  <c r="AI145" i="13" s="1"/>
  <c r="O14" i="22"/>
  <c r="AE68" i="12"/>
  <c r="AE78" i="12" s="1"/>
  <c r="AE91" i="12" s="1"/>
  <c r="AD68" i="12"/>
  <c r="AD78" i="12" s="1"/>
  <c r="AD91" i="12" s="1"/>
  <c r="I47" i="22"/>
  <c r="I49" i="22" s="1"/>
  <c r="E3" i="2"/>
  <c r="A58" i="59"/>
  <c r="A87" i="22"/>
  <c r="AG115" i="13"/>
  <c r="AG130" i="13" s="1"/>
  <c r="AG145" i="13" s="1"/>
  <c r="L115" i="13"/>
  <c r="L121" i="13" s="1"/>
  <c r="L130" i="13" s="1"/>
  <c r="L145" i="13" s="1"/>
  <c r="C9" i="61"/>
  <c r="A99" i="12"/>
  <c r="A22" i="8"/>
  <c r="A1" i="59"/>
  <c r="A10" i="62"/>
  <c r="H40" i="39"/>
  <c r="E40" i="39"/>
  <c r="G40" i="39"/>
  <c r="D40" i="39"/>
  <c r="F40" i="39"/>
  <c r="I40" i="39"/>
  <c r="C41" i="39" s="1"/>
  <c r="A40" i="39"/>
  <c r="B40" i="39" s="1"/>
  <c r="N40" i="39" s="1"/>
  <c r="AC115" i="13"/>
  <c r="AC130" i="13" s="1"/>
  <c r="AC145" i="13" s="1"/>
  <c r="AB68" i="12"/>
  <c r="AB78" i="12" s="1"/>
  <c r="AB91" i="12" s="1"/>
  <c r="E49" i="22"/>
  <c r="J59" i="7"/>
  <c r="K68" i="12"/>
  <c r="K78" i="12" s="1"/>
  <c r="K91" i="12" s="1"/>
  <c r="Q34" i="21"/>
  <c r="Q36" i="21"/>
  <c r="G115" i="13"/>
  <c r="G121" i="13" s="1"/>
  <c r="G122" i="13" s="1"/>
  <c r="N115" i="13"/>
  <c r="N121" i="13" s="1"/>
  <c r="N122" i="13" s="1"/>
  <c r="M68" i="12"/>
  <c r="M78" i="12" s="1"/>
  <c r="M91" i="12" s="1"/>
  <c r="I115" i="13"/>
  <c r="I121" i="13" s="1"/>
  <c r="I122" i="13" s="1"/>
  <c r="J68" i="12"/>
  <c r="J78" i="12" s="1"/>
  <c r="J91" i="12" s="1"/>
  <c r="H115" i="13"/>
  <c r="H121" i="13" s="1"/>
  <c r="H122" i="13" s="1"/>
  <c r="M115" i="13"/>
  <c r="M121" i="13" s="1"/>
  <c r="J115" i="13"/>
  <c r="J121" i="13" s="1"/>
  <c r="J130" i="13" s="1"/>
  <c r="J145" i="13" s="1"/>
  <c r="F68" i="12"/>
  <c r="F78" i="12" s="1"/>
  <c r="F91" i="12" s="1"/>
  <c r="G68" i="12"/>
  <c r="G78" i="12" s="1"/>
  <c r="G91" i="12" s="1"/>
  <c r="F115" i="13"/>
  <c r="F121" i="13" s="1"/>
  <c r="F130" i="13" s="1"/>
  <c r="F145" i="13" s="1"/>
  <c r="J29" i="52"/>
  <c r="M29" i="52" s="1"/>
  <c r="J31" i="52"/>
  <c r="M31" i="52" s="1"/>
  <c r="J33" i="52"/>
  <c r="M33" i="52" s="1"/>
  <c r="J35" i="52"/>
  <c r="M35" i="52" s="1"/>
  <c r="J37" i="52"/>
  <c r="M37" i="52" s="1"/>
  <c r="J39" i="52"/>
  <c r="M39" i="52" s="1"/>
  <c r="J41" i="52"/>
  <c r="M41" i="52" s="1"/>
  <c r="J43" i="52"/>
  <c r="M43" i="52" s="1"/>
  <c r="J45" i="52"/>
  <c r="M45" i="52" s="1"/>
  <c r="J47" i="52"/>
  <c r="M47" i="52" s="1"/>
  <c r="J18" i="52"/>
  <c r="J28" i="52"/>
  <c r="M28" i="52" s="1"/>
  <c r="J30" i="52"/>
  <c r="M30" i="52" s="1"/>
  <c r="J32" i="52"/>
  <c r="M32" i="52" s="1"/>
  <c r="J34" i="52"/>
  <c r="M34" i="52" s="1"/>
  <c r="J36" i="52"/>
  <c r="M36" i="52" s="1"/>
  <c r="J38" i="52"/>
  <c r="M38" i="52" s="1"/>
  <c r="J40" i="52"/>
  <c r="M40" i="52" s="1"/>
  <c r="J42" i="52"/>
  <c r="M42" i="52" s="1"/>
  <c r="J44" i="52"/>
  <c r="M44" i="52" s="1"/>
  <c r="J46" i="52"/>
  <c r="M46" i="52" s="1"/>
  <c r="K115" i="13"/>
  <c r="K121" i="13" s="1"/>
  <c r="N68" i="12"/>
  <c r="N78" i="12" s="1"/>
  <c r="N91" i="12" s="1"/>
  <c r="J56" i="6"/>
  <c r="J39" i="6"/>
  <c r="L44" i="6"/>
  <c r="M61" i="6"/>
  <c r="K46" i="6"/>
  <c r="J50" i="6"/>
  <c r="I63" i="6"/>
  <c r="K24" i="6"/>
  <c r="L57" i="6"/>
  <c r="M50" i="6"/>
  <c r="J17" i="6"/>
  <c r="J23" i="6"/>
  <c r="J21" i="6"/>
  <c r="J30" i="6"/>
  <c r="I46" i="6"/>
  <c r="K59" i="6"/>
  <c r="J41" i="6"/>
  <c r="N24" i="6"/>
  <c r="N57" i="6"/>
  <c r="K49" i="6"/>
  <c r="I52" i="6"/>
  <c r="N17" i="6"/>
  <c r="N23" i="6"/>
  <c r="J45" i="6"/>
  <c r="L17" i="6"/>
  <c r="N19" i="6"/>
  <c r="I43" i="6"/>
  <c r="J47" i="6"/>
  <c r="K57" i="6"/>
  <c r="P23" i="6"/>
  <c r="J43" i="6"/>
  <c r="I16" i="6"/>
  <c r="I49" i="6"/>
  <c r="J19" i="6"/>
  <c r="I20" i="6"/>
  <c r="J51" i="6"/>
  <c r="I17" i="6"/>
  <c r="I65" i="6"/>
  <c r="N41" i="6"/>
  <c r="I45" i="6"/>
  <c r="N30" i="6"/>
  <c r="N31" i="6" s="1"/>
  <c r="N33" i="6" s="1"/>
  <c r="N48" i="6"/>
  <c r="K52" i="6"/>
  <c r="O50" i="6"/>
  <c r="K23" i="6"/>
  <c r="I55" i="6"/>
  <c r="J20" i="6"/>
  <c r="I21" i="6"/>
  <c r="J42" i="6"/>
  <c r="L47" i="6"/>
  <c r="L54" i="6"/>
  <c r="M49" i="6"/>
  <c r="N52" i="6"/>
  <c r="M41" i="6"/>
  <c r="K40" i="6"/>
  <c r="K39" i="6"/>
  <c r="G61" i="22"/>
  <c r="N38" i="6"/>
  <c r="O55" i="6"/>
  <c r="K51" i="6"/>
  <c r="M19" i="6"/>
  <c r="N15" i="6"/>
  <c r="L55" i="6"/>
  <c r="L20" i="6"/>
  <c r="P47" i="6"/>
  <c r="J60" i="6"/>
  <c r="J48" i="6"/>
  <c r="K17" i="6"/>
  <c r="O17" i="6" s="1"/>
  <c r="L60" i="6"/>
  <c r="J62" i="6"/>
  <c r="K45" i="6"/>
  <c r="I48" i="6"/>
  <c r="J18" i="6"/>
  <c r="I39" i="6"/>
  <c r="O39" i="6" s="1"/>
  <c r="L19" i="6"/>
  <c r="I42" i="6"/>
  <c r="M16" i="6"/>
  <c r="J64" i="6"/>
  <c r="M17" i="6"/>
  <c r="J15" i="6"/>
  <c r="K43" i="6"/>
  <c r="L42" i="6"/>
  <c r="K21" i="6"/>
  <c r="L18" i="6"/>
  <c r="N45" i="6"/>
  <c r="O49" i="6"/>
  <c r="K53" i="6"/>
  <c r="K63" i="6"/>
  <c r="M57" i="6"/>
  <c r="M63" i="6"/>
  <c r="M51" i="6"/>
  <c r="L59" i="6"/>
  <c r="M20" i="6"/>
  <c r="O20" i="6" s="1"/>
  <c r="M21" i="6"/>
  <c r="L65" i="6"/>
  <c r="O21" i="6"/>
  <c r="L48" i="6"/>
  <c r="I64" i="6"/>
  <c r="J49" i="6"/>
  <c r="I41" i="6"/>
  <c r="I30" i="6"/>
  <c r="I24" i="6"/>
  <c r="L30" i="6"/>
  <c r="L31" i="6" s="1"/>
  <c r="L33" i="6" s="1"/>
  <c r="N18" i="6"/>
  <c r="I60" i="6"/>
  <c r="J55" i="6"/>
  <c r="K42" i="6"/>
  <c r="I15" i="6"/>
  <c r="I57" i="6"/>
  <c r="L39" i="6"/>
  <c r="K61" i="6"/>
  <c r="J24" i="6"/>
  <c r="I62" i="6"/>
  <c r="J46" i="6"/>
  <c r="P54" i="6"/>
  <c r="T54" i="6" s="1"/>
  <c r="L40" i="6"/>
  <c r="P40" i="6" s="1"/>
  <c r="L46" i="6"/>
  <c r="N50" i="6"/>
  <c r="K60" i="6"/>
  <c r="M30" i="6"/>
  <c r="M31" i="6" s="1"/>
  <c r="M33" i="6" s="1"/>
  <c r="N61" i="6"/>
  <c r="L43" i="6"/>
  <c r="N20" i="6"/>
  <c r="P30" i="6"/>
  <c r="P31" i="6" s="1"/>
  <c r="P33" i="6" s="1"/>
  <c r="I50" i="6"/>
  <c r="I23" i="6"/>
  <c r="I44" i="6"/>
  <c r="O44" i="6" s="1"/>
  <c r="J57" i="6"/>
  <c r="K64" i="6"/>
  <c r="L49" i="6"/>
  <c r="K41" i="6"/>
  <c r="O41" i="6" s="1"/>
  <c r="L50" i="6"/>
  <c r="I56" i="6"/>
  <c r="I58" i="6"/>
  <c r="J61" i="6"/>
  <c r="P18" i="6"/>
  <c r="L16" i="6"/>
  <c r="M24" i="6"/>
  <c r="I19" i="6"/>
  <c r="P21" i="6"/>
  <c r="N39" i="6"/>
  <c r="J59" i="6"/>
  <c r="O16" i="6"/>
  <c r="K62" i="6"/>
  <c r="M44" i="6"/>
  <c r="P41" i="6"/>
  <c r="M43" i="6"/>
  <c r="P57" i="6"/>
  <c r="N53" i="6"/>
  <c r="C16" i="22"/>
  <c r="L64" i="6"/>
  <c r="L15" i="6"/>
  <c r="L51" i="6"/>
  <c r="L63" i="6"/>
  <c r="G16" i="22"/>
  <c r="K50" i="6"/>
  <c r="N21" i="6"/>
  <c r="K44" i="6"/>
  <c r="J53" i="6"/>
  <c r="J52" i="6"/>
  <c r="J63" i="6"/>
  <c r="M23" i="6"/>
  <c r="L21" i="6"/>
  <c r="I54" i="6"/>
  <c r="L61" i="6"/>
  <c r="J16" i="6"/>
  <c r="J65" i="6"/>
  <c r="M65" i="6"/>
  <c r="K19" i="6"/>
  <c r="K30" i="6"/>
  <c r="K31" i="6" s="1"/>
  <c r="K33" i="6" s="1"/>
  <c r="O15" i="6"/>
  <c r="I18" i="6"/>
  <c r="M59" i="6"/>
  <c r="O59" i="6" s="1"/>
  <c r="I40" i="6"/>
  <c r="O40" i="6" s="1"/>
  <c r="J58" i="6"/>
  <c r="M46" i="6"/>
  <c r="P48" i="6"/>
  <c r="P53" i="6"/>
  <c r="L52" i="6"/>
  <c r="M62" i="6"/>
  <c r="N65" i="6"/>
  <c r="P56" i="6"/>
  <c r="M42" i="6"/>
  <c r="N51" i="6"/>
  <c r="M45" i="6"/>
  <c r="A119" i="32"/>
  <c r="F119" i="32" s="1"/>
  <c r="A57" i="59"/>
  <c r="D5" i="58"/>
  <c r="A8" i="12"/>
  <c r="F6" i="10"/>
  <c r="G6" i="10" s="1"/>
  <c r="A62" i="8"/>
  <c r="B1" i="8"/>
  <c r="A2" i="10" s="1"/>
  <c r="A92" i="10" s="1"/>
  <c r="A1" i="60"/>
  <c r="A9" i="69"/>
  <c r="L68" i="12"/>
  <c r="L78" i="12" s="1"/>
  <c r="L91" i="12" s="1"/>
  <c r="U34" i="21"/>
  <c r="A3" i="3"/>
  <c r="A9" i="5"/>
  <c r="H145" i="7"/>
  <c r="A8" i="26"/>
  <c r="A3" i="4"/>
  <c r="I68" i="12"/>
  <c r="I78" i="12" s="1"/>
  <c r="I91" i="12" s="1"/>
  <c r="A9" i="45"/>
  <c r="W32" i="21"/>
  <c r="A53" i="8"/>
  <c r="A100" i="12"/>
  <c r="M24" i="21"/>
  <c r="A8" i="7"/>
  <c r="A9" i="66"/>
  <c r="A10" i="9"/>
  <c r="A10" i="37"/>
  <c r="A156" i="13"/>
  <c r="A5" i="22"/>
  <c r="A10" i="27"/>
  <c r="A1" i="6"/>
  <c r="A86" i="22"/>
  <c r="A10" i="67"/>
  <c r="D119" i="72"/>
  <c r="G113" i="72"/>
  <c r="G106" i="72" s="1"/>
  <c r="I178" i="72"/>
  <c r="H118" i="72"/>
  <c r="H123" i="72"/>
  <c r="H124" i="72" s="1"/>
  <c r="H119" i="72"/>
  <c r="H120" i="72"/>
  <c r="D178" i="72"/>
  <c r="H168" i="72"/>
  <c r="H166" i="72"/>
  <c r="H171" i="72" s="1"/>
  <c r="H172" i="72" s="1"/>
  <c r="H167" i="72"/>
  <c r="J178" i="72"/>
  <c r="D116" i="72"/>
  <c r="D117" i="72" s="1"/>
  <c r="D122" i="72" s="1"/>
  <c r="D118" i="72"/>
  <c r="B167" i="72"/>
  <c r="F168" i="72"/>
  <c r="J123" i="72"/>
  <c r="J124" i="72" s="1"/>
  <c r="F166" i="72"/>
  <c r="B113" i="72"/>
  <c r="B106" i="72" s="1"/>
  <c r="J118" i="72"/>
  <c r="D113" i="72"/>
  <c r="D106" i="72" s="1"/>
  <c r="J119" i="72"/>
  <c r="J116" i="72"/>
  <c r="J117" i="72" s="1"/>
  <c r="J122" i="72" s="1"/>
  <c r="F167" i="72"/>
  <c r="B93" i="72"/>
  <c r="J93" i="72"/>
  <c r="J213" i="72" s="1"/>
  <c r="J219" i="72" s="1"/>
  <c r="M93" i="72"/>
  <c r="M95" i="72" s="1"/>
  <c r="M98" i="72" s="1"/>
  <c r="M155" i="72" s="1"/>
  <c r="AC186" i="72"/>
  <c r="G123" i="72"/>
  <c r="G124" i="72" s="1"/>
  <c r="J113" i="72"/>
  <c r="J106" i="72" s="1"/>
  <c r="D168" i="72"/>
  <c r="G93" i="72"/>
  <c r="G213" i="72" s="1"/>
  <c r="G219" i="72" s="1"/>
  <c r="G166" i="72"/>
  <c r="K178" i="72"/>
  <c r="K115" i="72"/>
  <c r="K167" i="72"/>
  <c r="T93" i="72"/>
  <c r="I93" i="72"/>
  <c r="I213" i="72" s="1"/>
  <c r="I219" i="72" s="1"/>
  <c r="Q93" i="72"/>
  <c r="D182" i="72"/>
  <c r="D115" i="72"/>
  <c r="K168" i="72"/>
  <c r="S93" i="72"/>
  <c r="H113" i="72"/>
  <c r="H106" i="72" s="1"/>
  <c r="E119" i="72"/>
  <c r="I167" i="72"/>
  <c r="E113" i="72"/>
  <c r="E106" i="72" s="1"/>
  <c r="C93" i="72"/>
  <c r="C213" i="72" s="1"/>
  <c r="C219" i="72" s="1"/>
  <c r="K93" i="72"/>
  <c r="E118" i="72"/>
  <c r="E116" i="72"/>
  <c r="E117" i="72" s="1"/>
  <c r="E122" i="72" s="1"/>
  <c r="E123" i="72"/>
  <c r="E124" i="72" s="1"/>
  <c r="H105" i="72"/>
  <c r="H134" i="72"/>
  <c r="H136" i="72" s="1"/>
  <c r="H147" i="72" s="1"/>
  <c r="H181" i="72"/>
  <c r="C168" i="72"/>
  <c r="J167" i="72"/>
  <c r="K170" i="72"/>
  <c r="F93" i="72"/>
  <c r="F213" i="72" s="1"/>
  <c r="F219" i="72" s="1"/>
  <c r="N93" i="72"/>
  <c r="N95" i="72" s="1"/>
  <c r="N98" i="72" s="1"/>
  <c r="N99" i="72" s="1"/>
  <c r="B229" i="72"/>
  <c r="L93" i="72"/>
  <c r="L95" i="72" s="1"/>
  <c r="L98" i="72" s="1"/>
  <c r="L155" i="72" s="1"/>
  <c r="F170" i="72"/>
  <c r="E170" i="72"/>
  <c r="J182" i="72"/>
  <c r="E93" i="72"/>
  <c r="E213" i="72" s="1"/>
  <c r="E219" i="72" s="1"/>
  <c r="E167" i="72"/>
  <c r="H170" i="72"/>
  <c r="C167" i="72"/>
  <c r="K119" i="72"/>
  <c r="K118" i="72"/>
  <c r="J168" i="72"/>
  <c r="I170" i="72"/>
  <c r="K113" i="72"/>
  <c r="K106" i="72" s="1"/>
  <c r="K120" i="72"/>
  <c r="C119" i="72"/>
  <c r="C118" i="72"/>
  <c r="C113" i="72"/>
  <c r="C106" i="72" s="1"/>
  <c r="K116" i="72"/>
  <c r="K117" i="72" s="1"/>
  <c r="K122" i="72" s="1"/>
  <c r="AC97" i="72"/>
  <c r="I123" i="72"/>
  <c r="I124" i="72" s="1"/>
  <c r="F116" i="72"/>
  <c r="F117" i="72" s="1"/>
  <c r="F122" i="72" s="1"/>
  <c r="B119" i="72"/>
  <c r="H112" i="72"/>
  <c r="H177" i="72"/>
  <c r="D93" i="72"/>
  <c r="I116" i="72"/>
  <c r="I117" i="72" s="1"/>
  <c r="I122" i="72" s="1"/>
  <c r="I168" i="72"/>
  <c r="F113" i="72"/>
  <c r="F106" i="72" s="1"/>
  <c r="D170" i="72"/>
  <c r="G168" i="72"/>
  <c r="E168" i="72"/>
  <c r="I119" i="72"/>
  <c r="B118" i="72"/>
  <c r="AC198" i="72"/>
  <c r="I113" i="72"/>
  <c r="I106" i="72" s="1"/>
  <c r="G167" i="72"/>
  <c r="I166" i="72"/>
  <c r="F118" i="72"/>
  <c r="I120" i="72"/>
  <c r="E166" i="72"/>
  <c r="H95" i="72"/>
  <c r="H188" i="72"/>
  <c r="G115" i="72"/>
  <c r="G170" i="72"/>
  <c r="B168" i="72"/>
  <c r="B120" i="72"/>
  <c r="F123" i="72"/>
  <c r="F124" i="72" s="1"/>
  <c r="F260" i="7"/>
  <c r="F283" i="7" s="1"/>
  <c r="G283" i="7"/>
  <c r="A45" i="8"/>
  <c r="D223" i="7"/>
  <c r="D222" i="7"/>
  <c r="D214" i="7"/>
  <c r="I192" i="7"/>
  <c r="H192" i="7" s="1"/>
  <c r="F265" i="7"/>
  <c r="G282" i="7"/>
  <c r="G284" i="7"/>
  <c r="F259" i="7"/>
  <c r="F261" i="7"/>
  <c r="H23" i="7" a="1"/>
  <c r="H23" i="7" s="1"/>
  <c r="G19" i="8" s="1"/>
  <c r="G279" i="7"/>
  <c r="G281" i="7"/>
  <c r="E17" i="59"/>
  <c r="G18" i="13"/>
  <c r="H18" i="13" s="1"/>
  <c r="K39" i="51"/>
  <c r="K74" i="51" s="1"/>
  <c r="K73" i="51"/>
  <c r="K46" i="51"/>
  <c r="K45" i="51"/>
  <c r="F17" i="59"/>
  <c r="G15" i="12"/>
  <c r="A256" i="7" l="1"/>
  <c r="X48" i="64"/>
  <c r="AA48" i="64"/>
  <c r="Z48" i="64"/>
  <c r="Y48" i="64"/>
  <c r="R50" i="64"/>
  <c r="U48" i="64"/>
  <c r="Z24" i="64"/>
  <c r="X24" i="64"/>
  <c r="AA24" i="64"/>
  <c r="Y24" i="64"/>
  <c r="C220" i="72"/>
  <c r="C222" i="72" s="1"/>
  <c r="C223" i="72" s="1"/>
  <c r="C224" i="72" s="1"/>
  <c r="G220" i="72"/>
  <c r="G222" i="72" s="1"/>
  <c r="G223" i="72" s="1"/>
  <c r="G224" i="72" s="1"/>
  <c r="H183" i="72"/>
  <c r="H184" i="72" s="1"/>
  <c r="H159" i="72" s="1"/>
  <c r="H213" i="72"/>
  <c r="H219" i="72" s="1"/>
  <c r="K177" i="72"/>
  <c r="K173" i="72" s="1"/>
  <c r="K213" i="72"/>
  <c r="K219" i="72" s="1"/>
  <c r="D183" i="72"/>
  <c r="D213" i="72"/>
  <c r="D219" i="72" s="1"/>
  <c r="I220" i="72"/>
  <c r="I222" i="72" s="1"/>
  <c r="I223" i="72" s="1"/>
  <c r="I224" i="72" s="1"/>
  <c r="F220" i="72"/>
  <c r="F222" i="72" s="1"/>
  <c r="F223" i="72" s="1"/>
  <c r="F224" i="72" s="1"/>
  <c r="E220" i="72"/>
  <c r="E222" i="72" s="1"/>
  <c r="E223" i="72" s="1"/>
  <c r="E224" i="72" s="1"/>
  <c r="J220" i="72"/>
  <c r="J222" i="72" s="1"/>
  <c r="J223" i="72" s="1"/>
  <c r="J224" i="72" s="1"/>
  <c r="B213" i="72"/>
  <c r="B219" i="72" s="1"/>
  <c r="P93" i="72"/>
  <c r="P95" i="72" s="1"/>
  <c r="P98" i="72" s="1"/>
  <c r="P99" i="72" s="1"/>
  <c r="R181" i="72"/>
  <c r="R177" i="72"/>
  <c r="R158" i="72" s="1"/>
  <c r="H132" i="72"/>
  <c r="H145" i="72" s="1"/>
  <c r="R183" i="72"/>
  <c r="K134" i="72"/>
  <c r="K132" i="72" s="1"/>
  <c r="K145" i="72" s="1"/>
  <c r="K188" i="72"/>
  <c r="K105" i="72"/>
  <c r="K171" i="72"/>
  <c r="K172" i="72" s="1"/>
  <c r="K112" i="72"/>
  <c r="S41" i="11"/>
  <c r="A29" i="14"/>
  <c r="A23" i="14"/>
  <c r="A26" i="14"/>
  <c r="A28" i="14"/>
  <c r="A27" i="14"/>
  <c r="K24" i="38"/>
  <c r="E25" i="38" s="1"/>
  <c r="K25" i="38" s="1"/>
  <c r="E26" i="38" s="1"/>
  <c r="K26" i="38" s="1"/>
  <c r="E27" i="38" s="1"/>
  <c r="K27" i="38" s="1"/>
  <c r="E28" i="38" s="1"/>
  <c r="K28" i="38" s="1"/>
  <c r="E29" i="38" s="1"/>
  <c r="K29" i="38" s="1"/>
  <c r="E30" i="38" s="1"/>
  <c r="K30" i="38" s="1"/>
  <c r="E31" i="38" s="1"/>
  <c r="K31" i="38" s="1"/>
  <c r="I33" i="38"/>
  <c r="B42" i="36"/>
  <c r="B64" i="36"/>
  <c r="C54" i="30"/>
  <c r="C56" i="30"/>
  <c r="C51" i="30"/>
  <c r="C55" i="30"/>
  <c r="C52" i="30"/>
  <c r="C53" i="30"/>
  <c r="C23" i="37"/>
  <c r="E22" i="37"/>
  <c r="A22" i="37" s="1"/>
  <c r="B22" i="37"/>
  <c r="B45" i="25"/>
  <c r="A44" i="25"/>
  <c r="A42" i="25"/>
  <c r="B41" i="25"/>
  <c r="O155" i="72"/>
  <c r="O210" i="72" s="1"/>
  <c r="S177" i="72"/>
  <c r="S158" i="72" s="1"/>
  <c r="S183" i="72"/>
  <c r="K183" i="72"/>
  <c r="C188" i="72"/>
  <c r="C183" i="72"/>
  <c r="J112" i="72"/>
  <c r="J183" i="72"/>
  <c r="G95" i="72"/>
  <c r="G183" i="72"/>
  <c r="B181" i="72"/>
  <c r="B183" i="72"/>
  <c r="S95" i="72"/>
  <c r="S98" i="72" s="1"/>
  <c r="S155" i="72" s="1"/>
  <c r="Q95" i="72"/>
  <c r="Q98" i="72" s="1"/>
  <c r="Q155" i="72" s="1"/>
  <c r="Q210" i="72" s="1"/>
  <c r="Q183" i="72"/>
  <c r="I105" i="72"/>
  <c r="I183" i="72"/>
  <c r="F112" i="72"/>
  <c r="F183" i="72"/>
  <c r="T181" i="72"/>
  <c r="T183" i="72"/>
  <c r="E177" i="72"/>
  <c r="E173" i="72" s="1"/>
  <c r="E183" i="72"/>
  <c r="J105" i="72"/>
  <c r="J177" i="72"/>
  <c r="J158" i="72" s="1"/>
  <c r="E112" i="72"/>
  <c r="J171" i="72"/>
  <c r="J172" i="72" s="1"/>
  <c r="B177" i="72"/>
  <c r="B173" i="72" s="1"/>
  <c r="B95" i="72"/>
  <c r="B178" i="72"/>
  <c r="B170" i="72" s="1"/>
  <c r="C178" i="72"/>
  <c r="B188" i="72"/>
  <c r="B134" i="72"/>
  <c r="B132" i="72" s="1"/>
  <c r="B145" i="72" s="1"/>
  <c r="B112" i="72"/>
  <c r="C170" i="72"/>
  <c r="E180" i="7"/>
  <c r="E181" i="7" s="1"/>
  <c r="A312" i="7"/>
  <c r="A313" i="7" s="1"/>
  <c r="A314" i="7" s="1"/>
  <c r="A315" i="7" s="1"/>
  <c r="A316" i="7" s="1"/>
  <c r="J90" i="7"/>
  <c r="B194" i="7" s="1"/>
  <c r="G286" i="7"/>
  <c r="H123" i="7"/>
  <c r="F257" i="7"/>
  <c r="F280" i="7" s="1"/>
  <c r="L50" i="43"/>
  <c r="L51" i="43" s="1"/>
  <c r="H278" i="7"/>
  <c r="H279" i="7" s="1"/>
  <c r="M92" i="36"/>
  <c r="B65" i="36"/>
  <c r="B24" i="36"/>
  <c r="M101" i="36"/>
  <c r="M106" i="36" s="1"/>
  <c r="F76" i="36"/>
  <c r="F43" i="65"/>
  <c r="G36" i="65"/>
  <c r="F28" i="76"/>
  <c r="F29" i="76" s="1"/>
  <c r="A36" i="76"/>
  <c r="W34" i="21"/>
  <c r="J24" i="45" s="1"/>
  <c r="M47" i="22"/>
  <c r="M49" i="22" s="1"/>
  <c r="D61" i="43"/>
  <c r="E61" i="43" s="1"/>
  <c r="D58" i="43"/>
  <c r="E58" i="43" s="1"/>
  <c r="F58" i="43" s="1"/>
  <c r="H58" i="43" s="1"/>
  <c r="D59" i="43"/>
  <c r="E59" i="43" s="1"/>
  <c r="F59" i="43" s="1"/>
  <c r="H59" i="43" s="1"/>
  <c r="D55" i="43"/>
  <c r="E55" i="43" s="1"/>
  <c r="D56" i="43"/>
  <c r="E56" i="43" s="1"/>
  <c r="F56" i="43" s="1"/>
  <c r="H56" i="43" s="1"/>
  <c r="D57" i="43"/>
  <c r="E57" i="43" s="1"/>
  <c r="F57" i="43" s="1"/>
  <c r="H57" i="43" s="1"/>
  <c r="D53" i="43"/>
  <c r="D60" i="43"/>
  <c r="E60" i="43" s="1"/>
  <c r="F60" i="43" s="1"/>
  <c r="H60" i="43" s="1"/>
  <c r="C32" i="25"/>
  <c r="C22" i="25"/>
  <c r="D32" i="25"/>
  <c r="D22" i="25"/>
  <c r="E32" i="25"/>
  <c r="E22" i="25"/>
  <c r="G22" i="25"/>
  <c r="G32" i="25"/>
  <c r="A45" i="26"/>
  <c r="B46" i="26"/>
  <c r="B39" i="26"/>
  <c r="A40" i="26"/>
  <c r="E22" i="26"/>
  <c r="G22" i="26"/>
  <c r="G32" i="26"/>
  <c r="D32" i="26"/>
  <c r="D22" i="26"/>
  <c r="C22" i="26"/>
  <c r="C32" i="26"/>
  <c r="F32" i="26"/>
  <c r="F22" i="26"/>
  <c r="O118" i="28"/>
  <c r="M122" i="28" s="1"/>
  <c r="M123" i="28" s="1"/>
  <c r="O92" i="28"/>
  <c r="V92" i="28"/>
  <c r="M92" i="28"/>
  <c r="N69" i="28"/>
  <c r="M69" i="28"/>
  <c r="D229" i="7"/>
  <c r="H206" i="7"/>
  <c r="B78" i="12"/>
  <c r="AG29" i="6"/>
  <c r="AQ29" i="6"/>
  <c r="O30" i="6"/>
  <c r="O31" i="6" s="1"/>
  <c r="O33" i="6" s="1"/>
  <c r="Q17" i="6"/>
  <c r="Q16" i="6"/>
  <c r="Q38" i="6"/>
  <c r="R54" i="6"/>
  <c r="R56" i="6"/>
  <c r="R47" i="6"/>
  <c r="R18" i="6"/>
  <c r="Q49" i="6"/>
  <c r="R23" i="6"/>
  <c r="R30" i="6"/>
  <c r="R31" i="6" s="1"/>
  <c r="R33" i="6" s="1"/>
  <c r="Q21" i="6"/>
  <c r="Q47" i="6"/>
  <c r="R57" i="6"/>
  <c r="Q41" i="6"/>
  <c r="R20" i="6"/>
  <c r="S21" i="6"/>
  <c r="R48" i="6"/>
  <c r="S49" i="6"/>
  <c r="U49" i="6" s="1"/>
  <c r="Q15" i="6"/>
  <c r="E122" i="13"/>
  <c r="M130" i="13"/>
  <c r="M145" i="13" s="1"/>
  <c r="K122" i="13"/>
  <c r="S38" i="6"/>
  <c r="U38" i="6" s="1"/>
  <c r="T48" i="6"/>
  <c r="S47" i="6"/>
  <c r="W47" i="6" s="1"/>
  <c r="E91" i="12"/>
  <c r="D13" i="12" s="1"/>
  <c r="P46" i="6"/>
  <c r="R46" i="6" s="1"/>
  <c r="P15" i="6"/>
  <c r="O43" i="6"/>
  <c r="O62" i="6"/>
  <c r="Q62" i="6" s="1"/>
  <c r="S62" i="6"/>
  <c r="U62" i="6"/>
  <c r="X18" i="6"/>
  <c r="Z18" i="6" s="1"/>
  <c r="T18" i="6"/>
  <c r="V18" i="6"/>
  <c r="Q20" i="6"/>
  <c r="R15" i="6"/>
  <c r="T15" i="6" s="1"/>
  <c r="O46" i="6"/>
  <c r="Q46" i="6" s="1"/>
  <c r="U21" i="6"/>
  <c r="W21" i="6"/>
  <c r="S17" i="6"/>
  <c r="W17" i="6"/>
  <c r="P45" i="6"/>
  <c r="T45" i="6" s="1"/>
  <c r="R41" i="6"/>
  <c r="P44" i="6"/>
  <c r="R44" i="6" s="1"/>
  <c r="T44" i="6" s="1"/>
  <c r="P63" i="6"/>
  <c r="V63" i="6" s="1"/>
  <c r="T63" i="6"/>
  <c r="R63" i="6"/>
  <c r="P55" i="6"/>
  <c r="P49" i="6"/>
  <c r="R49" i="6" s="1"/>
  <c r="O53" i="6"/>
  <c r="Q53" i="6" s="1"/>
  <c r="P64" i="6"/>
  <c r="R64" i="6" s="1"/>
  <c r="O48" i="6"/>
  <c r="S48" i="6" s="1"/>
  <c r="O51" i="6"/>
  <c r="P51" i="6"/>
  <c r="O19" i="6"/>
  <c r="P39" i="6"/>
  <c r="T39" i="6" s="1"/>
  <c r="Q44" i="6"/>
  <c r="P52" i="6"/>
  <c r="O61" i="6"/>
  <c r="O60" i="6"/>
  <c r="S60" i="6" s="1"/>
  <c r="O64" i="6"/>
  <c r="S20" i="6"/>
  <c r="U20" i="6" s="1"/>
  <c r="S46" i="6"/>
  <c r="W46" i="6"/>
  <c r="U46" i="6"/>
  <c r="Q61" i="6"/>
  <c r="S61" i="6" s="1"/>
  <c r="T56" i="6"/>
  <c r="X56" i="6" s="1"/>
  <c r="Q59" i="6"/>
  <c r="Q39" i="6"/>
  <c r="U39" i="6" s="1"/>
  <c r="S39" i="6"/>
  <c r="P60" i="6"/>
  <c r="X60" i="6" s="1"/>
  <c r="O65" i="6"/>
  <c r="S65" i="6" s="1"/>
  <c r="P17" i="6"/>
  <c r="T17" i="6" s="1"/>
  <c r="S15" i="6"/>
  <c r="U15" i="6" s="1"/>
  <c r="P65" i="6"/>
  <c r="T65" i="6" s="1"/>
  <c r="R65" i="6"/>
  <c r="P50" i="6"/>
  <c r="S41" i="6"/>
  <c r="P24" i="6"/>
  <c r="R55" i="6"/>
  <c r="T55" i="6" s="1"/>
  <c r="O42" i="6"/>
  <c r="S42" i="6" s="1"/>
  <c r="P62" i="6"/>
  <c r="T62" i="6"/>
  <c r="P19" i="6"/>
  <c r="O52" i="6"/>
  <c r="Q52" i="6" s="1"/>
  <c r="T30" i="6"/>
  <c r="T31" i="6" s="1"/>
  <c r="T33" i="6" s="1"/>
  <c r="S59" i="6"/>
  <c r="R40" i="6"/>
  <c r="S40" i="6"/>
  <c r="Q40" i="6"/>
  <c r="P16" i="6"/>
  <c r="X53" i="6"/>
  <c r="R53" i="6"/>
  <c r="T53" i="6" s="1"/>
  <c r="R61" i="6"/>
  <c r="T61" i="6"/>
  <c r="O18" i="6"/>
  <c r="P61" i="6"/>
  <c r="Q55" i="6"/>
  <c r="X47" i="6"/>
  <c r="V47" i="6"/>
  <c r="T47" i="6"/>
  <c r="R21" i="6"/>
  <c r="O63" i="6"/>
  <c r="Q63" i="6" s="1"/>
  <c r="P59" i="6"/>
  <c r="O58" i="6"/>
  <c r="U58" i="6" s="1"/>
  <c r="T57" i="6"/>
  <c r="V57" i="6"/>
  <c r="X57" i="6"/>
  <c r="O57" i="6"/>
  <c r="S57" i="6" s="1"/>
  <c r="Q50" i="6"/>
  <c r="S50" i="6" s="1"/>
  <c r="X54" i="6"/>
  <c r="V54" i="6"/>
  <c r="Z54" i="6" s="1"/>
  <c r="O45" i="6"/>
  <c r="S45" i="6" s="1"/>
  <c r="Q45" i="6"/>
  <c r="U16" i="6"/>
  <c r="Y16" i="6" s="1"/>
  <c r="S16" i="6"/>
  <c r="W16" i="6"/>
  <c r="P20" i="6"/>
  <c r="T20" i="6" s="1"/>
  <c r="P38" i="6"/>
  <c r="Q30" i="6"/>
  <c r="Q31" i="6" s="1"/>
  <c r="Q33" i="6" s="1"/>
  <c r="U30" i="6"/>
  <c r="U31" i="6" s="1"/>
  <c r="U33" i="6" s="1"/>
  <c r="S30" i="6"/>
  <c r="S31" i="6" s="1"/>
  <c r="S33" i="6" s="1"/>
  <c r="P42" i="6"/>
  <c r="T42" i="6" s="1"/>
  <c r="O54" i="6"/>
  <c r="Q54" i="6"/>
  <c r="P58" i="6"/>
  <c r="O56" i="6"/>
  <c r="S56" i="6"/>
  <c r="S44" i="6"/>
  <c r="O24" i="6"/>
  <c r="R43" i="6"/>
  <c r="P43" i="6"/>
  <c r="T43" i="6" s="1"/>
  <c r="O23" i="6"/>
  <c r="T23" i="6"/>
  <c r="X23" i="6"/>
  <c r="K130" i="13"/>
  <c r="K145" i="13" s="1"/>
  <c r="D12" i="12"/>
  <c r="F122" i="13"/>
  <c r="J31" i="6"/>
  <c r="J33" i="6" s="1"/>
  <c r="J67" i="6" s="1"/>
  <c r="I31" i="6"/>
  <c r="I33" i="6" s="1"/>
  <c r="I67" i="6" s="1"/>
  <c r="J122" i="13"/>
  <c r="AF22" i="6"/>
  <c r="AG22" i="6" s="1"/>
  <c r="A9" i="14"/>
  <c r="A8" i="48"/>
  <c r="A10" i="21"/>
  <c r="A10" i="39"/>
  <c r="A11" i="29"/>
  <c r="A9" i="44"/>
  <c r="A10" i="33"/>
  <c r="A10" i="32"/>
  <c r="A8" i="25"/>
  <c r="A10" i="20"/>
  <c r="A10" i="18"/>
  <c r="A11" i="31"/>
  <c r="A9" i="46"/>
  <c r="A10" i="19"/>
  <c r="A10" i="43"/>
  <c r="A11" i="30"/>
  <c r="A10" i="23"/>
  <c r="A10" i="24"/>
  <c r="A10" i="50"/>
  <c r="A10" i="38"/>
  <c r="A11" i="15"/>
  <c r="A10" i="35"/>
  <c r="A10" i="53"/>
  <c r="A11" i="16"/>
  <c r="A10" i="42"/>
  <c r="A10" i="51"/>
  <c r="A9" i="49"/>
  <c r="A8" i="40"/>
  <c r="A10" i="54"/>
  <c r="A10" i="52"/>
  <c r="A8" i="47"/>
  <c r="A10" i="34"/>
  <c r="A8" i="28"/>
  <c r="A10" i="41"/>
  <c r="B10" i="36"/>
  <c r="M122" i="13"/>
  <c r="M26" i="6"/>
  <c r="L26" i="6"/>
  <c r="I26" i="6"/>
  <c r="M67" i="6"/>
  <c r="K67" i="6"/>
  <c r="L67" i="6"/>
  <c r="N67" i="6"/>
  <c r="D41" i="39"/>
  <c r="J41" i="39" s="1"/>
  <c r="K41" i="39" s="1"/>
  <c r="G41" i="39"/>
  <c r="I41" i="39"/>
  <c r="C42" i="39" s="1"/>
  <c r="F41" i="39"/>
  <c r="H41" i="39"/>
  <c r="E41" i="39"/>
  <c r="A41" i="39"/>
  <c r="B41" i="39" s="1"/>
  <c r="N41" i="39" s="1"/>
  <c r="N26" i="6"/>
  <c r="J40" i="39"/>
  <c r="I24" i="45"/>
  <c r="I26" i="45" s="1"/>
  <c r="I34" i="45" s="1"/>
  <c r="I95" i="45" s="1"/>
  <c r="J26" i="45"/>
  <c r="J34" i="45" s="1"/>
  <c r="J95" i="45" s="1"/>
  <c r="J26" i="6"/>
  <c r="M18" i="52"/>
  <c r="M49" i="52" s="1"/>
  <c r="J49" i="52"/>
  <c r="F91" i="52" s="1"/>
  <c r="B93" i="52" s="1"/>
  <c r="K26" i="6"/>
  <c r="A118" i="32"/>
  <c r="F118" i="32" s="1"/>
  <c r="H173" i="72"/>
  <c r="H174" i="72" s="1"/>
  <c r="H175" i="72" s="1"/>
  <c r="Q177" i="72"/>
  <c r="Q158" i="72" s="1"/>
  <c r="B105" i="72"/>
  <c r="H148" i="72"/>
  <c r="H149" i="72" s="1"/>
  <c r="H150" i="72"/>
  <c r="H96" i="72" s="1"/>
  <c r="H98" i="72" s="1"/>
  <c r="R155" i="72"/>
  <c r="R210" i="72" s="1"/>
  <c r="J188" i="72"/>
  <c r="J181" i="72"/>
  <c r="J134" i="72"/>
  <c r="J95" i="72"/>
  <c r="I171" i="72"/>
  <c r="I172" i="72" s="1"/>
  <c r="I112" i="72"/>
  <c r="I134" i="72"/>
  <c r="I136" i="72" s="1"/>
  <c r="I177" i="72"/>
  <c r="I173" i="72" s="1"/>
  <c r="G134" i="72"/>
  <c r="G136" i="72" s="1"/>
  <c r="K181" i="72"/>
  <c r="I95" i="72"/>
  <c r="Q181" i="72"/>
  <c r="I188" i="72"/>
  <c r="G112" i="72"/>
  <c r="K95" i="72"/>
  <c r="I181" i="72"/>
  <c r="C171" i="72"/>
  <c r="C172" i="72" s="1"/>
  <c r="C105" i="72"/>
  <c r="C134" i="72"/>
  <c r="C132" i="72" s="1"/>
  <c r="C145" i="72" s="1"/>
  <c r="C177" i="72"/>
  <c r="C173" i="72" s="1"/>
  <c r="F105" i="72"/>
  <c r="G177" i="72"/>
  <c r="G173" i="72" s="1"/>
  <c r="M99" i="72"/>
  <c r="G171" i="72"/>
  <c r="G172" i="72" s="1"/>
  <c r="G181" i="72"/>
  <c r="G188" i="72"/>
  <c r="G105" i="72"/>
  <c r="L99" i="72"/>
  <c r="L210" i="72"/>
  <c r="L193" i="72"/>
  <c r="L194" i="72" s="1"/>
  <c r="M210" i="72"/>
  <c r="M193" i="72"/>
  <c r="M194" i="72" s="1"/>
  <c r="E171" i="72"/>
  <c r="E172" i="72" s="1"/>
  <c r="F177" i="72"/>
  <c r="F173" i="72" s="1"/>
  <c r="F171" i="72"/>
  <c r="F172" i="72" s="1"/>
  <c r="B230" i="72"/>
  <c r="F181" i="72"/>
  <c r="F95" i="72"/>
  <c r="S181" i="72"/>
  <c r="T177" i="72"/>
  <c r="T158" i="72" s="1"/>
  <c r="C181" i="72"/>
  <c r="F188" i="72"/>
  <c r="T95" i="72"/>
  <c r="T98" i="72" s="1"/>
  <c r="E95" i="72"/>
  <c r="E188" i="72"/>
  <c r="F134" i="72"/>
  <c r="F136" i="72" s="1"/>
  <c r="C95" i="72"/>
  <c r="C112" i="72"/>
  <c r="B115" i="72" s="1"/>
  <c r="N155" i="72"/>
  <c r="AC106" i="72"/>
  <c r="E181" i="72"/>
  <c r="E105" i="72"/>
  <c r="E134" i="72"/>
  <c r="D181" i="72"/>
  <c r="D95" i="72"/>
  <c r="D177" i="72"/>
  <c r="D134" i="72"/>
  <c r="D171" i="72"/>
  <c r="D172" i="72" s="1"/>
  <c r="D105" i="72"/>
  <c r="D112" i="72"/>
  <c r="D188" i="72"/>
  <c r="H158" i="72"/>
  <c r="I206" i="7"/>
  <c r="A257" i="7"/>
  <c r="D116" i="7"/>
  <c r="Z18" i="13"/>
  <c r="N19" i="51"/>
  <c r="F69" i="51" s="1"/>
  <c r="F73" i="51" s="1"/>
  <c r="F77" i="51" s="1"/>
  <c r="F80" i="51" s="1"/>
  <c r="K40" i="51"/>
  <c r="N20" i="51"/>
  <c r="K76" i="51"/>
  <c r="K78" i="51" s="1"/>
  <c r="K90" i="51" s="1"/>
  <c r="G130" i="13"/>
  <c r="G145" i="13" s="1"/>
  <c r="C83" i="51"/>
  <c r="J83" i="51"/>
  <c r="I130" i="13"/>
  <c r="I145" i="13" s="1"/>
  <c r="N130" i="13"/>
  <c r="N145" i="13" s="1"/>
  <c r="L122" i="13"/>
  <c r="H130" i="13"/>
  <c r="H15" i="12"/>
  <c r="H17" i="59" s="1"/>
  <c r="G17" i="59"/>
  <c r="U50" i="64" l="1"/>
  <c r="Y50" i="64"/>
  <c r="X50" i="64"/>
  <c r="AA50" i="64"/>
  <c r="Z50" i="64"/>
  <c r="J41" i="11"/>
  <c r="J43" i="11" s="1"/>
  <c r="K158" i="72"/>
  <c r="M202" i="72"/>
  <c r="L202" i="72"/>
  <c r="P155" i="72"/>
  <c r="P193" i="72" s="1"/>
  <c r="P194" i="72" s="1"/>
  <c r="O193" i="72"/>
  <c r="O194" i="72" s="1"/>
  <c r="H220" i="72"/>
  <c r="H222" i="72" s="1"/>
  <c r="H223" i="72" s="1"/>
  <c r="H224" i="72" s="1"/>
  <c r="K220" i="72"/>
  <c r="K222" i="72" s="1"/>
  <c r="K223" i="72" s="1"/>
  <c r="K224" i="72" s="1"/>
  <c r="D220" i="72"/>
  <c r="D222" i="72" s="1"/>
  <c r="D223" i="72" s="1"/>
  <c r="D224" i="72" s="1"/>
  <c r="B220" i="72"/>
  <c r="Q99" i="72"/>
  <c r="K136" i="72"/>
  <c r="K150" i="72" s="1"/>
  <c r="R184" i="72"/>
  <c r="R159" i="72" s="1"/>
  <c r="R157" i="72" s="1"/>
  <c r="R193" i="72" s="1"/>
  <c r="G158" i="72"/>
  <c r="E158" i="72"/>
  <c r="K174" i="72"/>
  <c r="K175" i="72" s="1"/>
  <c r="J173" i="72"/>
  <c r="J174" i="72" s="1"/>
  <c r="J175" i="72" s="1"/>
  <c r="B190" i="7"/>
  <c r="B196" i="7"/>
  <c r="B200" i="7"/>
  <c r="B198" i="7"/>
  <c r="B204" i="7"/>
  <c r="B195" i="7"/>
  <c r="A41" i="25"/>
  <c r="B40" i="25"/>
  <c r="G36" i="25"/>
  <c r="D36" i="25"/>
  <c r="C36" i="25"/>
  <c r="D53" i="25"/>
  <c r="E36" i="25"/>
  <c r="F36" i="25"/>
  <c r="B46" i="25"/>
  <c r="A45" i="25"/>
  <c r="C57" i="30"/>
  <c r="C24" i="37"/>
  <c r="E23" i="37"/>
  <c r="A23" i="37" s="1"/>
  <c r="B23" i="37"/>
  <c r="S99" i="72"/>
  <c r="T184" i="72"/>
  <c r="T159" i="72" s="1"/>
  <c r="T157" i="72" s="1"/>
  <c r="H157" i="72"/>
  <c r="K184" i="72"/>
  <c r="K159" i="72" s="1"/>
  <c r="I184" i="72"/>
  <c r="I159" i="72" s="1"/>
  <c r="D184" i="72"/>
  <c r="D159" i="72" s="1"/>
  <c r="S184" i="72"/>
  <c r="S159" i="72" s="1"/>
  <c r="S157" i="72" s="1"/>
  <c r="S193" i="72" s="1"/>
  <c r="J184" i="72"/>
  <c r="J159" i="72" s="1"/>
  <c r="J157" i="72" s="1"/>
  <c r="G184" i="72"/>
  <c r="G159" i="72" s="1"/>
  <c r="E184" i="72"/>
  <c r="E159" i="72" s="1"/>
  <c r="F184" i="72"/>
  <c r="F159" i="72" s="1"/>
  <c r="Q184" i="72"/>
  <c r="Q159" i="72" s="1"/>
  <c r="Q157" i="72" s="1"/>
  <c r="Q193" i="72" s="1"/>
  <c r="Q194" i="72" s="1"/>
  <c r="F158" i="72"/>
  <c r="B171" i="72"/>
  <c r="B172" i="72" s="1"/>
  <c r="B174" i="72" s="1"/>
  <c r="B136" i="72"/>
  <c r="B140" i="72" s="1"/>
  <c r="B142" i="72" s="1"/>
  <c r="B143" i="72" s="1"/>
  <c r="B147" i="72" s="1"/>
  <c r="C182" i="72"/>
  <c r="B182" i="72"/>
  <c r="C123" i="72"/>
  <c r="C124" i="72" s="1"/>
  <c r="B116" i="72"/>
  <c r="B117" i="72" s="1"/>
  <c r="B122" i="72" s="1"/>
  <c r="C115" i="72"/>
  <c r="C116" i="72" s="1"/>
  <c r="C117" i="72" s="1"/>
  <c r="C122" i="72" s="1"/>
  <c r="B123" i="72"/>
  <c r="B124" i="72" s="1"/>
  <c r="B186" i="7"/>
  <c r="B201" i="7"/>
  <c r="B188" i="7"/>
  <c r="B192" i="7"/>
  <c r="B202" i="7"/>
  <c r="B197" i="7"/>
  <c r="B187" i="7"/>
  <c r="B205" i="7"/>
  <c r="B189" i="7"/>
  <c r="B193" i="7"/>
  <c r="V64" i="72"/>
  <c r="W64" i="72" s="1"/>
  <c r="B203" i="7"/>
  <c r="B199" i="7"/>
  <c r="A59" i="13"/>
  <c r="B59" i="13" s="1"/>
  <c r="B191" i="7"/>
  <c r="H56" i="7" a="1"/>
  <c r="I59" i="7" a="1"/>
  <c r="H254" i="7"/>
  <c r="H280" i="7"/>
  <c r="H281" i="7" s="1"/>
  <c r="H282" i="7" s="1"/>
  <c r="H283" i="7" s="1"/>
  <c r="H284" i="7" s="1"/>
  <c r="H285" i="7" s="1"/>
  <c r="H286" i="7" s="1"/>
  <c r="H287" i="7" s="1"/>
  <c r="H288" i="7" s="1"/>
  <c r="H289" i="7" s="1"/>
  <c r="H290" i="7" s="1"/>
  <c r="H291" i="7" s="1"/>
  <c r="H292" i="7" s="1"/>
  <c r="H293" i="7" s="1"/>
  <c r="H294" i="7" s="1"/>
  <c r="H295" i="7" s="1"/>
  <c r="H296" i="7" s="1"/>
  <c r="H297" i="7" s="1"/>
  <c r="H299" i="7" s="1"/>
  <c r="F45" i="65" s="1"/>
  <c r="I109" i="7" s="1"/>
  <c r="H110" i="7" s="1"/>
  <c r="G174" i="72"/>
  <c r="G175" i="72" s="1"/>
  <c r="B25" i="36"/>
  <c r="B66" i="36"/>
  <c r="B44" i="36"/>
  <c r="D63" i="43"/>
  <c r="F61" i="43"/>
  <c r="H61" i="43" s="1"/>
  <c r="I61" i="43"/>
  <c r="A46" i="26"/>
  <c r="B47" i="26"/>
  <c r="A39" i="26"/>
  <c r="B38" i="26"/>
  <c r="M118" i="28"/>
  <c r="N118" i="28"/>
  <c r="M128" i="28" s="1"/>
  <c r="M129" i="28" s="1"/>
  <c r="M125" i="28"/>
  <c r="B91" i="12"/>
  <c r="D14" i="12" s="1"/>
  <c r="Q58" i="6"/>
  <c r="S58" i="6" s="1"/>
  <c r="R17" i="6"/>
  <c r="R42" i="6"/>
  <c r="Q57" i="6"/>
  <c r="T60" i="6"/>
  <c r="R60" i="6"/>
  <c r="S63" i="6"/>
  <c r="U63" i="6"/>
  <c r="Q42" i="6"/>
  <c r="AB18" i="6"/>
  <c r="AD18" i="6" s="1"/>
  <c r="AF18" i="6" s="1"/>
  <c r="AA16" i="6"/>
  <c r="AC16" i="6" s="1"/>
  <c r="AE16" i="6" s="1"/>
  <c r="AQ16" i="6" s="1"/>
  <c r="AB47" i="6"/>
  <c r="Y46" i="6"/>
  <c r="AA21" i="6"/>
  <c r="Y21" i="6"/>
  <c r="AB54" i="6"/>
  <c r="AD54" i="6" s="1"/>
  <c r="Z47" i="6"/>
  <c r="AA46" i="6"/>
  <c r="U41" i="6"/>
  <c r="W41" i="6"/>
  <c r="Z57" i="6"/>
  <c r="X42" i="6"/>
  <c r="V61" i="6"/>
  <c r="U40" i="6"/>
  <c r="Y40" i="6" s="1"/>
  <c r="AA40" i="6" s="1"/>
  <c r="U47" i="6"/>
  <c r="W44" i="6"/>
  <c r="U57" i="6"/>
  <c r="W40" i="6"/>
  <c r="W59" i="6"/>
  <c r="U17" i="6"/>
  <c r="Y17" i="6" s="1"/>
  <c r="W39" i="6"/>
  <c r="AA39" i="6" s="1"/>
  <c r="V53" i="6"/>
  <c r="AB53" i="6" s="1"/>
  <c r="W42" i="6"/>
  <c r="V23" i="6"/>
  <c r="AB23" i="6" s="1"/>
  <c r="V30" i="6"/>
  <c r="V31" i="6" s="1"/>
  <c r="V33" i="6" s="1"/>
  <c r="V56" i="6"/>
  <c r="AB56" i="6" s="1"/>
  <c r="U59" i="6"/>
  <c r="AA59" i="6" s="1"/>
  <c r="X48" i="6"/>
  <c r="V48" i="6"/>
  <c r="Z48" i="6" s="1"/>
  <c r="W30" i="6"/>
  <c r="W31" i="6" s="1"/>
  <c r="W33" i="6" s="1"/>
  <c r="V42" i="6"/>
  <c r="X17" i="6"/>
  <c r="W61" i="6"/>
  <c r="W20" i="6"/>
  <c r="Y20" i="6" s="1"/>
  <c r="X63" i="6"/>
  <c r="Z63" i="6" s="1"/>
  <c r="W38" i="6"/>
  <c r="W49" i="6"/>
  <c r="X30" i="6"/>
  <c r="X31" i="6" s="1"/>
  <c r="X33" i="6" s="1"/>
  <c r="U44" i="6"/>
  <c r="Y44" i="6" s="1"/>
  <c r="X43" i="6"/>
  <c r="AB57" i="6"/>
  <c r="Z30" i="6"/>
  <c r="Z31" i="6" s="1"/>
  <c r="Z33" i="6" s="1"/>
  <c r="W15" i="6"/>
  <c r="Y15" i="6" s="1"/>
  <c r="Q23" i="6"/>
  <c r="R52" i="6"/>
  <c r="R19" i="6"/>
  <c r="T49" i="6"/>
  <c r="X49" i="6" s="1"/>
  <c r="Q43" i="6"/>
  <c r="R59" i="6"/>
  <c r="Q65" i="6"/>
  <c r="U65" i="6" s="1"/>
  <c r="Q51" i="6"/>
  <c r="U51" i="6" s="1"/>
  <c r="Q19" i="6"/>
  <c r="Q24" i="6"/>
  <c r="Q56" i="6"/>
  <c r="T59" i="6"/>
  <c r="W63" i="6"/>
  <c r="Y63" i="6" s="1"/>
  <c r="R38" i="6"/>
  <c r="Q60" i="6"/>
  <c r="R45" i="6"/>
  <c r="R58" i="6"/>
  <c r="S51" i="6"/>
  <c r="R24" i="6"/>
  <c r="S52" i="6"/>
  <c r="W52" i="6" s="1"/>
  <c r="R62" i="6"/>
  <c r="T51" i="6"/>
  <c r="U53" i="6"/>
  <c r="R50" i="6"/>
  <c r="Q64" i="6"/>
  <c r="V43" i="6"/>
  <c r="W45" i="6"/>
  <c r="T38" i="6"/>
  <c r="R16" i="6"/>
  <c r="V62" i="6"/>
  <c r="R51" i="6"/>
  <c r="Q48" i="6"/>
  <c r="U48" i="6" s="1"/>
  <c r="S53" i="6"/>
  <c r="Q18" i="6"/>
  <c r="R39" i="6"/>
  <c r="S54" i="6"/>
  <c r="AA57" i="6"/>
  <c r="V59" i="6"/>
  <c r="U55" i="6"/>
  <c r="X61" i="6"/>
  <c r="U42" i="6"/>
  <c r="T58" i="6"/>
  <c r="V20" i="6"/>
  <c r="X44" i="6"/>
  <c r="W50" i="6"/>
  <c r="T46" i="6"/>
  <c r="S24" i="6"/>
  <c r="U45" i="6"/>
  <c r="U61" i="6"/>
  <c r="V55" i="6"/>
  <c r="V44" i="6"/>
  <c r="Z44" i="6" s="1"/>
  <c r="U50" i="6"/>
  <c r="S43" i="6"/>
  <c r="U24" i="6"/>
  <c r="W54" i="6"/>
  <c r="Y30" i="6"/>
  <c r="Y31" i="6" s="1"/>
  <c r="Y33" i="6" s="1"/>
  <c r="W57" i="6"/>
  <c r="T40" i="6"/>
  <c r="T19" i="6"/>
  <c r="V19" i="6" s="1"/>
  <c r="V65" i="6"/>
  <c r="V39" i="6"/>
  <c r="W62" i="6"/>
  <c r="X15" i="6"/>
  <c r="AB15" i="6" s="1"/>
  <c r="X20" i="6"/>
  <c r="AB20" i="6" s="1"/>
  <c r="V15" i="6"/>
  <c r="S18" i="6"/>
  <c r="T16" i="6"/>
  <c r="T21" i="6"/>
  <c r="X21" i="6" s="1"/>
  <c r="T50" i="6"/>
  <c r="W58" i="6"/>
  <c r="AA58" i="6" s="1"/>
  <c r="S23" i="6"/>
  <c r="X65" i="6"/>
  <c r="V60" i="6"/>
  <c r="AB60" i="6" s="1"/>
  <c r="T52" i="6"/>
  <c r="X39" i="6"/>
  <c r="X55" i="6"/>
  <c r="X19" i="6"/>
  <c r="V40" i="6"/>
  <c r="T64" i="6"/>
  <c r="X64" i="6" s="1"/>
  <c r="AB63" i="6"/>
  <c r="S19" i="6"/>
  <c r="V58" i="6"/>
  <c r="X50" i="6"/>
  <c r="S55" i="6"/>
  <c r="W55" i="6" s="1"/>
  <c r="V17" i="6"/>
  <c r="Z17" i="6" s="1"/>
  <c r="S64" i="6"/>
  <c r="T24" i="6"/>
  <c r="T41" i="6"/>
  <c r="X41" i="6" s="1"/>
  <c r="W43" i="6"/>
  <c r="M69" i="6"/>
  <c r="L69" i="6"/>
  <c r="N69" i="6"/>
  <c r="I69" i="6"/>
  <c r="K69" i="6"/>
  <c r="J69" i="6"/>
  <c r="N34" i="6"/>
  <c r="N35" i="6" s="1"/>
  <c r="J34" i="6"/>
  <c r="J35" i="6" s="1"/>
  <c r="L34" i="6"/>
  <c r="L35" i="6" s="1"/>
  <c r="P26" i="6"/>
  <c r="P67" i="6"/>
  <c r="O26" i="6"/>
  <c r="O67" i="6"/>
  <c r="I34" i="6"/>
  <c r="I35" i="6" s="1"/>
  <c r="M34" i="6"/>
  <c r="M35" i="6" s="1"/>
  <c r="K34" i="6"/>
  <c r="K35" i="6" s="1"/>
  <c r="K40" i="39"/>
  <c r="F55" i="43"/>
  <c r="E63" i="43"/>
  <c r="I58" i="43"/>
  <c r="H42" i="39"/>
  <c r="E42" i="39"/>
  <c r="D42" i="39"/>
  <c r="I42" i="39"/>
  <c r="C43" i="39" s="1"/>
  <c r="F42" i="39"/>
  <c r="A42" i="39"/>
  <c r="B42" i="39" s="1"/>
  <c r="N42" i="39" s="1"/>
  <c r="G42" i="39"/>
  <c r="A117" i="32"/>
  <c r="F117" i="32" s="1"/>
  <c r="H129" i="72"/>
  <c r="H104" i="72" s="1"/>
  <c r="I158" i="72"/>
  <c r="I132" i="72"/>
  <c r="I145" i="72" s="1"/>
  <c r="G132" i="72"/>
  <c r="G145" i="72" s="1"/>
  <c r="C174" i="72"/>
  <c r="I174" i="72"/>
  <c r="I175" i="72" s="1"/>
  <c r="P210" i="72"/>
  <c r="F132" i="72"/>
  <c r="F145" i="72" s="1"/>
  <c r="J132" i="72"/>
  <c r="J145" i="72" s="1"/>
  <c r="J136" i="72"/>
  <c r="C136" i="72"/>
  <c r="E174" i="72"/>
  <c r="E175" i="72" s="1"/>
  <c r="N210" i="72"/>
  <c r="N193" i="72"/>
  <c r="N194" i="72" s="1"/>
  <c r="S210" i="72"/>
  <c r="AC105" i="72"/>
  <c r="T155" i="72"/>
  <c r="T99" i="72"/>
  <c r="F174" i="72"/>
  <c r="F175" i="72" s="1"/>
  <c r="AC188" i="72"/>
  <c r="E132" i="72"/>
  <c r="E145" i="72" s="1"/>
  <c r="E136" i="72"/>
  <c r="H99" i="72"/>
  <c r="I147" i="72"/>
  <c r="I148" i="72"/>
  <c r="I150" i="72"/>
  <c r="F150" i="72"/>
  <c r="F148" i="72"/>
  <c r="F147" i="72"/>
  <c r="D136" i="72"/>
  <c r="D132" i="72"/>
  <c r="D145" i="72" s="1"/>
  <c r="G150" i="72"/>
  <c r="G148" i="72"/>
  <c r="G147" i="72"/>
  <c r="D158" i="72"/>
  <c r="D173" i="72"/>
  <c r="D174" i="72" s="1"/>
  <c r="D175" i="72" s="1"/>
  <c r="A258" i="7"/>
  <c r="D117" i="7"/>
  <c r="K64" i="51"/>
  <c r="K62" i="51"/>
  <c r="D12" i="13"/>
  <c r="K80" i="51"/>
  <c r="F83" i="51"/>
  <c r="K57" i="51" s="1"/>
  <c r="K89" i="51"/>
  <c r="K91" i="51" s="1"/>
  <c r="F90" i="51"/>
  <c r="K83" i="51"/>
  <c r="K59" i="51" s="1"/>
  <c r="F89" i="51"/>
  <c r="O15" i="12"/>
  <c r="Y15" i="12" s="1"/>
  <c r="J17" i="59" s="1"/>
  <c r="H145" i="13"/>
  <c r="B130" i="13"/>
  <c r="O43" i="11" l="1"/>
  <c r="J57" i="11" s="1"/>
  <c r="J59" i="11" s="1"/>
  <c r="P43" i="11"/>
  <c r="K157" i="72"/>
  <c r="S202" i="72"/>
  <c r="S194" i="72"/>
  <c r="O202" i="72"/>
  <c r="R202" i="72"/>
  <c r="R194" i="72"/>
  <c r="P202" i="72"/>
  <c r="Q202" i="72"/>
  <c r="N202" i="72"/>
  <c r="K147" i="72"/>
  <c r="K148" i="72"/>
  <c r="B222" i="72"/>
  <c r="G157" i="72"/>
  <c r="E157" i="72"/>
  <c r="B148" i="72"/>
  <c r="B149" i="72" s="1"/>
  <c r="I63" i="43"/>
  <c r="E55" i="25"/>
  <c r="C25" i="37"/>
  <c r="E24" i="37"/>
  <c r="A24" i="37" s="1"/>
  <c r="B24" i="37"/>
  <c r="A40" i="25"/>
  <c r="B39" i="25"/>
  <c r="B47" i="25"/>
  <c r="A46" i="25"/>
  <c r="B206" i="7"/>
  <c r="F157" i="72"/>
  <c r="D157" i="72"/>
  <c r="I157" i="72"/>
  <c r="C184" i="72"/>
  <c r="C159" i="72" s="1"/>
  <c r="B184" i="72"/>
  <c r="B159" i="72" s="1"/>
  <c r="C175" i="72"/>
  <c r="C158" i="72" s="1"/>
  <c r="B150" i="72"/>
  <c r="B96" i="72" s="1"/>
  <c r="B98" i="72" s="1"/>
  <c r="C148" i="72"/>
  <c r="C140" i="72"/>
  <c r="C142" i="72" s="1"/>
  <c r="C143" i="72" s="1"/>
  <c r="C147" i="72" s="1"/>
  <c r="B175" i="72"/>
  <c r="B158" i="72" s="1"/>
  <c r="F300" i="7"/>
  <c r="AD63" i="6"/>
  <c r="AF63" i="6" s="1"/>
  <c r="H155" i="72"/>
  <c r="H210" i="72" s="1"/>
  <c r="B45" i="36"/>
  <c r="B26" i="36"/>
  <c r="B67" i="36"/>
  <c r="B48" i="26"/>
  <c r="A47" i="26"/>
  <c r="A38" i="26"/>
  <c r="T126" i="28"/>
  <c r="M126" i="28"/>
  <c r="M131" i="28" s="1"/>
  <c r="M132" i="28" s="1"/>
  <c r="M134" i="28" s="1"/>
  <c r="T122" i="28" s="1"/>
  <c r="AD57" i="6"/>
  <c r="AF57" i="6" s="1"/>
  <c r="AC21" i="6"/>
  <c r="AE21" i="6" s="1"/>
  <c r="AQ21" i="6" s="1"/>
  <c r="AC46" i="6"/>
  <c r="AE46" i="6" s="1"/>
  <c r="AQ46" i="6" s="1"/>
  <c r="AD47" i="6"/>
  <c r="AF47" i="6" s="1"/>
  <c r="Y47" i="6"/>
  <c r="AA47" i="6" s="1"/>
  <c r="AB61" i="6"/>
  <c r="Z65" i="6"/>
  <c r="AD65" i="6" s="1"/>
  <c r="Z55" i="6"/>
  <c r="Y57" i="6"/>
  <c r="AC57" i="6" s="1"/>
  <c r="Y41" i="6"/>
  <c r="Z15" i="6"/>
  <c r="AD15" i="6" s="1"/>
  <c r="AF15" i="6" s="1"/>
  <c r="Y45" i="6"/>
  <c r="Y42" i="6"/>
  <c r="AA42" i="6" s="1"/>
  <c r="Z60" i="6"/>
  <c r="AD60" i="6" s="1"/>
  <c r="AF60" i="6" s="1"/>
  <c r="AB44" i="6"/>
  <c r="AD44" i="6" s="1"/>
  <c r="AF44" i="6" s="1"/>
  <c r="Y59" i="6"/>
  <c r="AC59" i="6" s="1"/>
  <c r="AB55" i="6"/>
  <c r="AB42" i="6"/>
  <c r="AC40" i="6"/>
  <c r="AE40" i="6" s="1"/>
  <c r="AQ40" i="6" s="1"/>
  <c r="Z56" i="6"/>
  <c r="AD56" i="6" s="1"/>
  <c r="AF56" i="6" s="1"/>
  <c r="AB30" i="6"/>
  <c r="AB31" i="6" s="1"/>
  <c r="AB33" i="6" s="1"/>
  <c r="Z43" i="6"/>
  <c r="Y39" i="6"/>
  <c r="Y50" i="6"/>
  <c r="AA50" i="6" s="1"/>
  <c r="AA30" i="6"/>
  <c r="AA31" i="6" s="1"/>
  <c r="AA33" i="6" s="1"/>
  <c r="Z53" i="6"/>
  <c r="AD53" i="6" s="1"/>
  <c r="AF53" i="6" s="1"/>
  <c r="Z20" i="6"/>
  <c r="AD20" i="6" s="1"/>
  <c r="Z39" i="6"/>
  <c r="Z42" i="6"/>
  <c r="AB43" i="6"/>
  <c r="Z61" i="6"/>
  <c r="Y38" i="6"/>
  <c r="AA63" i="6"/>
  <c r="AC63" i="6" s="1"/>
  <c r="AA17" i="6"/>
  <c r="Y61" i="6"/>
  <c r="AB19" i="6"/>
  <c r="AA45" i="6"/>
  <c r="Y62" i="6"/>
  <c r="AA20" i="6"/>
  <c r="AC20" i="6" s="1"/>
  <c r="Z23" i="6"/>
  <c r="AD23" i="6" s="1"/>
  <c r="AF23" i="6" s="1"/>
  <c r="AB17" i="6"/>
  <c r="AD17" i="6" s="1"/>
  <c r="AF17" i="6" s="1"/>
  <c r="Y49" i="6"/>
  <c r="AA49" i="6"/>
  <c r="Y58" i="6"/>
  <c r="AC58" i="6" s="1"/>
  <c r="AA41" i="6"/>
  <c r="AA44" i="6"/>
  <c r="AC44" i="6" s="1"/>
  <c r="AB39" i="6"/>
  <c r="AA62" i="6"/>
  <c r="AF54" i="6"/>
  <c r="AA61" i="6"/>
  <c r="AB48" i="6"/>
  <c r="Q26" i="6"/>
  <c r="Q34" i="6" s="1"/>
  <c r="Q35" i="6" s="1"/>
  <c r="V50" i="6"/>
  <c r="Z50" i="6" s="1"/>
  <c r="X58" i="6"/>
  <c r="AB58" i="6" s="1"/>
  <c r="U19" i="6"/>
  <c r="W23" i="6"/>
  <c r="W19" i="6"/>
  <c r="AA19" i="6" s="1"/>
  <c r="AA55" i="6"/>
  <c r="V16" i="6"/>
  <c r="X16" i="6"/>
  <c r="W56" i="6"/>
  <c r="V24" i="6"/>
  <c r="Z19" i="6"/>
  <c r="V45" i="6"/>
  <c r="V46" i="6"/>
  <c r="AB46" i="6" s="1"/>
  <c r="W24" i="6"/>
  <c r="Y24" i="6" s="1"/>
  <c r="V52" i="6"/>
  <c r="U64" i="6"/>
  <c r="V21" i="6"/>
  <c r="Z21" i="6" s="1"/>
  <c r="W53" i="6"/>
  <c r="AA53" i="6" s="1"/>
  <c r="W65" i="6"/>
  <c r="X59" i="6"/>
  <c r="AB59" i="6" s="1"/>
  <c r="X40" i="6"/>
  <c r="Z40" i="6" s="1"/>
  <c r="V41" i="6"/>
  <c r="U23" i="6"/>
  <c r="Y23" i="6" s="1"/>
  <c r="W48" i="6"/>
  <c r="U52" i="6"/>
  <c r="X62" i="6"/>
  <c r="AB62" i="6" s="1"/>
  <c r="X45" i="6"/>
  <c r="U18" i="6"/>
  <c r="W18" i="6"/>
  <c r="U56" i="6"/>
  <c r="AA56" i="6" s="1"/>
  <c r="Y55" i="6"/>
  <c r="X38" i="6"/>
  <c r="U43" i="6"/>
  <c r="AA43" i="6" s="1"/>
  <c r="W51" i="6"/>
  <c r="R26" i="6"/>
  <c r="X24" i="6"/>
  <c r="X46" i="6"/>
  <c r="V49" i="6"/>
  <c r="V38" i="6"/>
  <c r="R67" i="6"/>
  <c r="V64" i="6"/>
  <c r="Z64" i="6" s="1"/>
  <c r="W64" i="6"/>
  <c r="Y64" i="6" s="1"/>
  <c r="U54" i="6"/>
  <c r="Y54" i="6" s="1"/>
  <c r="X51" i="6"/>
  <c r="V51" i="6"/>
  <c r="Y52" i="6"/>
  <c r="W60" i="6"/>
  <c r="U60" i="6"/>
  <c r="X52" i="6"/>
  <c r="Z52" i="6" s="1"/>
  <c r="Q67" i="6"/>
  <c r="T67" i="6"/>
  <c r="S67" i="6"/>
  <c r="S26" i="6"/>
  <c r="T26" i="6"/>
  <c r="T34" i="6" s="1"/>
  <c r="T35" i="6" s="1"/>
  <c r="P69" i="6"/>
  <c r="O69" i="6"/>
  <c r="P34" i="6"/>
  <c r="P35" i="6" s="1"/>
  <c r="O34" i="6"/>
  <c r="O35" i="6" s="1"/>
  <c r="H59" i="7" a="1"/>
  <c r="G43" i="39"/>
  <c r="D43" i="39"/>
  <c r="J43" i="39" s="1"/>
  <c r="K43" i="39" s="1"/>
  <c r="H43" i="39"/>
  <c r="I43" i="39"/>
  <c r="C44" i="39" s="1"/>
  <c r="A43" i="39"/>
  <c r="B43" i="39" s="1"/>
  <c r="N43" i="39" s="1"/>
  <c r="E43" i="39"/>
  <c r="F43" i="39"/>
  <c r="J42" i="39"/>
  <c r="H55" i="43"/>
  <c r="H63" i="43" s="1"/>
  <c r="F63" i="43"/>
  <c r="A116" i="32"/>
  <c r="F116" i="32" s="1"/>
  <c r="I149" i="72"/>
  <c r="J148" i="72"/>
  <c r="J150" i="72"/>
  <c r="J147" i="72"/>
  <c r="K149" i="72"/>
  <c r="T210" i="72"/>
  <c r="T193" i="72"/>
  <c r="E148" i="72"/>
  <c r="E150" i="72"/>
  <c r="E147" i="72"/>
  <c r="F149" i="72"/>
  <c r="G149" i="72"/>
  <c r="F129" i="72"/>
  <c r="F104" i="72" s="1"/>
  <c r="F96" i="72"/>
  <c r="F98" i="72" s="1"/>
  <c r="K96" i="72"/>
  <c r="K98" i="72" s="1"/>
  <c r="K129" i="72"/>
  <c r="K104" i="72" s="1"/>
  <c r="G129" i="72"/>
  <c r="G104" i="72" s="1"/>
  <c r="G96" i="72"/>
  <c r="G98" i="72" s="1"/>
  <c r="I96" i="72"/>
  <c r="I98" i="72" s="1"/>
  <c r="I129" i="72"/>
  <c r="I104" i="72" s="1"/>
  <c r="D147" i="72"/>
  <c r="D148" i="72"/>
  <c r="D150" i="72"/>
  <c r="A259" i="7"/>
  <c r="D118" i="7"/>
  <c r="F91" i="51"/>
  <c r="I17" i="59"/>
  <c r="D13" i="13"/>
  <c r="B145" i="13"/>
  <c r="D14" i="13" s="1"/>
  <c r="Z15" i="12"/>
  <c r="L17" i="59" s="1"/>
  <c r="T202" i="72" l="1"/>
  <c r="T194" i="72"/>
  <c r="B223" i="72"/>
  <c r="J68" i="11"/>
  <c r="B48" i="25"/>
  <c r="A47" i="25"/>
  <c r="B38" i="25"/>
  <c r="A39" i="25"/>
  <c r="E25" i="37"/>
  <c r="A25" i="37" s="1"/>
  <c r="B33" i="37" s="1"/>
  <c r="B25" i="37"/>
  <c r="C149" i="72"/>
  <c r="C150" i="72"/>
  <c r="C129" i="72" s="1"/>
  <c r="C157" i="72"/>
  <c r="AC159" i="72"/>
  <c r="B157" i="72"/>
  <c r="B129" i="72"/>
  <c r="AC158" i="72"/>
  <c r="B99" i="72"/>
  <c r="B128" i="72"/>
  <c r="H193" i="72"/>
  <c r="H194" i="72" s="1"/>
  <c r="B27" i="36"/>
  <c r="B68" i="36"/>
  <c r="B46" i="36"/>
  <c r="A48" i="26"/>
  <c r="B49" i="26"/>
  <c r="C25" i="26" s="1"/>
  <c r="T128" i="28"/>
  <c r="AD30" i="6"/>
  <c r="AF30" i="6" s="1"/>
  <c r="AF31" i="6" s="1"/>
  <c r="AC42" i="6"/>
  <c r="AE42" i="6" s="1"/>
  <c r="AQ42" i="6" s="1"/>
  <c r="AD42" i="6"/>
  <c r="AF42" i="6" s="1"/>
  <c r="AC55" i="6"/>
  <c r="AE55" i="6" s="1"/>
  <c r="AQ55" i="6" s="1"/>
  <c r="AD19" i="6"/>
  <c r="AF19" i="6" s="1"/>
  <c r="AD39" i="6"/>
  <c r="AF39" i="6" s="1"/>
  <c r="AD61" i="6"/>
  <c r="AF61" i="6" s="1"/>
  <c r="AD55" i="6"/>
  <c r="AF55" i="6" s="1"/>
  <c r="AC45" i="6"/>
  <c r="AE45" i="6" s="1"/>
  <c r="AQ45" i="6" s="1"/>
  <c r="AC30" i="6"/>
  <c r="AC31" i="6" s="1"/>
  <c r="AC33" i="6" s="1"/>
  <c r="AD43" i="6"/>
  <c r="AF43" i="6" s="1"/>
  <c r="V26" i="6"/>
  <c r="V34" i="6" s="1"/>
  <c r="V35" i="6" s="1"/>
  <c r="X26" i="6"/>
  <c r="X34" i="6" s="1"/>
  <c r="X35" i="6" s="1"/>
  <c r="AE59" i="6"/>
  <c r="AQ59" i="6" s="1"/>
  <c r="AC49" i="6"/>
  <c r="AE49" i="6" s="1"/>
  <c r="AQ49" i="6" s="1"/>
  <c r="AC17" i="6"/>
  <c r="AE17" i="6" s="1"/>
  <c r="AC39" i="6"/>
  <c r="AE39" i="6" s="1"/>
  <c r="AQ39" i="6" s="1"/>
  <c r="AC61" i="6"/>
  <c r="AE61" i="6" s="1"/>
  <c r="AQ61" i="6" s="1"/>
  <c r="AC15" i="6"/>
  <c r="AE15" i="6" s="1"/>
  <c r="AQ15" i="6" s="1"/>
  <c r="AC62" i="6"/>
  <c r="AE62" i="6" s="1"/>
  <c r="AQ62" i="6" s="1"/>
  <c r="R69" i="6"/>
  <c r="AC47" i="6"/>
  <c r="AE47" i="6" s="1"/>
  <c r="Q69" i="6"/>
  <c r="AD48" i="6"/>
  <c r="AF48" i="6" s="1"/>
  <c r="AC50" i="6"/>
  <c r="AE50" i="6" s="1"/>
  <c r="AQ50" i="6" s="1"/>
  <c r="AC41" i="6"/>
  <c r="AE41" i="6" s="1"/>
  <c r="AQ41" i="6" s="1"/>
  <c r="AE44" i="6"/>
  <c r="AC38" i="6"/>
  <c r="AE38" i="6" s="1"/>
  <c r="AQ38" i="6" s="1"/>
  <c r="Y19" i="6"/>
  <c r="AC19" i="6" s="1"/>
  <c r="AE57" i="6"/>
  <c r="R34" i="6"/>
  <c r="R35" i="6" s="1"/>
  <c r="AB38" i="6"/>
  <c r="AF20" i="6"/>
  <c r="AB24" i="6"/>
  <c r="AB51" i="6"/>
  <c r="Z46" i="6"/>
  <c r="AD46" i="6" s="1"/>
  <c r="AF46" i="6" s="1"/>
  <c r="AG46" i="6" s="1"/>
  <c r="AA64" i="6"/>
  <c r="AC64" i="6" s="1"/>
  <c r="AE64" i="6" s="1"/>
  <c r="AQ64" i="6" s="1"/>
  <c r="Z24" i="6"/>
  <c r="AB52" i="6"/>
  <c r="AD52" i="6" s="1"/>
  <c r="AF52" i="6" s="1"/>
  <c r="Y65" i="6"/>
  <c r="AA54" i="6"/>
  <c r="AC54" i="6" s="1"/>
  <c r="AA48" i="6"/>
  <c r="Z41" i="6"/>
  <c r="AB41" i="6" s="1"/>
  <c r="AB16" i="6"/>
  <c r="AB50" i="6"/>
  <c r="AD50" i="6" s="1"/>
  <c r="AF50" i="6" s="1"/>
  <c r="AE20" i="6"/>
  <c r="AQ20" i="6" s="1"/>
  <c r="AE58" i="6"/>
  <c r="AQ58" i="6" s="1"/>
  <c r="AA51" i="6"/>
  <c r="AB64" i="6"/>
  <c r="AD64" i="6" s="1"/>
  <c r="Y51" i="6"/>
  <c r="Z38" i="6"/>
  <c r="AA24" i="6"/>
  <c r="AA65" i="6"/>
  <c r="AB49" i="6"/>
  <c r="Y43" i="6"/>
  <c r="Z62" i="6"/>
  <c r="Y53" i="6"/>
  <c r="AC53" i="6" s="1"/>
  <c r="Z16" i="6"/>
  <c r="Y56" i="6"/>
  <c r="AC56" i="6" s="1"/>
  <c r="AE63" i="6"/>
  <c r="Z59" i="6"/>
  <c r="AD59" i="6" s="1"/>
  <c r="AB21" i="6"/>
  <c r="Z45" i="6"/>
  <c r="Z51" i="6"/>
  <c r="U26" i="6"/>
  <c r="U34" i="6" s="1"/>
  <c r="U35" i="6" s="1"/>
  <c r="AB40" i="6"/>
  <c r="AD40" i="6" s="1"/>
  <c r="AA52" i="6"/>
  <c r="AC52" i="6" s="1"/>
  <c r="AA23" i="6"/>
  <c r="AC23" i="6" s="1"/>
  <c r="Z49" i="6"/>
  <c r="Y18" i="6"/>
  <c r="Y48" i="6"/>
  <c r="AB45" i="6"/>
  <c r="Y60" i="6"/>
  <c r="AA60" i="6"/>
  <c r="AA18" i="6"/>
  <c r="W26" i="6"/>
  <c r="W34" i="6" s="1"/>
  <c r="W35" i="6" s="1"/>
  <c r="Z58" i="6"/>
  <c r="AD58" i="6" s="1"/>
  <c r="X67" i="6"/>
  <c r="U67" i="6"/>
  <c r="V67" i="6"/>
  <c r="W67" i="6"/>
  <c r="S69" i="6"/>
  <c r="S34" i="6"/>
  <c r="S35" i="6" s="1"/>
  <c r="T69" i="6"/>
  <c r="A115" i="32"/>
  <c r="A44" i="39"/>
  <c r="B44" i="39" s="1"/>
  <c r="N44" i="39" s="1"/>
  <c r="E44" i="39"/>
  <c r="F44" i="39"/>
  <c r="G44" i="39"/>
  <c r="H44" i="39"/>
  <c r="D44" i="39"/>
  <c r="J44" i="39" s="1"/>
  <c r="K44" i="39" s="1"/>
  <c r="I44" i="39"/>
  <c r="C45" i="39" s="1"/>
  <c r="K42" i="39"/>
  <c r="J149" i="72"/>
  <c r="J96" i="72"/>
  <c r="J98" i="72" s="1"/>
  <c r="J129" i="72"/>
  <c r="J104" i="72" s="1"/>
  <c r="E149" i="72"/>
  <c r="E129" i="72"/>
  <c r="E104" i="72" s="1"/>
  <c r="E96" i="72"/>
  <c r="E98" i="72" s="1"/>
  <c r="I155" i="72"/>
  <c r="I99" i="72"/>
  <c r="G155" i="72"/>
  <c r="G99" i="72"/>
  <c r="D96" i="72"/>
  <c r="D98" i="72" s="1"/>
  <c r="D129" i="72"/>
  <c r="D104" i="72" s="1"/>
  <c r="K155" i="72"/>
  <c r="K99" i="72"/>
  <c r="D149" i="72"/>
  <c r="F155" i="72"/>
  <c r="F99" i="72"/>
  <c r="D119" i="7"/>
  <c r="A260" i="7"/>
  <c r="K17" i="59"/>
  <c r="N17" i="59"/>
  <c r="O17" i="59"/>
  <c r="M17" i="59"/>
  <c r="H202" i="72" l="1"/>
  <c r="B224" i="72"/>
  <c r="O68" i="11"/>
  <c r="I24" i="7"/>
  <c r="J62" i="11"/>
  <c r="O62" i="11" s="1"/>
  <c r="Q62" i="11" s="1"/>
  <c r="J64" i="11"/>
  <c r="O64" i="11" s="1"/>
  <c r="Q64" i="11" s="1"/>
  <c r="S59" i="11"/>
  <c r="S71" i="11" s="1"/>
  <c r="I57" i="7" s="1"/>
  <c r="H57" i="7" s="1" a="1"/>
  <c r="H57" i="7" s="1"/>
  <c r="G53" i="8" s="1"/>
  <c r="J63" i="11"/>
  <c r="O63" i="11" s="1"/>
  <c r="Q63" i="11" s="1"/>
  <c r="O59" i="11"/>
  <c r="C43" i="26"/>
  <c r="C40" i="26"/>
  <c r="C47" i="26"/>
  <c r="C44" i="26"/>
  <c r="C45" i="26"/>
  <c r="C46" i="26"/>
  <c r="C39" i="26"/>
  <c r="C41" i="26"/>
  <c r="C26" i="26"/>
  <c r="C31" i="26" s="1"/>
  <c r="C49" i="26"/>
  <c r="C28" i="26"/>
  <c r="C48" i="26"/>
  <c r="G25" i="25"/>
  <c r="C25" i="25"/>
  <c r="E25" i="25"/>
  <c r="A38" i="25"/>
  <c r="F25" i="25"/>
  <c r="D25" i="25"/>
  <c r="A48" i="25"/>
  <c r="B49" i="25"/>
  <c r="A49" i="25" s="1"/>
  <c r="C96" i="72"/>
  <c r="C98" i="72" s="1"/>
  <c r="C128" i="72" s="1"/>
  <c r="C104" i="72" s="1"/>
  <c r="B155" i="72"/>
  <c r="B210" i="72" s="1"/>
  <c r="B104" i="72"/>
  <c r="H88" i="7" a="1"/>
  <c r="B47" i="36"/>
  <c r="B28" i="36"/>
  <c r="B69" i="36"/>
  <c r="A49" i="26"/>
  <c r="G25" i="26"/>
  <c r="F25" i="26"/>
  <c r="E25" i="26"/>
  <c r="C38" i="26"/>
  <c r="C42" i="26"/>
  <c r="D25" i="26"/>
  <c r="AA67" i="6"/>
  <c r="AG63" i="6"/>
  <c r="AQ63" i="6"/>
  <c r="AG57" i="6"/>
  <c r="AQ57" i="6"/>
  <c r="AG47" i="6"/>
  <c r="AQ47" i="6"/>
  <c r="AG44" i="6"/>
  <c r="AQ44" i="6"/>
  <c r="V69" i="6"/>
  <c r="AD31" i="6"/>
  <c r="AD33" i="6" s="1"/>
  <c r="AF33" i="6" s="1"/>
  <c r="AG17" i="6"/>
  <c r="AQ17" i="6"/>
  <c r="AG15" i="6"/>
  <c r="AD49" i="6"/>
  <c r="AF49" i="6" s="1"/>
  <c r="AG49" i="6" s="1"/>
  <c r="AE30" i="6"/>
  <c r="AG42" i="6"/>
  <c r="AG61" i="6"/>
  <c r="AD24" i="6"/>
  <c r="AF24" i="6" s="1"/>
  <c r="AD38" i="6"/>
  <c r="AF38" i="6" s="1"/>
  <c r="AG38" i="6" s="1"/>
  <c r="X69" i="6"/>
  <c r="AC65" i="6"/>
  <c r="AG50" i="6"/>
  <c r="AC48" i="6"/>
  <c r="AE48" i="6" s="1"/>
  <c r="AG20" i="6"/>
  <c r="U69" i="6"/>
  <c r="AB26" i="6"/>
  <c r="AB34" i="6" s="1"/>
  <c r="AB35" i="6" s="1"/>
  <c r="AG55" i="6"/>
  <c r="AE19" i="6"/>
  <c r="Z26" i="6"/>
  <c r="Z34" i="6" s="1"/>
  <c r="Z35" i="6" s="1"/>
  <c r="Y26" i="6"/>
  <c r="Y34" i="6" s="1"/>
  <c r="Y35" i="6" s="1"/>
  <c r="AD51" i="6"/>
  <c r="AF51" i="6" s="1"/>
  <c r="AE54" i="6"/>
  <c r="AD45" i="6"/>
  <c r="AF45" i="6" s="1"/>
  <c r="AG45" i="6" s="1"/>
  <c r="AC60" i="6"/>
  <c r="AE60" i="6" s="1"/>
  <c r="AD16" i="6"/>
  <c r="AF16" i="6" s="1"/>
  <c r="AG16" i="6" s="1"/>
  <c r="AC24" i="6"/>
  <c r="AE24" i="6" s="1"/>
  <c r="AQ24" i="6" s="1"/>
  <c r="AD62" i="6"/>
  <c r="AF62" i="6" s="1"/>
  <c r="AG62" i="6" s="1"/>
  <c r="AF59" i="6"/>
  <c r="AG59" i="6" s="1"/>
  <c r="AD21" i="6"/>
  <c r="AE23" i="6"/>
  <c r="AE53" i="6"/>
  <c r="AC43" i="6"/>
  <c r="AG39" i="6"/>
  <c r="AD41" i="6"/>
  <c r="AF41" i="6" s="1"/>
  <c r="AG41" i="6" s="1"/>
  <c r="AF40" i="6"/>
  <c r="AG40" i="6" s="1"/>
  <c r="AC18" i="6"/>
  <c r="AC51" i="6"/>
  <c r="AE51" i="6" s="1"/>
  <c r="AQ51" i="6" s="1"/>
  <c r="AE52" i="6"/>
  <c r="AE56" i="6"/>
  <c r="Y67" i="6"/>
  <c r="W69" i="6"/>
  <c r="AA26" i="6"/>
  <c r="Z67" i="6"/>
  <c r="AF64" i="6"/>
  <c r="AG64" i="6" s="1"/>
  <c r="AF58" i="6"/>
  <c r="AG58" i="6" s="1"/>
  <c r="AB67" i="6"/>
  <c r="A114" i="32"/>
  <c r="A45" i="39"/>
  <c r="B45" i="39" s="1"/>
  <c r="N45" i="39" s="1"/>
  <c r="D45" i="39"/>
  <c r="E45" i="39"/>
  <c r="I45" i="39"/>
  <c r="C46" i="39" s="1"/>
  <c r="H45" i="39"/>
  <c r="G45" i="39"/>
  <c r="F45" i="39"/>
  <c r="F115" i="32"/>
  <c r="J99" i="72"/>
  <c r="J155" i="72"/>
  <c r="I210" i="72"/>
  <c r="I193" i="72"/>
  <c r="I194" i="72" s="1"/>
  <c r="K210" i="72"/>
  <c r="K193" i="72"/>
  <c r="K194" i="72" s="1"/>
  <c r="F210" i="72"/>
  <c r="F193" i="72"/>
  <c r="F194" i="72" s="1"/>
  <c r="G210" i="72"/>
  <c r="G193" i="72"/>
  <c r="G194" i="72" s="1"/>
  <c r="E155" i="72"/>
  <c r="E99" i="72"/>
  <c r="D99" i="72"/>
  <c r="D155" i="72"/>
  <c r="AC129" i="72"/>
  <c r="D120" i="7"/>
  <c r="A261" i="7"/>
  <c r="K202" i="72" l="1"/>
  <c r="G202" i="72"/>
  <c r="F202" i="72"/>
  <c r="I202" i="72"/>
  <c r="AC224" i="72"/>
  <c r="B235" i="72"/>
  <c r="C99" i="72"/>
  <c r="B232" i="72"/>
  <c r="AC96" i="72"/>
  <c r="C155" i="72"/>
  <c r="C210" i="72" s="1"/>
  <c r="Q71" i="11"/>
  <c r="I56" i="7" s="1"/>
  <c r="H56" i="7" s="1"/>
  <c r="G52" i="8" s="1"/>
  <c r="H80" i="8" s="1"/>
  <c r="J66" i="11"/>
  <c r="O71" i="11"/>
  <c r="I28" i="7"/>
  <c r="H24" i="7"/>
  <c r="G20" i="8" s="1"/>
  <c r="H47" i="8" s="1"/>
  <c r="E38" i="25"/>
  <c r="E48" i="25"/>
  <c r="E46" i="25"/>
  <c r="E49" i="25"/>
  <c r="E47" i="25"/>
  <c r="E45" i="25"/>
  <c r="E26" i="25"/>
  <c r="E28" i="25"/>
  <c r="E44" i="25"/>
  <c r="E42" i="25"/>
  <c r="E41" i="25"/>
  <c r="E40" i="25"/>
  <c r="E43" i="25"/>
  <c r="E39" i="25"/>
  <c r="C26" i="25"/>
  <c r="C46" i="25"/>
  <c r="I46" i="25" s="1"/>
  <c r="C38" i="25"/>
  <c r="C39" i="25"/>
  <c r="C43" i="25"/>
  <c r="C28" i="25"/>
  <c r="C42" i="25"/>
  <c r="C44" i="25"/>
  <c r="C41" i="25"/>
  <c r="C49" i="25"/>
  <c r="I49" i="25" s="1"/>
  <c r="C47" i="25"/>
  <c r="C45" i="25"/>
  <c r="C40" i="25"/>
  <c r="C48" i="25"/>
  <c r="G44" i="25"/>
  <c r="G48" i="25"/>
  <c r="G41" i="25"/>
  <c r="G39" i="25"/>
  <c r="G43" i="25"/>
  <c r="G49" i="25"/>
  <c r="G38" i="25"/>
  <c r="G26" i="25"/>
  <c r="G40" i="25"/>
  <c r="G45" i="25"/>
  <c r="G46" i="25"/>
  <c r="G47" i="25"/>
  <c r="G28" i="25"/>
  <c r="G42" i="25"/>
  <c r="D28" i="25"/>
  <c r="D42" i="25"/>
  <c r="D38" i="25"/>
  <c r="D26" i="25"/>
  <c r="D40" i="25"/>
  <c r="D45" i="25"/>
  <c r="D48" i="25"/>
  <c r="D43" i="25"/>
  <c r="D46" i="25"/>
  <c r="D47" i="25"/>
  <c r="D39" i="25"/>
  <c r="D44" i="25"/>
  <c r="D49" i="25"/>
  <c r="D41" i="25"/>
  <c r="F44" i="25"/>
  <c r="F41" i="25"/>
  <c r="F26" i="25"/>
  <c r="F40" i="25"/>
  <c r="F45" i="25"/>
  <c r="F28" i="25"/>
  <c r="F49" i="25"/>
  <c r="F47" i="25"/>
  <c r="F42" i="25"/>
  <c r="F43" i="25"/>
  <c r="F38" i="25"/>
  <c r="F48" i="25"/>
  <c r="F39" i="25"/>
  <c r="F46" i="25"/>
  <c r="AC128" i="72"/>
  <c r="B193" i="72"/>
  <c r="B194" i="72" s="1"/>
  <c r="B48" i="36"/>
  <c r="B29" i="36"/>
  <c r="B70" i="36"/>
  <c r="C50" i="26"/>
  <c r="E43" i="26"/>
  <c r="E47" i="26"/>
  <c r="E41" i="26"/>
  <c r="E49" i="26"/>
  <c r="E38" i="26"/>
  <c r="E42" i="26"/>
  <c r="E39" i="26"/>
  <c r="E46" i="26"/>
  <c r="E45" i="26"/>
  <c r="E48" i="26"/>
  <c r="E40" i="26"/>
  <c r="E28" i="26"/>
  <c r="E44" i="26"/>
  <c r="E26" i="26"/>
  <c r="E31" i="26" s="1"/>
  <c r="F43" i="26"/>
  <c r="F46" i="26"/>
  <c r="F41" i="26"/>
  <c r="F42" i="26"/>
  <c r="F38" i="26"/>
  <c r="F26" i="26"/>
  <c r="F31" i="26" s="1"/>
  <c r="F28" i="26"/>
  <c r="F45" i="26"/>
  <c r="F39" i="26"/>
  <c r="F49" i="26"/>
  <c r="F48" i="26"/>
  <c r="F40" i="26"/>
  <c r="F47" i="26"/>
  <c r="F44" i="26"/>
  <c r="G43" i="26"/>
  <c r="G40" i="26"/>
  <c r="G44" i="26"/>
  <c r="G39" i="26"/>
  <c r="G47" i="26"/>
  <c r="G42" i="26"/>
  <c r="G48" i="26"/>
  <c r="G38" i="26"/>
  <c r="G49" i="26"/>
  <c r="G46" i="26"/>
  <c r="G26" i="26"/>
  <c r="G31" i="26" s="1"/>
  <c r="G45" i="26"/>
  <c r="G41" i="26"/>
  <c r="G28" i="26"/>
  <c r="D43" i="26"/>
  <c r="D45" i="26"/>
  <c r="D42" i="26"/>
  <c r="D41" i="26"/>
  <c r="D39" i="26"/>
  <c r="I39" i="26" s="1"/>
  <c r="D47" i="26"/>
  <c r="D44" i="26"/>
  <c r="D46" i="26"/>
  <c r="D26" i="26"/>
  <c r="D31" i="26" s="1"/>
  <c r="D28" i="26"/>
  <c r="D48" i="26"/>
  <c r="D40" i="26"/>
  <c r="I40" i="26" s="1"/>
  <c r="D49" i="26"/>
  <c r="D38" i="26"/>
  <c r="AG48" i="6"/>
  <c r="AQ48" i="6"/>
  <c r="AG30" i="6"/>
  <c r="AQ30" i="6"/>
  <c r="AG53" i="6"/>
  <c r="AQ53" i="6"/>
  <c r="AG52" i="6"/>
  <c r="AQ52" i="6"/>
  <c r="AG54" i="6"/>
  <c r="AQ54" i="6"/>
  <c r="AG56" i="6"/>
  <c r="AQ56" i="6"/>
  <c r="AG60" i="6"/>
  <c r="AQ60" i="6"/>
  <c r="AG23" i="6"/>
  <c r="AQ23" i="6"/>
  <c r="AG19" i="6"/>
  <c r="AQ19" i="6"/>
  <c r="AB69" i="6"/>
  <c r="AG24" i="6"/>
  <c r="AE31" i="6"/>
  <c r="AQ31" i="6" s="1"/>
  <c r="Z69" i="6"/>
  <c r="AD26" i="6"/>
  <c r="AD34" i="6" s="1"/>
  <c r="AD35" i="6" s="1"/>
  <c r="Y69" i="6"/>
  <c r="AG51" i="6"/>
  <c r="AC67" i="6"/>
  <c r="AD67" i="6"/>
  <c r="AC26" i="6"/>
  <c r="AC34" i="6" s="1"/>
  <c r="AC35" i="6" s="1"/>
  <c r="AF21" i="6"/>
  <c r="AG21" i="6" s="1"/>
  <c r="AE43" i="6"/>
  <c r="AE18" i="6"/>
  <c r="AF67" i="6"/>
  <c r="AA69" i="6"/>
  <c r="AA34" i="6"/>
  <c r="AA35" i="6" s="1"/>
  <c r="A113" i="32"/>
  <c r="F113" i="32" s="1"/>
  <c r="F114" i="32"/>
  <c r="F46" i="39"/>
  <c r="E46" i="39"/>
  <c r="G46" i="39"/>
  <c r="I46" i="39"/>
  <c r="C47" i="39" s="1"/>
  <c r="A46" i="39"/>
  <c r="B46" i="39" s="1"/>
  <c r="N46" i="39" s="1"/>
  <c r="D46" i="39"/>
  <c r="J46" i="39" s="1"/>
  <c r="K46" i="39" s="1"/>
  <c r="H46" i="39"/>
  <c r="J45" i="39"/>
  <c r="J210" i="72"/>
  <c r="J193" i="72"/>
  <c r="J194" i="72" s="1"/>
  <c r="D210" i="72"/>
  <c r="D193" i="72"/>
  <c r="D194" i="72" s="1"/>
  <c r="E210" i="72"/>
  <c r="E193" i="72"/>
  <c r="E194" i="72" s="1"/>
  <c r="D121" i="7"/>
  <c r="A262" i="7"/>
  <c r="I59" i="7" l="1"/>
  <c r="H59" i="7" s="1"/>
  <c r="J202" i="72"/>
  <c r="B202" i="72"/>
  <c r="E202" i="72"/>
  <c r="D202" i="72"/>
  <c r="B233" i="72"/>
  <c r="C193" i="72"/>
  <c r="C194" i="72" s="1"/>
  <c r="H28" i="7" a="1"/>
  <c r="H28" i="7"/>
  <c r="I41" i="25"/>
  <c r="C33" i="25"/>
  <c r="C35" i="25" s="1"/>
  <c r="C31" i="25"/>
  <c r="E31" i="25"/>
  <c r="E33" i="25"/>
  <c r="E35" i="25" s="1"/>
  <c r="D33" i="25"/>
  <c r="D35" i="25" s="1"/>
  <c r="D31" i="25"/>
  <c r="I41" i="26"/>
  <c r="D50" i="25"/>
  <c r="I42" i="25"/>
  <c r="I48" i="26"/>
  <c r="I42" i="26"/>
  <c r="G31" i="25"/>
  <c r="G33" i="25"/>
  <c r="G35" i="25" s="1"/>
  <c r="I48" i="25"/>
  <c r="F50" i="25"/>
  <c r="F33" i="25"/>
  <c r="F35" i="25" s="1"/>
  <c r="F31" i="25"/>
  <c r="G50" i="25"/>
  <c r="I40" i="25"/>
  <c r="I43" i="25"/>
  <c r="I45" i="25"/>
  <c r="I39" i="25"/>
  <c r="I44" i="25"/>
  <c r="I47" i="25"/>
  <c r="C50" i="25"/>
  <c r="I38" i="25"/>
  <c r="E50" i="25"/>
  <c r="B49" i="36"/>
  <c r="B71" i="36"/>
  <c r="B30" i="36"/>
  <c r="E50" i="26"/>
  <c r="I45" i="26"/>
  <c r="G50" i="26"/>
  <c r="I43" i="26"/>
  <c r="E57" i="26" s="1"/>
  <c r="F50" i="26"/>
  <c r="I46" i="26"/>
  <c r="I44" i="26"/>
  <c r="I38" i="26"/>
  <c r="D50" i="26"/>
  <c r="I47" i="26"/>
  <c r="I49" i="26"/>
  <c r="AG43" i="6"/>
  <c r="AQ43" i="6"/>
  <c r="AG31" i="6"/>
  <c r="AG18" i="6"/>
  <c r="AQ18" i="6"/>
  <c r="AE33" i="6"/>
  <c r="AQ33" i="6" s="1"/>
  <c r="AQ28" i="6" s="1"/>
  <c r="AD69" i="6"/>
  <c r="AC69" i="6"/>
  <c r="AF26" i="6"/>
  <c r="AF34" i="6" s="1"/>
  <c r="AF35" i="6" s="1"/>
  <c r="AE26" i="6"/>
  <c r="G47" i="39"/>
  <c r="I47" i="39"/>
  <c r="C48" i="39" s="1"/>
  <c r="D47" i="39"/>
  <c r="A47" i="39"/>
  <c r="B47" i="39" s="1"/>
  <c r="N47" i="39" s="1"/>
  <c r="F47" i="39"/>
  <c r="H47" i="39"/>
  <c r="E47" i="39"/>
  <c r="K45" i="39"/>
  <c r="A112" i="32"/>
  <c r="F112" i="32" s="1"/>
  <c r="D122" i="7"/>
  <c r="A263" i="7"/>
  <c r="E311" i="7" l="1"/>
  <c r="E318" i="7" s="1"/>
  <c r="C202" i="72"/>
  <c r="E53" i="25"/>
  <c r="E59" i="25" s="1"/>
  <c r="E57" i="25"/>
  <c r="I50" i="25"/>
  <c r="B50" i="36"/>
  <c r="B72" i="36"/>
  <c r="B31" i="36"/>
  <c r="I50" i="26"/>
  <c r="E53" i="26"/>
  <c r="E59" i="26" s="1"/>
  <c r="AG33" i="6"/>
  <c r="AE67" i="6"/>
  <c r="AG26" i="6"/>
  <c r="AE34" i="6"/>
  <c r="AF69" i="6"/>
  <c r="J47" i="39"/>
  <c r="F48" i="39"/>
  <c r="G48" i="39"/>
  <c r="D48" i="39"/>
  <c r="J48" i="39" s="1"/>
  <c r="K48" i="39" s="1"/>
  <c r="A48" i="39"/>
  <c r="B48" i="39" s="1"/>
  <c r="N48" i="39" s="1"/>
  <c r="E48" i="39"/>
  <c r="H48" i="39"/>
  <c r="I48" i="39"/>
  <c r="C49" i="39" s="1"/>
  <c r="A111" i="32"/>
  <c r="F111" i="32" s="1"/>
  <c r="D123" i="7"/>
  <c r="A264" i="7"/>
  <c r="H92" i="7" l="1"/>
  <c r="I88" i="7"/>
  <c r="F311" i="7" s="1"/>
  <c r="H311" i="7" s="1"/>
  <c r="I311" i="7" s="1"/>
  <c r="B51" i="36"/>
  <c r="B32" i="36"/>
  <c r="B73" i="36"/>
  <c r="AG34" i="6"/>
  <c r="AE69" i="6"/>
  <c r="AG67" i="6"/>
  <c r="AE35" i="6"/>
  <c r="A110" i="32"/>
  <c r="F49" i="39"/>
  <c r="I49" i="39"/>
  <c r="C50" i="39" s="1"/>
  <c r="G49" i="39"/>
  <c r="A49" i="39"/>
  <c r="B49" i="39" s="1"/>
  <c r="N49" i="39" s="1"/>
  <c r="D49" i="39"/>
  <c r="J49" i="39" s="1"/>
  <c r="K49" i="39" s="1"/>
  <c r="H49" i="39"/>
  <c r="E49" i="39"/>
  <c r="K47" i="39"/>
  <c r="D127" i="7"/>
  <c r="A265" i="7"/>
  <c r="H318" i="7" l="1"/>
  <c r="H93" i="7" s="1"/>
  <c r="H88" i="7"/>
  <c r="H82" i="8" s="1"/>
  <c r="H85" i="8" s="1"/>
  <c r="B52" i="36"/>
  <c r="B74" i="36"/>
  <c r="B88" i="36" s="1"/>
  <c r="AG69" i="6"/>
  <c r="D50" i="39"/>
  <c r="J50" i="39" s="1"/>
  <c r="K50" i="39" s="1"/>
  <c r="E50" i="39"/>
  <c r="G50" i="39"/>
  <c r="A50" i="39"/>
  <c r="B50" i="39" s="1"/>
  <c r="N50" i="39" s="1"/>
  <c r="F50" i="39"/>
  <c r="H50" i="39"/>
  <c r="I50" i="39"/>
  <c r="C51" i="39" s="1"/>
  <c r="A109" i="32"/>
  <c r="F110" i="32"/>
  <c r="A36" i="12" l="1"/>
  <c r="B36" i="12" s="1"/>
  <c r="A60" i="13"/>
  <c r="B60" i="13" s="1"/>
  <c r="H90" i="7" a="1"/>
  <c r="C202" i="7"/>
  <c r="I225" i="7" s="1"/>
  <c r="C203" i="7"/>
  <c r="I226" i="7" s="1"/>
  <c r="C201" i="7"/>
  <c r="I224" i="7" s="1"/>
  <c r="C200" i="7"/>
  <c r="I223" i="7" s="1"/>
  <c r="C191" i="7"/>
  <c r="I214" i="7" s="1"/>
  <c r="C186" i="7"/>
  <c r="C188" i="7"/>
  <c r="I211" i="7" s="1"/>
  <c r="C189" i="7"/>
  <c r="I212" i="7" s="1"/>
  <c r="C192" i="7"/>
  <c r="I215" i="7" s="1"/>
  <c r="C205" i="7"/>
  <c r="I228" i="7" s="1"/>
  <c r="C193" i="7"/>
  <c r="I216" i="7" s="1"/>
  <c r="V63" i="72"/>
  <c r="W63" i="72" s="1"/>
  <c r="C197" i="7"/>
  <c r="I220" i="7" s="1"/>
  <c r="C187" i="7"/>
  <c r="I210" i="7" s="1"/>
  <c r="C195" i="7"/>
  <c r="I218" i="7" s="1"/>
  <c r="C190" i="7"/>
  <c r="I213" i="7" s="1"/>
  <c r="C199" i="7"/>
  <c r="I222" i="7" s="1"/>
  <c r="C196" i="7"/>
  <c r="I219" i="7" s="1"/>
  <c r="C198" i="7"/>
  <c r="I221" i="7" s="1"/>
  <c r="C194" i="7"/>
  <c r="I217" i="7" s="1"/>
  <c r="H90" i="7"/>
  <c r="G159" i="7" s="1"/>
  <c r="C204" i="7"/>
  <c r="I227" i="7" s="1"/>
  <c r="A108" i="32"/>
  <c r="D51" i="39"/>
  <c r="J51" i="39" s="1"/>
  <c r="K51" i="39" s="1"/>
  <c r="G51" i="39"/>
  <c r="H51" i="39"/>
  <c r="E51" i="39"/>
  <c r="I51" i="39"/>
  <c r="C52" i="39" s="1"/>
  <c r="F51" i="39"/>
  <c r="A51" i="39"/>
  <c r="B51" i="39" s="1"/>
  <c r="N51" i="39" s="1"/>
  <c r="F109" i="32"/>
  <c r="I209" i="7" l="1"/>
  <c r="I229" i="7" s="1"/>
  <c r="C206" i="7"/>
  <c r="G177" i="7"/>
  <c r="G164" i="7"/>
  <c r="H96" i="7"/>
  <c r="H102" i="7" s="1"/>
  <c r="H125" i="7" s="1"/>
  <c r="G168" i="7"/>
  <c r="G170" i="7"/>
  <c r="G160" i="7"/>
  <c r="G176" i="7"/>
  <c r="G179" i="7"/>
  <c r="G174" i="7"/>
  <c r="G162" i="7"/>
  <c r="G172" i="7"/>
  <c r="G163" i="7"/>
  <c r="G171" i="7"/>
  <c r="G173" i="7"/>
  <c r="G178" i="7"/>
  <c r="G175" i="7"/>
  <c r="G165" i="7"/>
  <c r="G166" i="7"/>
  <c r="G167" i="7"/>
  <c r="G169" i="7"/>
  <c r="G161" i="7"/>
  <c r="F52" i="39"/>
  <c r="G52" i="39"/>
  <c r="E52" i="39"/>
  <c r="D52" i="39"/>
  <c r="J52" i="39" s="1"/>
  <c r="K52" i="39" s="1"/>
  <c r="H52" i="39"/>
  <c r="I52" i="39"/>
  <c r="C53" i="39" s="1"/>
  <c r="A52" i="39"/>
  <c r="B52" i="39" s="1"/>
  <c r="N52" i="39" s="1"/>
  <c r="A107" i="32"/>
  <c r="F107" i="32" s="1"/>
  <c r="F108" i="32"/>
  <c r="H130" i="7" l="1"/>
  <c r="H252" i="7"/>
  <c r="H268" i="7" s="1"/>
  <c r="G180" i="7"/>
  <c r="G181" i="7" s="1"/>
  <c r="H53" i="39"/>
  <c r="A53" i="39"/>
  <c r="B53" i="39" s="1"/>
  <c r="N53" i="39" s="1"/>
  <c r="G53" i="39"/>
  <c r="E53" i="39"/>
  <c r="I53" i="39"/>
  <c r="C54" i="39" s="1"/>
  <c r="D53" i="39"/>
  <c r="J53" i="39" s="1"/>
  <c r="K53" i="39" s="1"/>
  <c r="F53" i="39"/>
  <c r="A106" i="32"/>
  <c r="A105" i="32" l="1"/>
  <c r="D54" i="39"/>
  <c r="J54" i="39" s="1"/>
  <c r="K54" i="39" s="1"/>
  <c r="E54" i="39"/>
  <c r="G54" i="39"/>
  <c r="I54" i="39"/>
  <c r="C55" i="39" s="1"/>
  <c r="F54" i="39"/>
  <c r="A54" i="39"/>
  <c r="B54" i="39" s="1"/>
  <c r="N54" i="39" s="1"/>
  <c r="H54" i="39"/>
  <c r="F106" i="32"/>
  <c r="A104" i="32" l="1"/>
  <c r="F104" i="32" s="1"/>
  <c r="A55" i="39"/>
  <c r="B55" i="39" s="1"/>
  <c r="N55" i="39" s="1"/>
  <c r="I55" i="39"/>
  <c r="C56" i="39" s="1"/>
  <c r="E55" i="39"/>
  <c r="G55" i="39"/>
  <c r="D55" i="39"/>
  <c r="J55" i="39" s="1"/>
  <c r="K55" i="39" s="1"/>
  <c r="F55" i="39"/>
  <c r="H55" i="39"/>
  <c r="F105" i="32"/>
  <c r="H56" i="39" l="1"/>
  <c r="A56" i="39"/>
  <c r="B56" i="39" s="1"/>
  <c r="N56" i="39" s="1"/>
  <c r="E56" i="39"/>
  <c r="I56" i="39"/>
  <c r="C57" i="39" s="1"/>
  <c r="D56" i="39"/>
  <c r="J56" i="39" s="1"/>
  <c r="K56" i="39" s="1"/>
  <c r="F56" i="39"/>
  <c r="G56" i="39"/>
  <c r="F102" i="32" l="1"/>
  <c r="G57" i="39"/>
  <c r="F57" i="39"/>
  <c r="H57" i="39"/>
  <c r="E57" i="39"/>
  <c r="A57" i="39"/>
  <c r="B57" i="39" s="1"/>
  <c r="N57" i="39" s="1"/>
  <c r="D57" i="39"/>
  <c r="J57" i="39" s="1"/>
  <c r="K57" i="39" s="1"/>
  <c r="I57" i="39"/>
  <c r="C58" i="39" s="1"/>
  <c r="F103" i="32"/>
  <c r="A58" i="39" l="1"/>
  <c r="B58" i="39" s="1"/>
  <c r="N58" i="39" s="1"/>
  <c r="E58" i="39"/>
  <c r="H58" i="39"/>
  <c r="I58" i="39"/>
  <c r="C59" i="39" s="1"/>
  <c r="D58" i="39"/>
  <c r="J58" i="39" s="1"/>
  <c r="K58" i="39" s="1"/>
  <c r="F58" i="39"/>
  <c r="G58" i="39"/>
  <c r="F100" i="32" l="1"/>
  <c r="I59" i="39"/>
  <c r="C60" i="39" s="1"/>
  <c r="D59" i="39"/>
  <c r="J59" i="39" s="1"/>
  <c r="K59" i="39" s="1"/>
  <c r="F59" i="39"/>
  <c r="H59" i="39"/>
  <c r="E59" i="39"/>
  <c r="A59" i="39"/>
  <c r="B59" i="39" s="1"/>
  <c r="N59" i="39" s="1"/>
  <c r="G59" i="39"/>
  <c r="F101" i="32"/>
  <c r="A60" i="39" l="1"/>
  <c r="B60" i="39" s="1"/>
  <c r="N60" i="39" s="1"/>
  <c r="E60" i="39"/>
  <c r="G60" i="39"/>
  <c r="D60" i="39"/>
  <c r="J60" i="39" s="1"/>
  <c r="K60" i="39" s="1"/>
  <c r="F60" i="39"/>
  <c r="H60" i="39"/>
  <c r="I60" i="39"/>
  <c r="C61" i="39" s="1"/>
  <c r="F99" i="32"/>
  <c r="I61" i="39" l="1"/>
  <c r="C62" i="39" s="1"/>
  <c r="H61" i="39"/>
  <c r="A61" i="39"/>
  <c r="B61" i="39" s="1"/>
  <c r="N61" i="39" s="1"/>
  <c r="G61" i="39"/>
  <c r="D61" i="39"/>
  <c r="J61" i="39" s="1"/>
  <c r="K61" i="39" s="1"/>
  <c r="F61" i="39"/>
  <c r="E61" i="39"/>
  <c r="F98" i="32"/>
  <c r="A62" i="39" l="1"/>
  <c r="B62" i="39" s="1"/>
  <c r="N62" i="39" s="1"/>
  <c r="E62" i="39"/>
  <c r="I62" i="39"/>
  <c r="C63" i="39" s="1"/>
  <c r="G62" i="39"/>
  <c r="D62" i="39"/>
  <c r="J62" i="39" s="1"/>
  <c r="K62" i="39" s="1"/>
  <c r="H62" i="39"/>
  <c r="F62" i="39"/>
  <c r="D63" i="39" l="1"/>
  <c r="J63" i="39" s="1"/>
  <c r="K63" i="39" s="1"/>
  <c r="I63" i="39"/>
  <c r="C64" i="39" s="1"/>
  <c r="E63" i="39"/>
  <c r="A63" i="39"/>
  <c r="B63" i="39" s="1"/>
  <c r="N63" i="39" s="1"/>
  <c r="G63" i="39"/>
  <c r="H63" i="39"/>
  <c r="F63" i="39"/>
  <c r="F97" i="32"/>
  <c r="A64" i="39" l="1"/>
  <c r="B64" i="39" s="1"/>
  <c r="N64" i="39" s="1"/>
  <c r="E64" i="39"/>
  <c r="G64" i="39"/>
  <c r="I64" i="39"/>
  <c r="C65" i="39" s="1"/>
  <c r="D64" i="39"/>
  <c r="J64" i="39" s="1"/>
  <c r="K64" i="39" s="1"/>
  <c r="F64" i="39"/>
  <c r="H64" i="39"/>
  <c r="F96" i="32"/>
  <c r="G65" i="39" l="1"/>
  <c r="H65" i="39"/>
  <c r="E65" i="39"/>
  <c r="A65" i="39"/>
  <c r="B65" i="39" s="1"/>
  <c r="N65" i="39" s="1"/>
  <c r="D65" i="39"/>
  <c r="J65" i="39" s="1"/>
  <c r="K65" i="39" s="1"/>
  <c r="F65" i="39"/>
  <c r="I65" i="39"/>
  <c r="C66" i="39" s="1"/>
  <c r="F95" i="32"/>
  <c r="A66" i="39" l="1"/>
  <c r="B66" i="39" s="1"/>
  <c r="N66" i="39" s="1"/>
  <c r="E66" i="39"/>
  <c r="F66" i="39"/>
  <c r="H66" i="39"/>
  <c r="G66" i="39"/>
  <c r="D66" i="39"/>
  <c r="J66" i="39" s="1"/>
  <c r="K66" i="39" s="1"/>
  <c r="I66" i="39"/>
  <c r="C67" i="39" s="1"/>
  <c r="F94" i="32"/>
  <c r="I67" i="39" l="1"/>
  <c r="C68" i="39" s="1"/>
  <c r="H67" i="39"/>
  <c r="D67" i="39"/>
  <c r="J67" i="39" s="1"/>
  <c r="K67" i="39" s="1"/>
  <c r="F67" i="39"/>
  <c r="E67" i="39"/>
  <c r="A67" i="39"/>
  <c r="B67" i="39" s="1"/>
  <c r="N67" i="39" s="1"/>
  <c r="G67" i="39"/>
  <c r="F93" i="32"/>
  <c r="F92" i="32" l="1"/>
  <c r="F91" i="32"/>
  <c r="H68" i="39"/>
  <c r="A68" i="39"/>
  <c r="B68" i="39" s="1"/>
  <c r="N68" i="39" s="1"/>
  <c r="E68" i="39"/>
  <c r="G68" i="39"/>
  <c r="D68" i="39"/>
  <c r="J68" i="39" s="1"/>
  <c r="K68" i="39" s="1"/>
  <c r="F68" i="39"/>
  <c r="I68" i="39"/>
  <c r="C69" i="39" s="1"/>
  <c r="D69" i="39" l="1"/>
  <c r="J69" i="39" s="1"/>
  <c r="K69" i="39" s="1"/>
  <c r="I69" i="39"/>
  <c r="C70" i="39" s="1"/>
  <c r="H69" i="39"/>
  <c r="A69" i="39"/>
  <c r="B69" i="39" s="1"/>
  <c r="N69" i="39" s="1"/>
  <c r="G69" i="39"/>
  <c r="F69" i="39"/>
  <c r="E69" i="39"/>
  <c r="F90" i="32"/>
  <c r="F120" i="32" s="1"/>
  <c r="E31" i="32"/>
  <c r="A70" i="39" l="1"/>
  <c r="B70" i="39" s="1"/>
  <c r="N70" i="39" s="1"/>
  <c r="E70" i="39"/>
  <c r="I70" i="39"/>
  <c r="C71" i="39" s="1"/>
  <c r="G70" i="39"/>
  <c r="D70" i="39"/>
  <c r="J70" i="39" s="1"/>
  <c r="K70" i="39" s="1"/>
  <c r="H70" i="39"/>
  <c r="F70" i="39"/>
  <c r="E41" i="32"/>
  <c r="C79" i="32" s="1"/>
  <c r="B49" i="32"/>
  <c r="D49" i="32"/>
  <c r="C90" i="32"/>
  <c r="G90" i="32" l="1"/>
  <c r="I71" i="39"/>
  <c r="C72" i="39" s="1"/>
  <c r="F71" i="39"/>
  <c r="E71" i="39"/>
  <c r="A71" i="39"/>
  <c r="B71" i="39" s="1"/>
  <c r="N71" i="39" s="1"/>
  <c r="G71" i="39"/>
  <c r="H71" i="39"/>
  <c r="D71" i="39"/>
  <c r="J71" i="39" s="1"/>
  <c r="K71" i="39" s="1"/>
  <c r="C49" i="32"/>
  <c r="H72" i="39" l="1"/>
  <c r="A72" i="39"/>
  <c r="B72" i="39" s="1"/>
  <c r="N72" i="39" s="1"/>
  <c r="E72" i="39"/>
  <c r="I72" i="39"/>
  <c r="C73" i="39" s="1"/>
  <c r="D72" i="39"/>
  <c r="J72" i="39" s="1"/>
  <c r="K72" i="39" s="1"/>
  <c r="F72" i="39"/>
  <c r="G72" i="39"/>
  <c r="E43" i="32"/>
  <c r="C81" i="32" s="1"/>
  <c r="C82" i="32" s="1"/>
  <c r="C83" i="32" s="1"/>
  <c r="D90" i="32"/>
  <c r="G91" i="32"/>
  <c r="D91" i="32" s="1"/>
  <c r="E49" i="32"/>
  <c r="G73" i="39" l="1"/>
  <c r="F73" i="39"/>
  <c r="H73" i="39"/>
  <c r="E73" i="39"/>
  <c r="A73" i="39"/>
  <c r="B73" i="39" s="1"/>
  <c r="N73" i="39" s="1"/>
  <c r="D73" i="39"/>
  <c r="J73" i="39" s="1"/>
  <c r="K73" i="39" s="1"/>
  <c r="I73" i="39"/>
  <c r="C74" i="39" s="1"/>
  <c r="B50" i="32"/>
  <c r="G92" i="32"/>
  <c r="C91" i="32"/>
  <c r="C92" i="32" l="1"/>
  <c r="C50" i="32"/>
  <c r="D50" i="32" s="1"/>
  <c r="A74" i="39"/>
  <c r="B74" i="39" s="1"/>
  <c r="N74" i="39" s="1"/>
  <c r="E74" i="39"/>
  <c r="F74" i="39"/>
  <c r="H74" i="39"/>
  <c r="I74" i="39"/>
  <c r="C75" i="39" s="1"/>
  <c r="D74" i="39"/>
  <c r="J74" i="39" s="1"/>
  <c r="K74" i="39" s="1"/>
  <c r="G74" i="39"/>
  <c r="D92" i="32"/>
  <c r="G93" i="32"/>
  <c r="C93" i="32" l="1"/>
  <c r="D75" i="39"/>
  <c r="J75" i="39" s="1"/>
  <c r="K75" i="39" s="1"/>
  <c r="I75" i="39"/>
  <c r="C76" i="39" s="1"/>
  <c r="H75" i="39"/>
  <c r="F75" i="39"/>
  <c r="E75" i="39"/>
  <c r="A75" i="39"/>
  <c r="B75" i="39" s="1"/>
  <c r="N75" i="39" s="1"/>
  <c r="G75" i="39"/>
  <c r="D93" i="32"/>
  <c r="G94" i="32"/>
  <c r="E50" i="32"/>
  <c r="B51" i="32" s="1"/>
  <c r="C94" i="32" l="1"/>
  <c r="C51" i="32"/>
  <c r="D51" i="32" s="1"/>
  <c r="E51" i="32" s="1"/>
  <c r="B52" i="32" s="1"/>
  <c r="H76" i="39"/>
  <c r="A76" i="39"/>
  <c r="B76" i="39" s="1"/>
  <c r="N76" i="39" s="1"/>
  <c r="E76" i="39"/>
  <c r="D76" i="39"/>
  <c r="J76" i="39" s="1"/>
  <c r="K76" i="39" s="1"/>
  <c r="F76" i="39"/>
  <c r="G76" i="39"/>
  <c r="I76" i="39"/>
  <c r="C77" i="39" s="1"/>
  <c r="D94" i="32"/>
  <c r="G95" i="32"/>
  <c r="C95" i="32" l="1"/>
  <c r="C52" i="32"/>
  <c r="D52" i="32" s="1"/>
  <c r="I77" i="39"/>
  <c r="C78" i="39" s="1"/>
  <c r="F77" i="39"/>
  <c r="A77" i="39"/>
  <c r="B77" i="39" s="1"/>
  <c r="N77" i="39" s="1"/>
  <c r="G77" i="39"/>
  <c r="D77" i="39"/>
  <c r="J77" i="39" s="1"/>
  <c r="K77" i="39" s="1"/>
  <c r="E77" i="39"/>
  <c r="H77" i="39"/>
  <c r="D95" i="32"/>
  <c r="G96" i="32"/>
  <c r="C96" i="32" l="1"/>
  <c r="D96" i="32"/>
  <c r="G97" i="32"/>
  <c r="H78" i="39"/>
  <c r="A78" i="39"/>
  <c r="B78" i="39" s="1"/>
  <c r="N78" i="39" s="1"/>
  <c r="E78" i="39"/>
  <c r="I78" i="39"/>
  <c r="C79" i="39" s="1"/>
  <c r="G78" i="39"/>
  <c r="D78" i="39"/>
  <c r="J78" i="39" s="1"/>
  <c r="K78" i="39" s="1"/>
  <c r="F78" i="39"/>
  <c r="E52" i="32"/>
  <c r="B53" i="32" s="1"/>
  <c r="C97" i="32" l="1"/>
  <c r="G79" i="39"/>
  <c r="H79" i="39"/>
  <c r="E79" i="39"/>
  <c r="I79" i="39"/>
  <c r="C80" i="39" s="1"/>
  <c r="A79" i="39"/>
  <c r="B79" i="39" s="1"/>
  <c r="N79" i="39" s="1"/>
  <c r="F79" i="39"/>
  <c r="D79" i="39"/>
  <c r="J79" i="39" s="1"/>
  <c r="K79" i="39" s="1"/>
  <c r="D97" i="32"/>
  <c r="C98" i="32" s="1"/>
  <c r="G98" i="32"/>
  <c r="C53" i="32"/>
  <c r="D53" i="32" s="1"/>
  <c r="E53" i="32" l="1"/>
  <c r="B54" i="32" s="1"/>
  <c r="A80" i="39"/>
  <c r="B80" i="39" s="1"/>
  <c r="N80" i="39" s="1"/>
  <c r="E80" i="39"/>
  <c r="G80" i="39"/>
  <c r="I80" i="39"/>
  <c r="C81" i="39" s="1"/>
  <c r="F80" i="39"/>
  <c r="H80" i="39"/>
  <c r="D80" i="39"/>
  <c r="J80" i="39" s="1"/>
  <c r="K80" i="39" s="1"/>
  <c r="D98" i="32"/>
  <c r="C99" i="32" s="1"/>
  <c r="G99" i="32"/>
  <c r="I81" i="39" l="1"/>
  <c r="C82" i="39" s="1"/>
  <c r="F81" i="39"/>
  <c r="H81" i="39"/>
  <c r="E81" i="39"/>
  <c r="A81" i="39"/>
  <c r="B81" i="39" s="1"/>
  <c r="N81" i="39" s="1"/>
  <c r="G81" i="39"/>
  <c r="D81" i="39"/>
  <c r="J81" i="39" s="1"/>
  <c r="K81" i="39" s="1"/>
  <c r="C54" i="32"/>
  <c r="D99" i="32"/>
  <c r="C100" i="32" s="1"/>
  <c r="G100" i="32"/>
  <c r="D100" i="32" l="1"/>
  <c r="C101" i="32" s="1"/>
  <c r="G101" i="32"/>
  <c r="D54" i="32"/>
  <c r="E54" i="32" s="1"/>
  <c r="B55" i="32" s="1"/>
  <c r="A82" i="39"/>
  <c r="B82" i="39" s="1"/>
  <c r="N82" i="39" s="1"/>
  <c r="E82" i="39"/>
  <c r="F82" i="39"/>
  <c r="H82" i="39"/>
  <c r="I82" i="39"/>
  <c r="C83" i="39" s="1"/>
  <c r="D82" i="39"/>
  <c r="J82" i="39" s="1"/>
  <c r="K82" i="39" s="1"/>
  <c r="G82" i="39"/>
  <c r="C55" i="32" l="1"/>
  <c r="D55" i="32" s="1"/>
  <c r="E55" i="32" s="1"/>
  <c r="B56" i="32" s="1"/>
  <c r="D101" i="32"/>
  <c r="C102" i="32" s="1"/>
  <c r="G102" i="32"/>
  <c r="I83" i="39"/>
  <c r="C84" i="39" s="1"/>
  <c r="F83" i="39"/>
  <c r="D83" i="39"/>
  <c r="J83" i="39" s="1"/>
  <c r="K83" i="39" s="1"/>
  <c r="H83" i="39"/>
  <c r="E83" i="39"/>
  <c r="A83" i="39"/>
  <c r="B83" i="39" s="1"/>
  <c r="N83" i="39" s="1"/>
  <c r="G83" i="39"/>
  <c r="C56" i="32" l="1"/>
  <c r="D56" i="32" s="1"/>
  <c r="D102" i="32"/>
  <c r="C103" i="32" s="1"/>
  <c r="G103" i="32"/>
  <c r="A84" i="39"/>
  <c r="B84" i="39" s="1"/>
  <c r="N84" i="39" s="1"/>
  <c r="E84" i="39"/>
  <c r="D84" i="39"/>
  <c r="J84" i="39" s="1"/>
  <c r="K84" i="39" s="1"/>
  <c r="F84" i="39"/>
  <c r="H84" i="39"/>
  <c r="G84" i="39"/>
  <c r="I84" i="39"/>
  <c r="C85" i="39" s="1"/>
  <c r="D103" i="32" l="1"/>
  <c r="C104" i="32" s="1"/>
  <c r="G104" i="32"/>
  <c r="I85" i="39"/>
  <c r="C86" i="39" s="1"/>
  <c r="F85" i="39"/>
  <c r="A85" i="39"/>
  <c r="B85" i="39" s="1"/>
  <c r="N85" i="39" s="1"/>
  <c r="G85" i="39"/>
  <c r="D85" i="39"/>
  <c r="J85" i="39" s="1"/>
  <c r="K85" i="39" s="1"/>
  <c r="H85" i="39"/>
  <c r="E85" i="39"/>
  <c r="E56" i="32"/>
  <c r="B57" i="32" s="1"/>
  <c r="C57" i="32" l="1"/>
  <c r="D57" i="32" s="1"/>
  <c r="E57" i="32" s="1"/>
  <c r="B58" i="32" s="1"/>
  <c r="D104" i="32"/>
  <c r="C105" i="32" s="1"/>
  <c r="G105" i="32"/>
  <c r="A86" i="39"/>
  <c r="B86" i="39" s="1"/>
  <c r="N86" i="39" s="1"/>
  <c r="E86" i="39"/>
  <c r="G86" i="39"/>
  <c r="I86" i="39"/>
  <c r="C87" i="39" s="1"/>
  <c r="D86" i="39"/>
  <c r="J86" i="39" s="1"/>
  <c r="K86" i="39" s="1"/>
  <c r="F86" i="39"/>
  <c r="H86" i="39"/>
  <c r="C58" i="32" l="1"/>
  <c r="D105" i="32"/>
  <c r="C106" i="32" s="1"/>
  <c r="G106" i="32"/>
  <c r="G87" i="39"/>
  <c r="F87" i="39"/>
  <c r="E87" i="39"/>
  <c r="I87" i="39"/>
  <c r="C88" i="39" s="1"/>
  <c r="A87" i="39"/>
  <c r="B87" i="39" s="1"/>
  <c r="N87" i="39" s="1"/>
  <c r="D87" i="39"/>
  <c r="J87" i="39" s="1"/>
  <c r="K87" i="39" s="1"/>
  <c r="H87" i="39"/>
  <c r="D58" i="32" l="1"/>
  <c r="E58" i="32" s="1"/>
  <c r="B59" i="32" s="1"/>
  <c r="D106" i="32"/>
  <c r="C107" i="32" s="1"/>
  <c r="G107" i="32"/>
  <c r="A88" i="39"/>
  <c r="B88" i="39" s="1"/>
  <c r="N88" i="39" s="1"/>
  <c r="E88" i="39"/>
  <c r="I88" i="39"/>
  <c r="C89" i="39" s="1"/>
  <c r="H88" i="39"/>
  <c r="D88" i="39"/>
  <c r="J88" i="39" s="1"/>
  <c r="K88" i="39" s="1"/>
  <c r="F88" i="39"/>
  <c r="G88" i="39"/>
  <c r="C59" i="32" l="1"/>
  <c r="D59" i="32" s="1"/>
  <c r="E59" i="32" s="1"/>
  <c r="B60" i="32" s="1"/>
  <c r="D89" i="39"/>
  <c r="J89" i="39" s="1"/>
  <c r="K89" i="39" s="1"/>
  <c r="I89" i="39"/>
  <c r="C90" i="39" s="1"/>
  <c r="H89" i="39"/>
  <c r="E89" i="39"/>
  <c r="A89" i="39"/>
  <c r="B89" i="39" s="1"/>
  <c r="N89" i="39" s="1"/>
  <c r="G89" i="39"/>
  <c r="F89" i="39"/>
  <c r="D107" i="32"/>
  <c r="C108" i="32" s="1"/>
  <c r="G108" i="32"/>
  <c r="C60" i="32" l="1"/>
  <c r="D108" i="32"/>
  <c r="C109" i="32" s="1"/>
  <c r="G109" i="32"/>
  <c r="H90" i="39"/>
  <c r="A90" i="39"/>
  <c r="B90" i="39" s="1"/>
  <c r="N90" i="39" s="1"/>
  <c r="E90" i="39"/>
  <c r="F90" i="39"/>
  <c r="I90" i="39"/>
  <c r="C91" i="39" s="1"/>
  <c r="D90" i="39"/>
  <c r="J90" i="39" s="1"/>
  <c r="K90" i="39" s="1"/>
  <c r="G90" i="39"/>
  <c r="D109" i="32" l="1"/>
  <c r="C110" i="32" s="1"/>
  <c r="G110" i="32"/>
  <c r="D60" i="32"/>
  <c r="E60" i="32" s="1"/>
  <c r="B61" i="32" s="1"/>
  <c r="D91" i="39"/>
  <c r="J91" i="39" s="1"/>
  <c r="K91" i="39" s="1"/>
  <c r="I91" i="39"/>
  <c r="C92" i="39" s="1"/>
  <c r="F91" i="39"/>
  <c r="H91" i="39"/>
  <c r="E91" i="39"/>
  <c r="G91" i="39"/>
  <c r="A91" i="39"/>
  <c r="B91" i="39" s="1"/>
  <c r="N91" i="39" s="1"/>
  <c r="C61" i="32" l="1"/>
  <c r="A92" i="39"/>
  <c r="B92" i="39" s="1"/>
  <c r="N92" i="39" s="1"/>
  <c r="E92" i="39"/>
  <c r="D92" i="39"/>
  <c r="J92" i="39" s="1"/>
  <c r="K92" i="39" s="1"/>
  <c r="G92" i="39"/>
  <c r="F92" i="39"/>
  <c r="H92" i="39"/>
  <c r="I92" i="39"/>
  <c r="C93" i="39" s="1"/>
  <c r="D110" i="32"/>
  <c r="C111" i="32" s="1"/>
  <c r="G111" i="32"/>
  <c r="D111" i="32" l="1"/>
  <c r="C112" i="32" s="1"/>
  <c r="G112" i="32"/>
  <c r="D61" i="32"/>
  <c r="E61" i="32" s="1"/>
  <c r="B62" i="32" s="1"/>
  <c r="D93" i="39"/>
  <c r="J93" i="39" s="1"/>
  <c r="K93" i="39" s="1"/>
  <c r="G93" i="39"/>
  <c r="H93" i="39"/>
  <c r="I93" i="39"/>
  <c r="C94" i="39" s="1"/>
  <c r="A93" i="39"/>
  <c r="B93" i="39" s="1"/>
  <c r="N93" i="39" s="1"/>
  <c r="F93" i="39"/>
  <c r="E93" i="39"/>
  <c r="C62" i="32" l="1"/>
  <c r="D62" i="32" s="1"/>
  <c r="D112" i="32"/>
  <c r="C113" i="32" s="1"/>
  <c r="G113" i="32"/>
  <c r="H94" i="39"/>
  <c r="A94" i="39"/>
  <c r="B94" i="39" s="1"/>
  <c r="N94" i="39" s="1"/>
  <c r="E94" i="39"/>
  <c r="G94" i="39"/>
  <c r="I94" i="39"/>
  <c r="C95" i="39" s="1"/>
  <c r="D94" i="39"/>
  <c r="J94" i="39" s="1"/>
  <c r="K94" i="39" s="1"/>
  <c r="F94" i="39"/>
  <c r="D95" i="39" l="1"/>
  <c r="J95" i="39" s="1"/>
  <c r="K95" i="39" s="1"/>
  <c r="G95" i="39"/>
  <c r="E95" i="39"/>
  <c r="I95" i="39"/>
  <c r="C96" i="39" s="1"/>
  <c r="A95" i="39"/>
  <c r="B95" i="39" s="1"/>
  <c r="N95" i="39" s="1"/>
  <c r="H95" i="39"/>
  <c r="F95" i="39"/>
  <c r="D113" i="32"/>
  <c r="C114" i="32" s="1"/>
  <c r="G114" i="32"/>
  <c r="E62" i="32"/>
  <c r="B63" i="32" s="1"/>
  <c r="C63" i="32" l="1"/>
  <c r="D63" i="32" s="1"/>
  <c r="A96" i="39"/>
  <c r="B96" i="39" s="1"/>
  <c r="N96" i="39" s="1"/>
  <c r="E96" i="39"/>
  <c r="G96" i="39"/>
  <c r="I96" i="39"/>
  <c r="C97" i="39" s="1"/>
  <c r="F96" i="39"/>
  <c r="H96" i="39"/>
  <c r="D96" i="39"/>
  <c r="J96" i="39" s="1"/>
  <c r="K96" i="39" s="1"/>
  <c r="D114" i="32"/>
  <c r="C115" i="32" s="1"/>
  <c r="G115" i="32"/>
  <c r="E63" i="32" l="1"/>
  <c r="B64" i="32" s="1"/>
  <c r="C64" i="32" s="1"/>
  <c r="D64" i="32" s="1"/>
  <c r="D115" i="32"/>
  <c r="C116" i="32" s="1"/>
  <c r="G116" i="32"/>
  <c r="D97" i="39"/>
  <c r="J97" i="39" s="1"/>
  <c r="K97" i="39" s="1"/>
  <c r="I97" i="39"/>
  <c r="C98" i="39" s="1"/>
  <c r="H97" i="39"/>
  <c r="E97" i="39"/>
  <c r="A97" i="39"/>
  <c r="B97" i="39" s="1"/>
  <c r="N97" i="39" s="1"/>
  <c r="G97" i="39"/>
  <c r="F97" i="39"/>
  <c r="D116" i="32" l="1"/>
  <c r="C117" i="32" s="1"/>
  <c r="G117" i="32"/>
  <c r="A98" i="39"/>
  <c r="B98" i="39" s="1"/>
  <c r="N98" i="39" s="1"/>
  <c r="E98" i="39"/>
  <c r="H98" i="39"/>
  <c r="I98" i="39"/>
  <c r="C99" i="39" s="1"/>
  <c r="D98" i="39"/>
  <c r="J98" i="39" s="1"/>
  <c r="K98" i="39" s="1"/>
  <c r="G98" i="39"/>
  <c r="F98" i="39"/>
  <c r="E64" i="32"/>
  <c r="B65" i="32" s="1"/>
  <c r="D117" i="32" l="1"/>
  <c r="C118" i="32" s="1"/>
  <c r="G118" i="32"/>
  <c r="C65" i="32"/>
  <c r="H99" i="39"/>
  <c r="D99" i="39"/>
  <c r="J99" i="39" s="1"/>
  <c r="K99" i="39" s="1"/>
  <c r="A99" i="39"/>
  <c r="B99" i="39" s="1"/>
  <c r="N99" i="39" s="1"/>
  <c r="G99" i="39"/>
  <c r="I99" i="39"/>
  <c r="C100" i="39" s="1"/>
  <c r="F99" i="39"/>
  <c r="E99" i="39"/>
  <c r="D65" i="32" l="1"/>
  <c r="E65" i="32" s="1"/>
  <c r="B66" i="32" s="1"/>
  <c r="D118" i="32"/>
  <c r="C119" i="32" s="1"/>
  <c r="G119" i="32"/>
  <c r="I100" i="39"/>
  <c r="C101" i="39" s="1"/>
  <c r="G100" i="39"/>
  <c r="E100" i="39"/>
  <c r="F100" i="39"/>
  <c r="D100" i="39"/>
  <c r="J100" i="39" s="1"/>
  <c r="K100" i="39" s="1"/>
  <c r="A100" i="39"/>
  <c r="B100" i="39" s="1"/>
  <c r="N100" i="39" s="1"/>
  <c r="H100" i="39"/>
  <c r="C66" i="32" l="1"/>
  <c r="D119" i="32"/>
  <c r="C120" i="32" s="1"/>
  <c r="G120" i="32"/>
  <c r="D120" i="32" s="1"/>
  <c r="E101" i="39"/>
  <c r="H101" i="39"/>
  <c r="G101" i="39"/>
  <c r="I101" i="39"/>
  <c r="C102" i="39" s="1"/>
  <c r="A101" i="39"/>
  <c r="B101" i="39" s="1"/>
  <c r="N101" i="39" s="1"/>
  <c r="F101" i="39"/>
  <c r="D101" i="39"/>
  <c r="J101" i="39" s="1"/>
  <c r="K101" i="39" s="1"/>
  <c r="D121" i="32" l="1"/>
  <c r="D81" i="32" s="1"/>
  <c r="D82" i="32" s="1"/>
  <c r="D83" i="32" s="1"/>
  <c r="C121" i="32"/>
  <c r="D66" i="32"/>
  <c r="E66" i="32" s="1"/>
  <c r="B67" i="32" s="1"/>
  <c r="G102" i="39"/>
  <c r="E102" i="39"/>
  <c r="F102" i="39"/>
  <c r="A102" i="39"/>
  <c r="B102" i="39" s="1"/>
  <c r="N102" i="39" s="1"/>
  <c r="D102" i="39"/>
  <c r="J102" i="39" s="1"/>
  <c r="K102" i="39" s="1"/>
  <c r="I102" i="39"/>
  <c r="C103" i="39" s="1"/>
  <c r="H102" i="39"/>
  <c r="C67" i="32" l="1"/>
  <c r="I103" i="39"/>
  <c r="C104" i="39" s="1"/>
  <c r="E103" i="39"/>
  <c r="G103" i="39"/>
  <c r="A103" i="39"/>
  <c r="B103" i="39" s="1"/>
  <c r="N103" i="39" s="1"/>
  <c r="F103" i="39"/>
  <c r="D103" i="39"/>
  <c r="J103" i="39" s="1"/>
  <c r="K103" i="39" s="1"/>
  <c r="H103" i="39"/>
  <c r="D67" i="32" l="1"/>
  <c r="E67" i="32" s="1"/>
  <c r="B68" i="32" s="1"/>
  <c r="C68" i="32" s="1"/>
  <c r="H104" i="39"/>
  <c r="D104" i="39"/>
  <c r="J104" i="39" s="1"/>
  <c r="K104" i="39" s="1"/>
  <c r="F104" i="39"/>
  <c r="I104" i="39"/>
  <c r="C105" i="39" s="1"/>
  <c r="E104" i="39"/>
  <c r="G104" i="39"/>
  <c r="A104" i="39"/>
  <c r="B104" i="39" s="1"/>
  <c r="N104" i="39" s="1"/>
  <c r="D68" i="32" l="1"/>
  <c r="E68" i="32" s="1"/>
  <c r="B69" i="32" s="1"/>
  <c r="G105" i="39"/>
  <c r="H105" i="39"/>
  <c r="F105" i="39"/>
  <c r="A105" i="39"/>
  <c r="B105" i="39" s="1"/>
  <c r="N105" i="39" s="1"/>
  <c r="I105" i="39"/>
  <c r="C106" i="39" s="1"/>
  <c r="E105" i="39"/>
  <c r="D105" i="39"/>
  <c r="J105" i="39" s="1"/>
  <c r="K105" i="39" s="1"/>
  <c r="C69" i="32" l="1"/>
  <c r="I106" i="39"/>
  <c r="C107" i="39" s="1"/>
  <c r="A106" i="39"/>
  <c r="B106" i="39" s="1"/>
  <c r="N106" i="39" s="1"/>
  <c r="F106" i="39"/>
  <c r="H106" i="39"/>
  <c r="D106" i="39"/>
  <c r="J106" i="39" s="1"/>
  <c r="K106" i="39" s="1"/>
  <c r="E106" i="39"/>
  <c r="G106" i="39"/>
  <c r="D69" i="32" l="1"/>
  <c r="E69" i="32" s="1"/>
  <c r="B70" i="32" s="1"/>
  <c r="E107" i="39"/>
  <c r="I107" i="39"/>
  <c r="C108" i="39" s="1"/>
  <c r="F107" i="39"/>
  <c r="D107" i="39"/>
  <c r="J107" i="39" s="1"/>
  <c r="K107" i="39" s="1"/>
  <c r="G107" i="39"/>
  <c r="A107" i="39"/>
  <c r="B107" i="39" s="1"/>
  <c r="N107" i="39" s="1"/>
  <c r="H107" i="39"/>
  <c r="C70" i="32" l="1"/>
  <c r="D70" i="32" s="1"/>
  <c r="G108" i="39"/>
  <c r="H108" i="39"/>
  <c r="F108" i="39"/>
  <c r="D108" i="39"/>
  <c r="J108" i="39" s="1"/>
  <c r="K108" i="39" s="1"/>
  <c r="I108" i="39"/>
  <c r="C109" i="39" s="1"/>
  <c r="A108" i="39"/>
  <c r="B108" i="39" s="1"/>
  <c r="N108" i="39" s="1"/>
  <c r="E108" i="39"/>
  <c r="G109" i="39" l="1"/>
  <c r="F109" i="39"/>
  <c r="A109" i="39"/>
  <c r="B109" i="39" s="1"/>
  <c r="N109" i="39" s="1"/>
  <c r="I109" i="39"/>
  <c r="C110" i="39" s="1"/>
  <c r="D109" i="39"/>
  <c r="J109" i="39" s="1"/>
  <c r="K109" i="39" s="1"/>
  <c r="E109" i="39"/>
  <c r="H109" i="39"/>
  <c r="E70" i="32"/>
  <c r="B71" i="32" s="1"/>
  <c r="C71" i="32" l="1"/>
  <c r="I110" i="39"/>
  <c r="C111" i="39" s="1"/>
  <c r="G110" i="39"/>
  <c r="H110" i="39"/>
  <c r="F110" i="39"/>
  <c r="D110" i="39"/>
  <c r="J110" i="39" s="1"/>
  <c r="K110" i="39" s="1"/>
  <c r="A110" i="39"/>
  <c r="B110" i="39" s="1"/>
  <c r="N110" i="39" s="1"/>
  <c r="E110" i="39"/>
  <c r="I111" i="39" l="1"/>
  <c r="C112" i="39" s="1"/>
  <c r="F111" i="39"/>
  <c r="E111" i="39"/>
  <c r="G111" i="39"/>
  <c r="A111" i="39"/>
  <c r="B111" i="39" s="1"/>
  <c r="N111" i="39" s="1"/>
  <c r="H111" i="39"/>
  <c r="D111" i="39"/>
  <c r="J111" i="39" s="1"/>
  <c r="K111" i="39" s="1"/>
  <c r="D71" i="32"/>
  <c r="E71" i="32" s="1"/>
  <c r="B72" i="32" s="1"/>
  <c r="C72" i="32" l="1"/>
  <c r="D72" i="32" s="1"/>
  <c r="E72" i="32" s="1"/>
  <c r="B73" i="32" s="1"/>
  <c r="F112" i="39"/>
  <c r="G112" i="39"/>
  <c r="H112" i="39"/>
  <c r="D112" i="39"/>
  <c r="J112" i="39" s="1"/>
  <c r="K112" i="39" s="1"/>
  <c r="A112" i="39"/>
  <c r="B112" i="39" s="1"/>
  <c r="N112" i="39" s="1"/>
  <c r="I112" i="39"/>
  <c r="C113" i="39" s="1"/>
  <c r="E112" i="39"/>
  <c r="C73" i="32" l="1"/>
  <c r="C74" i="32" s="1"/>
  <c r="I113" i="39"/>
  <c r="C114" i="39" s="1"/>
  <c r="G113" i="39"/>
  <c r="F113" i="39"/>
  <c r="E113" i="39"/>
  <c r="H113" i="39"/>
  <c r="D113" i="39"/>
  <c r="J113" i="39" s="1"/>
  <c r="K113" i="39" s="1"/>
  <c r="A113" i="39"/>
  <c r="B113" i="39" s="1"/>
  <c r="N113" i="39" s="1"/>
  <c r="H114" i="39" l="1"/>
  <c r="G114" i="39"/>
  <c r="E114" i="39"/>
  <c r="I114" i="39"/>
  <c r="C115" i="39" s="1"/>
  <c r="A114" i="39"/>
  <c r="B114" i="39" s="1"/>
  <c r="N114" i="39" s="1"/>
  <c r="D114" i="39"/>
  <c r="J114" i="39" s="1"/>
  <c r="K114" i="39" s="1"/>
  <c r="F114" i="39"/>
  <c r="D73" i="32"/>
  <c r="E73" i="32" s="1"/>
  <c r="G115" i="39" l="1"/>
  <c r="F115" i="39"/>
  <c r="I115" i="39"/>
  <c r="C116" i="39" s="1"/>
  <c r="D115" i="39"/>
  <c r="J115" i="39" s="1"/>
  <c r="K115" i="39" s="1"/>
  <c r="H115" i="39"/>
  <c r="A115" i="39"/>
  <c r="B115" i="39" s="1"/>
  <c r="N115" i="39" s="1"/>
  <c r="E115" i="39"/>
  <c r="E116" i="39" l="1"/>
  <c r="F116" i="39"/>
  <c r="A116" i="39"/>
  <c r="B116" i="39" s="1"/>
  <c r="N116" i="39" s="1"/>
  <c r="D116" i="39"/>
  <c r="J116" i="39" s="1"/>
  <c r="K116" i="39" s="1"/>
  <c r="G116" i="39"/>
  <c r="I116" i="39"/>
  <c r="C117" i="39" s="1"/>
  <c r="H116" i="39"/>
  <c r="I117" i="39" l="1"/>
  <c r="C118" i="39" s="1"/>
  <c r="F117" i="39"/>
  <c r="H117" i="39"/>
  <c r="A117" i="39"/>
  <c r="B117" i="39" s="1"/>
  <c r="N117" i="39" s="1"/>
  <c r="G117" i="39"/>
  <c r="E117" i="39"/>
  <c r="D117" i="39"/>
  <c r="J117" i="39" s="1"/>
  <c r="K117" i="39" s="1"/>
  <c r="A118" i="39" l="1"/>
  <c r="B118" i="39" s="1"/>
  <c r="N118" i="39" s="1"/>
  <c r="I118" i="39"/>
  <c r="C119" i="39" s="1"/>
  <c r="D118" i="39"/>
  <c r="J118" i="39" s="1"/>
  <c r="K118" i="39" s="1"/>
  <c r="F118" i="39"/>
  <c r="G118" i="39"/>
  <c r="H118" i="39"/>
  <c r="E118" i="39"/>
  <c r="D119" i="39" l="1"/>
  <c r="J119" i="39" s="1"/>
  <c r="K119" i="39" s="1"/>
  <c r="G119" i="39"/>
  <c r="A119" i="39"/>
  <c r="B119" i="39" s="1"/>
  <c r="N119" i="39" s="1"/>
  <c r="H119" i="39"/>
  <c r="E119" i="39"/>
  <c r="I119" i="39"/>
  <c r="C120" i="39" s="1"/>
  <c r="F119" i="39"/>
  <c r="G120" i="39" l="1"/>
  <c r="H120" i="39"/>
  <c r="I120" i="39"/>
  <c r="C121" i="39" s="1"/>
  <c r="D120" i="39"/>
  <c r="J120" i="39" s="1"/>
  <c r="K120" i="39" s="1"/>
  <c r="A120" i="39"/>
  <c r="B120" i="39" s="1"/>
  <c r="N120" i="39" s="1"/>
  <c r="E120" i="39"/>
  <c r="F120" i="39"/>
  <c r="F121" i="39" l="1"/>
  <c r="A121" i="39"/>
  <c r="B121" i="39" s="1"/>
  <c r="N121" i="39" s="1"/>
  <c r="E121" i="39"/>
  <c r="D121" i="39"/>
  <c r="J121" i="39" s="1"/>
  <c r="K121" i="39" s="1"/>
  <c r="G121" i="39"/>
  <c r="I121" i="39"/>
  <c r="C122" i="39" s="1"/>
  <c r="H121" i="39"/>
  <c r="D122" i="39" l="1"/>
  <c r="J122" i="39" s="1"/>
  <c r="K122" i="39" s="1"/>
  <c r="G122" i="39"/>
  <c r="F122" i="39"/>
  <c r="H122" i="39"/>
  <c r="E122" i="39"/>
  <c r="A122" i="39"/>
  <c r="B122" i="39" s="1"/>
  <c r="N122" i="39" s="1"/>
  <c r="I122" i="39"/>
  <c r="C123" i="39" s="1"/>
  <c r="A123" i="39" l="1"/>
  <c r="B123" i="39" s="1"/>
  <c r="N123" i="39" s="1"/>
  <c r="G123" i="39"/>
  <c r="E123" i="39"/>
  <c r="D123" i="39"/>
  <c r="J123" i="39" s="1"/>
  <c r="K123" i="39" s="1"/>
  <c r="H123" i="39"/>
  <c r="I123" i="39"/>
  <c r="C124" i="39" s="1"/>
  <c r="F123" i="39"/>
  <c r="F124" i="39" l="1"/>
  <c r="I124" i="39"/>
  <c r="C125" i="39" s="1"/>
  <c r="D124" i="39"/>
  <c r="J124" i="39" s="1"/>
  <c r="K124" i="39" s="1"/>
  <c r="A124" i="39"/>
  <c r="B124" i="39" s="1"/>
  <c r="N124" i="39" s="1"/>
  <c r="E124" i="39"/>
  <c r="H124" i="39"/>
  <c r="G124" i="39"/>
  <c r="A125" i="39" l="1"/>
  <c r="B125" i="39" s="1"/>
  <c r="N125" i="39" s="1"/>
  <c r="H125" i="39"/>
  <c r="I125" i="39"/>
  <c r="C126" i="39" s="1"/>
  <c r="G125" i="39"/>
  <c r="D125" i="39"/>
  <c r="J125" i="39" s="1"/>
  <c r="K125" i="39" s="1"/>
  <c r="F125" i="39"/>
  <c r="E125" i="39"/>
  <c r="G126" i="39" l="1"/>
  <c r="H126" i="39"/>
  <c r="I126" i="39"/>
  <c r="C127" i="39" s="1"/>
  <c r="F126" i="39"/>
  <c r="D126" i="39"/>
  <c r="J126" i="39" s="1"/>
  <c r="K126" i="39" s="1"/>
  <c r="E126" i="39"/>
  <c r="A126" i="39"/>
  <c r="B126" i="39" s="1"/>
  <c r="N126" i="39" s="1"/>
  <c r="G127" i="39" l="1"/>
  <c r="D127" i="39"/>
  <c r="J127" i="39" s="1"/>
  <c r="K127" i="39" s="1"/>
  <c r="E127" i="39"/>
  <c r="H127" i="39"/>
  <c r="I127" i="39"/>
  <c r="C128" i="39" s="1"/>
  <c r="F127" i="39"/>
  <c r="A127" i="39"/>
  <c r="B127" i="39" s="1"/>
  <c r="N127" i="39" s="1"/>
  <c r="F128" i="39" l="1"/>
  <c r="G128" i="39"/>
  <c r="A128" i="39"/>
  <c r="B128" i="39" s="1"/>
  <c r="N128" i="39" s="1"/>
  <c r="E128" i="39"/>
  <c r="D128" i="39"/>
  <c r="J128" i="39" s="1"/>
  <c r="K128" i="39" s="1"/>
  <c r="I128" i="39"/>
  <c r="C129" i="39" s="1"/>
  <c r="H128" i="39"/>
  <c r="H129" i="39" l="1"/>
  <c r="E129" i="39"/>
  <c r="I129" i="39"/>
  <c r="C130" i="39" s="1"/>
  <c r="G129" i="39"/>
  <c r="D129" i="39"/>
  <c r="J129" i="39" s="1"/>
  <c r="K129" i="39" s="1"/>
  <c r="F129" i="39"/>
  <c r="A129" i="39"/>
  <c r="B129" i="39" s="1"/>
  <c r="N129" i="39" s="1"/>
  <c r="E130" i="39" l="1"/>
  <c r="I130" i="39"/>
  <c r="C131" i="39" s="1"/>
  <c r="A130" i="39"/>
  <c r="B130" i="39" s="1"/>
  <c r="N130" i="39" s="1"/>
  <c r="H130" i="39"/>
  <c r="D130" i="39"/>
  <c r="J130" i="39" s="1"/>
  <c r="K130" i="39" s="1"/>
  <c r="F130" i="39"/>
  <c r="G130" i="39"/>
  <c r="G131" i="39" l="1"/>
  <c r="D131" i="39"/>
  <c r="J131" i="39" s="1"/>
  <c r="K131" i="39" s="1"/>
  <c r="F131" i="39"/>
  <c r="A131" i="39"/>
  <c r="B131" i="39" s="1"/>
  <c r="N131" i="39" s="1"/>
  <c r="I131" i="39"/>
  <c r="C132" i="39" s="1"/>
  <c r="H131" i="39"/>
  <c r="E131" i="39"/>
  <c r="A132" i="39" l="1"/>
  <c r="B132" i="39" s="1"/>
  <c r="N132" i="39" s="1"/>
  <c r="I132" i="39"/>
  <c r="C133" i="39" s="1"/>
  <c r="F132" i="39"/>
  <c r="D132" i="39"/>
  <c r="J132" i="39" s="1"/>
  <c r="K132" i="39" s="1"/>
  <c r="H132" i="39"/>
  <c r="G132" i="39"/>
  <c r="E132" i="39"/>
  <c r="I133" i="39" l="1"/>
  <c r="C134" i="39" s="1"/>
  <c r="F133" i="39"/>
  <c r="G133" i="39"/>
  <c r="E133" i="39"/>
  <c r="D133" i="39"/>
  <c r="J133" i="39" s="1"/>
  <c r="K133" i="39" s="1"/>
  <c r="H133" i="39"/>
  <c r="A133" i="39"/>
  <c r="B133" i="39" s="1"/>
  <c r="N133" i="39" s="1"/>
  <c r="A134" i="39" l="1"/>
  <c r="B134" i="39" s="1"/>
  <c r="N134" i="39" s="1"/>
  <c r="G134" i="39"/>
  <c r="I134" i="39"/>
  <c r="C135" i="39" s="1"/>
  <c r="F134" i="39"/>
  <c r="D134" i="39"/>
  <c r="J134" i="39" s="1"/>
  <c r="K134" i="39" s="1"/>
  <c r="H134" i="39"/>
  <c r="E134" i="39"/>
  <c r="D135" i="39" l="1"/>
  <c r="J135" i="39" s="1"/>
  <c r="K135" i="39" s="1"/>
  <c r="G135" i="39"/>
  <c r="E135" i="39"/>
  <c r="I135" i="39"/>
  <c r="C136" i="39" s="1"/>
  <c r="A135" i="39"/>
  <c r="B135" i="39" s="1"/>
  <c r="N135" i="39" s="1"/>
  <c r="H135" i="39"/>
  <c r="F135" i="39"/>
  <c r="G136" i="39" l="1"/>
  <c r="A136" i="39"/>
  <c r="B136" i="39" s="1"/>
  <c r="N136" i="39" s="1"/>
  <c r="D136" i="39"/>
  <c r="J136" i="39" s="1"/>
  <c r="K136" i="39" s="1"/>
  <c r="H136" i="39"/>
  <c r="I136" i="39"/>
  <c r="C137" i="39" s="1"/>
  <c r="E136" i="39"/>
  <c r="F136" i="39"/>
  <c r="G137" i="39" l="1"/>
  <c r="F137" i="39"/>
  <c r="D137" i="39"/>
  <c r="J137" i="39" s="1"/>
  <c r="K137" i="39" s="1"/>
  <c r="H137" i="39"/>
  <c r="I137" i="39"/>
  <c r="C138" i="39" s="1"/>
  <c r="E137" i="39"/>
  <c r="A137" i="39"/>
  <c r="B137" i="39" s="1"/>
  <c r="N137" i="39" s="1"/>
  <c r="G138" i="39" l="1"/>
  <c r="D138" i="39"/>
  <c r="J138" i="39" s="1"/>
  <c r="K138" i="39" s="1"/>
  <c r="A138" i="39"/>
  <c r="B138" i="39" s="1"/>
  <c r="N138" i="39" s="1"/>
  <c r="F138" i="39"/>
  <c r="E138" i="39"/>
  <c r="I138" i="39"/>
  <c r="C139" i="39" s="1"/>
  <c r="H138" i="39"/>
  <c r="G139" i="39" l="1"/>
  <c r="E139" i="39"/>
  <c r="H139" i="39"/>
  <c r="I139" i="39"/>
  <c r="C140" i="39" s="1"/>
  <c r="F139" i="39"/>
  <c r="D139" i="39"/>
  <c r="J139" i="39" s="1"/>
  <c r="K139" i="39" s="1"/>
  <c r="A139" i="39"/>
  <c r="B139" i="39" s="1"/>
  <c r="N139" i="39" s="1"/>
  <c r="I140" i="39" l="1"/>
  <c r="C141" i="39" s="1"/>
  <c r="D140" i="39"/>
  <c r="J140" i="39" s="1"/>
  <c r="K140" i="39" s="1"/>
  <c r="G140" i="39"/>
  <c r="H140" i="39"/>
  <c r="A140" i="39"/>
  <c r="B140" i="39" s="1"/>
  <c r="N140" i="39" s="1"/>
  <c r="E140" i="39"/>
  <c r="F140" i="39"/>
  <c r="G141" i="39" l="1"/>
  <c r="I141" i="39"/>
  <c r="C142" i="39" s="1"/>
  <c r="F141" i="39"/>
  <c r="D141" i="39"/>
  <c r="J141" i="39" s="1"/>
  <c r="K141" i="39" s="1"/>
  <c r="A141" i="39"/>
  <c r="B141" i="39" s="1"/>
  <c r="N141" i="39" s="1"/>
  <c r="H141" i="39"/>
  <c r="E141" i="39"/>
  <c r="F142" i="39" l="1"/>
  <c r="A142" i="39"/>
  <c r="B142" i="39" s="1"/>
  <c r="N142" i="39" s="1"/>
  <c r="H142" i="39"/>
  <c r="I142" i="39"/>
  <c r="C143" i="39" s="1"/>
  <c r="G142" i="39"/>
  <c r="D142" i="39"/>
  <c r="J142" i="39" s="1"/>
  <c r="K142" i="39" s="1"/>
  <c r="E142" i="39"/>
  <c r="E143" i="39" l="1"/>
  <c r="D143" i="39"/>
  <c r="J143" i="39" s="1"/>
  <c r="K143" i="39" s="1"/>
  <c r="H143" i="39"/>
  <c r="A143" i="39"/>
  <c r="B143" i="39" s="1"/>
  <c r="N143" i="39" s="1"/>
  <c r="F143" i="39"/>
  <c r="G143" i="39"/>
  <c r="I143" i="39"/>
  <c r="C144" i="39" s="1"/>
  <c r="H144" i="39" l="1"/>
  <c r="D144" i="39"/>
  <c r="J144" i="39" s="1"/>
  <c r="K144" i="39" s="1"/>
  <c r="E144" i="39"/>
  <c r="A144" i="39"/>
  <c r="B144" i="39" s="1"/>
  <c r="N144" i="39" s="1"/>
  <c r="I144" i="39"/>
  <c r="C145" i="39" s="1"/>
  <c r="G144" i="39"/>
  <c r="F144" i="39"/>
  <c r="E145" i="39" l="1"/>
  <c r="H145" i="39"/>
  <c r="D145" i="39"/>
  <c r="J145" i="39" s="1"/>
  <c r="K145" i="39" s="1"/>
  <c r="A145" i="39"/>
  <c r="B145" i="39" s="1"/>
  <c r="N145" i="39" s="1"/>
  <c r="I145" i="39"/>
  <c r="C146" i="39" s="1"/>
  <c r="G145" i="39"/>
  <c r="F145" i="39"/>
  <c r="H146" i="39" l="1"/>
  <c r="F146" i="39"/>
  <c r="E146" i="39"/>
  <c r="I146" i="39"/>
  <c r="C147" i="39" s="1"/>
  <c r="G146" i="39"/>
  <c r="D146" i="39"/>
  <c r="J146" i="39" s="1"/>
  <c r="K146" i="39" s="1"/>
  <c r="A146" i="39"/>
  <c r="B146" i="39" s="1"/>
  <c r="N146" i="39" s="1"/>
  <c r="I147" i="39" l="1"/>
  <c r="C148" i="39" s="1"/>
  <c r="H147" i="39"/>
  <c r="G147" i="39"/>
  <c r="D147" i="39"/>
  <c r="J147" i="39" s="1"/>
  <c r="K147" i="39" s="1"/>
  <c r="A147" i="39"/>
  <c r="B147" i="39" s="1"/>
  <c r="N147" i="39" s="1"/>
  <c r="E147" i="39"/>
  <c r="F147" i="39"/>
  <c r="G148" i="39" l="1"/>
  <c r="I148" i="39"/>
  <c r="C149" i="39" s="1"/>
  <c r="A148" i="39"/>
  <c r="B148" i="39" s="1"/>
  <c r="N148" i="39" s="1"/>
  <c r="D148" i="39"/>
  <c r="J148" i="39" s="1"/>
  <c r="K148" i="39" s="1"/>
  <c r="H148" i="39"/>
  <c r="E148" i="39"/>
  <c r="F148" i="39"/>
  <c r="E149" i="39" l="1"/>
  <c r="I149" i="39"/>
  <c r="C150" i="39" s="1"/>
  <c r="H149" i="39"/>
  <c r="G149" i="39"/>
  <c r="F149" i="39"/>
  <c r="A149" i="39"/>
  <c r="B149" i="39" s="1"/>
  <c r="N149" i="39" s="1"/>
  <c r="D149" i="39"/>
  <c r="J149" i="39" s="1"/>
  <c r="K149" i="39" s="1"/>
  <c r="D150" i="39" l="1"/>
  <c r="J150" i="39" s="1"/>
  <c r="K150" i="39" s="1"/>
  <c r="A150" i="39"/>
  <c r="B150" i="39" s="1"/>
  <c r="N150" i="39" s="1"/>
  <c r="I150" i="39"/>
  <c r="C151" i="39" s="1"/>
  <c r="H150" i="39"/>
  <c r="G150" i="39"/>
  <c r="F150" i="39"/>
  <c r="E150" i="39"/>
  <c r="H151" i="39" l="1"/>
  <c r="A151" i="39"/>
  <c r="B151" i="39" s="1"/>
  <c r="N151" i="39" s="1"/>
  <c r="D151" i="39"/>
  <c r="J151" i="39" s="1"/>
  <c r="K151" i="39" s="1"/>
  <c r="I151" i="39"/>
  <c r="C152" i="39" s="1"/>
  <c r="G151" i="39"/>
  <c r="F151" i="39"/>
  <c r="E151" i="39"/>
  <c r="H152" i="39" l="1"/>
  <c r="D152" i="39"/>
  <c r="J152" i="39" s="1"/>
  <c r="K152" i="39" s="1"/>
  <c r="I152" i="39"/>
  <c r="C153" i="39" s="1"/>
  <c r="G152" i="39"/>
  <c r="E152" i="39"/>
  <c r="F152" i="39"/>
  <c r="A152" i="39"/>
  <c r="B152" i="39" s="1"/>
  <c r="N152" i="39" s="1"/>
  <c r="I153" i="39" l="1"/>
  <c r="C154" i="39" s="1"/>
  <c r="F153" i="39"/>
  <c r="D153" i="39"/>
  <c r="J153" i="39" s="1"/>
  <c r="K153" i="39" s="1"/>
  <c r="E153" i="39"/>
  <c r="H153" i="39"/>
  <c r="G153" i="39"/>
  <c r="A153" i="39"/>
  <c r="B153" i="39" s="1"/>
  <c r="N153" i="39" s="1"/>
  <c r="H154" i="39" l="1"/>
  <c r="A154" i="39"/>
  <c r="B154" i="39" s="1"/>
  <c r="N154" i="39" s="1"/>
  <c r="D154" i="39"/>
  <c r="J154" i="39" s="1"/>
  <c r="K154" i="39" s="1"/>
  <c r="E154" i="39"/>
  <c r="G154" i="39"/>
  <c r="I154" i="39"/>
  <c r="C155" i="39" s="1"/>
  <c r="F154" i="39"/>
  <c r="G155" i="39" l="1"/>
  <c r="I155" i="39"/>
  <c r="C156" i="39" s="1"/>
  <c r="E155" i="39"/>
  <c r="D155" i="39"/>
  <c r="J155" i="39" s="1"/>
  <c r="K155" i="39" s="1"/>
  <c r="A155" i="39"/>
  <c r="B155" i="39" s="1"/>
  <c r="N155" i="39" s="1"/>
  <c r="H155" i="39"/>
  <c r="F155" i="39"/>
  <c r="G156" i="39" l="1"/>
  <c r="H156" i="39"/>
  <c r="A156" i="39"/>
  <c r="B156" i="39" s="1"/>
  <c r="N156" i="39" s="1"/>
  <c r="I156" i="39"/>
  <c r="C157" i="39" s="1"/>
  <c r="D156" i="39"/>
  <c r="J156" i="39" s="1"/>
  <c r="K156" i="39" s="1"/>
  <c r="F156" i="39"/>
  <c r="E156" i="39"/>
  <c r="D157" i="39" l="1"/>
  <c r="J157" i="39" s="1"/>
  <c r="K157" i="39" s="1"/>
  <c r="G157" i="39"/>
  <c r="A157" i="39"/>
  <c r="B157" i="39" s="1"/>
  <c r="N157" i="39" s="1"/>
  <c r="I157" i="39"/>
  <c r="C158" i="39" s="1"/>
  <c r="H157" i="39"/>
  <c r="F157" i="39"/>
  <c r="E157" i="39"/>
  <c r="F158" i="39" l="1"/>
  <c r="H158" i="39"/>
  <c r="D158" i="39"/>
  <c r="J158" i="39" s="1"/>
  <c r="K158" i="39" s="1"/>
  <c r="A158" i="39"/>
  <c r="B158" i="39" s="1"/>
  <c r="N158" i="39" s="1"/>
  <c r="E158" i="39"/>
  <c r="I158" i="39"/>
  <c r="C159" i="39" s="1"/>
  <c r="G158" i="39"/>
  <c r="G159" i="39" l="1"/>
  <c r="H159" i="39"/>
  <c r="F159" i="39"/>
  <c r="D159" i="39"/>
  <c r="J159" i="39" s="1"/>
  <c r="K159" i="39" s="1"/>
  <c r="A159" i="39"/>
  <c r="B159" i="39" s="1"/>
  <c r="N159" i="39" s="1"/>
  <c r="I159" i="39"/>
  <c r="C160" i="39" s="1"/>
  <c r="E159" i="39"/>
  <c r="F160" i="39" l="1"/>
  <c r="H160" i="39"/>
  <c r="I160" i="39"/>
  <c r="C161" i="39" s="1"/>
  <c r="E160" i="39"/>
  <c r="D160" i="39"/>
  <c r="J160" i="39" s="1"/>
  <c r="K160" i="39" s="1"/>
  <c r="A160" i="39"/>
  <c r="B160" i="39" s="1"/>
  <c r="N160" i="39" s="1"/>
  <c r="G160" i="39"/>
  <c r="F161" i="39" l="1"/>
  <c r="H161" i="39"/>
  <c r="D161" i="39"/>
  <c r="J161" i="39" s="1"/>
  <c r="K161" i="39" s="1"/>
  <c r="A161" i="39"/>
  <c r="B161" i="39" s="1"/>
  <c r="N161" i="39" s="1"/>
  <c r="E161" i="39"/>
  <c r="I161" i="39"/>
  <c r="C162" i="39" s="1"/>
  <c r="G161" i="39"/>
  <c r="H162" i="39" l="1"/>
  <c r="D162" i="39"/>
  <c r="J162" i="39" s="1"/>
  <c r="K162" i="39" s="1"/>
  <c r="A162" i="39"/>
  <c r="B162" i="39" s="1"/>
  <c r="N162" i="39" s="1"/>
  <c r="E162" i="39"/>
  <c r="F162" i="39"/>
  <c r="G162" i="39"/>
  <c r="I162" i="39"/>
  <c r="C163" i="39" s="1"/>
  <c r="H163" i="39" l="1"/>
  <c r="E163" i="39"/>
  <c r="G163" i="39"/>
  <c r="D163" i="39"/>
  <c r="J163" i="39" s="1"/>
  <c r="K163" i="39" s="1"/>
  <c r="I163" i="39"/>
  <c r="C164" i="39" s="1"/>
  <c r="A163" i="39"/>
  <c r="B163" i="39" s="1"/>
  <c r="N163" i="39" s="1"/>
  <c r="F163" i="39"/>
  <c r="A164" i="39" l="1"/>
  <c r="B164" i="39" s="1"/>
  <c r="N164" i="39" s="1"/>
  <c r="E164" i="39"/>
  <c r="D164" i="39"/>
  <c r="J164" i="39" s="1"/>
  <c r="K164" i="39" s="1"/>
  <c r="H164" i="39"/>
  <c r="F164" i="39"/>
  <c r="I164" i="39"/>
  <c r="C165" i="39" s="1"/>
  <c r="G164" i="39"/>
  <c r="D165" i="39" l="1"/>
  <c r="J165" i="39" s="1"/>
  <c r="K165" i="39" s="1"/>
  <c r="F165" i="39"/>
  <c r="H165" i="39"/>
  <c r="E165" i="39"/>
  <c r="I165" i="39"/>
  <c r="C166" i="39" s="1"/>
  <c r="A165" i="39"/>
  <c r="B165" i="39" s="1"/>
  <c r="N165" i="39" s="1"/>
  <c r="G165" i="39"/>
  <c r="F166" i="39" l="1"/>
  <c r="I166" i="39"/>
  <c r="C167" i="39" s="1"/>
  <c r="E166" i="39"/>
  <c r="H166" i="39"/>
  <c r="A166" i="39"/>
  <c r="B166" i="39" s="1"/>
  <c r="N166" i="39" s="1"/>
  <c r="D166" i="39"/>
  <c r="J166" i="39" s="1"/>
  <c r="K166" i="39" s="1"/>
  <c r="G166" i="39"/>
  <c r="E167" i="39" l="1"/>
  <c r="A167" i="39"/>
  <c r="B167" i="39" s="1"/>
  <c r="N167" i="39" s="1"/>
  <c r="F167" i="39"/>
  <c r="D167" i="39"/>
  <c r="J167" i="39" s="1"/>
  <c r="K167" i="39" s="1"/>
  <c r="G167" i="39"/>
  <c r="I167" i="39"/>
  <c r="C168" i="39" s="1"/>
  <c r="H167" i="39"/>
  <c r="A168" i="39" l="1"/>
  <c r="B168" i="39" s="1"/>
  <c r="N168" i="39" s="1"/>
  <c r="F168" i="39"/>
  <c r="H168" i="39"/>
  <c r="E168" i="39"/>
  <c r="D168" i="39"/>
  <c r="J168" i="39" s="1"/>
  <c r="K168" i="39" s="1"/>
  <c r="G168" i="39"/>
  <c r="I168" i="39"/>
  <c r="C169" i="39" s="1"/>
  <c r="I169" i="39" l="1"/>
  <c r="C170" i="39" s="1"/>
  <c r="F169" i="39"/>
  <c r="E169" i="39"/>
  <c r="A169" i="39"/>
  <c r="B169" i="39" s="1"/>
  <c r="N169" i="39" s="1"/>
  <c r="H169" i="39"/>
  <c r="D169" i="39"/>
  <c r="J169" i="39" s="1"/>
  <c r="K169" i="39" s="1"/>
  <c r="G169" i="39"/>
  <c r="F170" i="39" l="1"/>
  <c r="E170" i="39"/>
  <c r="A170" i="39"/>
  <c r="B170" i="39" s="1"/>
  <c r="N170" i="39" s="1"/>
  <c r="H170" i="39"/>
  <c r="D170" i="39"/>
  <c r="J170" i="39" s="1"/>
  <c r="K170" i="39" s="1"/>
  <c r="I170" i="39"/>
  <c r="C171" i="39" s="1"/>
  <c r="G170" i="39"/>
  <c r="F171" i="39" l="1"/>
  <c r="I171" i="39"/>
  <c r="C172" i="39" s="1"/>
  <c r="G171" i="39"/>
  <c r="E171" i="39"/>
  <c r="A171" i="39"/>
  <c r="B171" i="39" s="1"/>
  <c r="N171" i="39" s="1"/>
  <c r="H171" i="39"/>
  <c r="D171" i="39"/>
  <c r="J171" i="39" s="1"/>
  <c r="K171" i="39" s="1"/>
  <c r="G172" i="39" l="1"/>
  <c r="F172" i="39"/>
  <c r="I172" i="39"/>
  <c r="C173" i="39" s="1"/>
  <c r="E172" i="39"/>
  <c r="A172" i="39"/>
  <c r="B172" i="39" s="1"/>
  <c r="N172" i="39" s="1"/>
  <c r="H172" i="39"/>
  <c r="D172" i="39"/>
  <c r="J172" i="39" s="1"/>
  <c r="K172" i="39" s="1"/>
  <c r="H173" i="39" l="1"/>
  <c r="I173" i="39"/>
  <c r="C174" i="39" s="1"/>
  <c r="D173" i="39"/>
  <c r="J173" i="39" s="1"/>
  <c r="K173" i="39" s="1"/>
  <c r="G173" i="39"/>
  <c r="A173" i="39"/>
  <c r="B173" i="39" s="1"/>
  <c r="N173" i="39" s="1"/>
  <c r="E173" i="39"/>
  <c r="F173" i="39"/>
  <c r="D174" i="39" l="1"/>
  <c r="J174" i="39" s="1"/>
  <c r="K174" i="39" s="1"/>
  <c r="G174" i="39"/>
  <c r="A174" i="39"/>
  <c r="B174" i="39" s="1"/>
  <c r="N174" i="39" s="1"/>
  <c r="H174" i="39"/>
  <c r="I174" i="39"/>
  <c r="C175" i="39" s="1"/>
  <c r="F174" i="39"/>
  <c r="E174" i="39"/>
  <c r="G175" i="39" l="1"/>
  <c r="A175" i="39"/>
  <c r="B175" i="39" s="1"/>
  <c r="N175" i="39" s="1"/>
  <c r="H175" i="39"/>
  <c r="F175" i="39"/>
  <c r="I175" i="39"/>
  <c r="C176" i="39" s="1"/>
  <c r="E175" i="39"/>
  <c r="D175" i="39"/>
  <c r="J175" i="39" s="1"/>
  <c r="K175" i="39" s="1"/>
  <c r="A176" i="39" l="1"/>
  <c r="B176" i="39" s="1"/>
  <c r="N176" i="39" s="1"/>
  <c r="G176" i="39"/>
  <c r="F176" i="39"/>
  <c r="I176" i="39"/>
  <c r="C177" i="39" s="1"/>
  <c r="E176" i="39"/>
  <c r="D176" i="39"/>
  <c r="J176" i="39" s="1"/>
  <c r="K176" i="39" s="1"/>
  <c r="H176" i="39"/>
  <c r="F177" i="39" l="1"/>
  <c r="G177" i="39"/>
  <c r="I177" i="39"/>
  <c r="C178" i="39" s="1"/>
  <c r="E177" i="39"/>
  <c r="A177" i="39"/>
  <c r="B177" i="39" s="1"/>
  <c r="N177" i="39" s="1"/>
  <c r="H177" i="39"/>
  <c r="D177" i="39"/>
  <c r="J177" i="39" s="1"/>
  <c r="K177" i="39" s="1"/>
  <c r="A178" i="39" l="1"/>
  <c r="B178" i="39" s="1"/>
  <c r="N178" i="39" s="1"/>
  <c r="D178" i="39"/>
  <c r="J178" i="39" s="1"/>
  <c r="K178" i="39" s="1"/>
  <c r="E178" i="39"/>
  <c r="I178" i="39"/>
  <c r="C179" i="39" s="1"/>
  <c r="H178" i="39"/>
  <c r="F178" i="39"/>
  <c r="G178" i="39"/>
  <c r="E179" i="39" l="1"/>
  <c r="A179" i="39"/>
  <c r="B179" i="39" s="1"/>
  <c r="N179" i="39" s="1"/>
  <c r="I179" i="39"/>
  <c r="C180" i="39" s="1"/>
  <c r="F179" i="39"/>
  <c r="D179" i="39"/>
  <c r="J179" i="39" s="1"/>
  <c r="K179" i="39" s="1"/>
  <c r="H179" i="39"/>
  <c r="G179" i="39"/>
  <c r="A180" i="39" l="1"/>
  <c r="B180" i="39" s="1"/>
  <c r="N180" i="39" s="1"/>
  <c r="I180" i="39"/>
  <c r="C181" i="39" s="1"/>
  <c r="G180" i="39"/>
  <c r="F180" i="39"/>
  <c r="D180" i="39"/>
  <c r="J180" i="39" s="1"/>
  <c r="K180" i="39" s="1"/>
  <c r="H180" i="39"/>
  <c r="E180" i="39"/>
  <c r="F181" i="39" l="1"/>
  <c r="H181" i="39"/>
  <c r="A181" i="39"/>
  <c r="B181" i="39" s="1"/>
  <c r="N181" i="39" s="1"/>
  <c r="D181" i="39"/>
  <c r="J181" i="39" s="1"/>
  <c r="K181" i="39" s="1"/>
  <c r="E181" i="39"/>
  <c r="G181" i="39"/>
  <c r="I181" i="39"/>
  <c r="C182" i="39" s="1"/>
  <c r="I182" i="39" l="1"/>
  <c r="C183" i="39" s="1"/>
  <c r="E182" i="39"/>
  <c r="H182" i="39"/>
  <c r="D182" i="39"/>
  <c r="J182" i="39" s="1"/>
  <c r="K182" i="39" s="1"/>
  <c r="F182" i="39"/>
  <c r="G182" i="39"/>
  <c r="A182" i="39"/>
  <c r="B182" i="39" s="1"/>
  <c r="N182" i="39" s="1"/>
  <c r="A183" i="39" l="1"/>
  <c r="B183" i="39" s="1"/>
  <c r="N183" i="39" s="1"/>
  <c r="G183" i="39"/>
  <c r="F183" i="39"/>
  <c r="E183" i="39"/>
  <c r="D183" i="39"/>
  <c r="J183" i="39" s="1"/>
  <c r="K183" i="39" s="1"/>
  <c r="H183" i="39"/>
  <c r="I183" i="39"/>
  <c r="C184" i="39" s="1"/>
  <c r="G184" i="39" l="1"/>
  <c r="H184" i="39"/>
  <c r="A184" i="39"/>
  <c r="B184" i="39" s="1"/>
  <c r="N184" i="39" s="1"/>
  <c r="E184" i="39"/>
  <c r="I184" i="39"/>
  <c r="C185" i="39" s="1"/>
  <c r="F184" i="39"/>
  <c r="D184" i="39"/>
  <c r="J184" i="39" s="1"/>
  <c r="K184" i="39" s="1"/>
  <c r="G185" i="39" l="1"/>
  <c r="H185" i="39"/>
  <c r="I185" i="39"/>
  <c r="C186" i="39" s="1"/>
  <c r="E185" i="39"/>
  <c r="A185" i="39"/>
  <c r="B185" i="39" s="1"/>
  <c r="N185" i="39" s="1"/>
  <c r="F185" i="39"/>
  <c r="D185" i="39"/>
  <c r="J185" i="39" s="1"/>
  <c r="K185" i="39" s="1"/>
  <c r="F186" i="39" l="1"/>
  <c r="H186" i="39"/>
  <c r="G186" i="39"/>
  <c r="A186" i="39"/>
  <c r="B186" i="39" s="1"/>
  <c r="N186" i="39" s="1"/>
  <c r="E186" i="39"/>
  <c r="I186" i="39"/>
  <c r="C187" i="39" s="1"/>
  <c r="D186" i="39"/>
  <c r="J186" i="39" s="1"/>
  <c r="K186" i="39" s="1"/>
  <c r="I187" i="39" l="1"/>
  <c r="C188" i="39" s="1"/>
  <c r="H187" i="39"/>
  <c r="D187" i="39"/>
  <c r="J187" i="39" s="1"/>
  <c r="K187" i="39" s="1"/>
  <c r="F187" i="39"/>
  <c r="E187" i="39"/>
  <c r="G187" i="39"/>
  <c r="A187" i="39"/>
  <c r="B187" i="39" s="1"/>
  <c r="N187" i="39" s="1"/>
  <c r="H188" i="39" l="1"/>
  <c r="G188" i="39"/>
  <c r="D188" i="39"/>
  <c r="J188" i="39" s="1"/>
  <c r="K188" i="39" s="1"/>
  <c r="A188" i="39"/>
  <c r="B188" i="39" s="1"/>
  <c r="N188" i="39" s="1"/>
  <c r="F188" i="39"/>
  <c r="I188" i="39"/>
  <c r="C189" i="39" s="1"/>
  <c r="E188" i="39"/>
  <c r="F189" i="39" l="1"/>
  <c r="I189" i="39"/>
  <c r="C190" i="39" s="1"/>
  <c r="G189" i="39"/>
  <c r="H189" i="39"/>
  <c r="E189" i="39"/>
  <c r="A189" i="39"/>
  <c r="B189" i="39" s="1"/>
  <c r="N189" i="39" s="1"/>
  <c r="D189" i="39"/>
  <c r="J189" i="39" s="1"/>
  <c r="K189" i="39" s="1"/>
  <c r="A190" i="39" l="1"/>
  <c r="B190" i="39" s="1"/>
  <c r="N190" i="39" s="1"/>
  <c r="D190" i="39"/>
  <c r="J190" i="39" s="1"/>
  <c r="K190" i="39" s="1"/>
  <c r="H190" i="39"/>
  <c r="I190" i="39"/>
  <c r="C191" i="39" s="1"/>
  <c r="E190" i="39"/>
  <c r="F190" i="39"/>
  <c r="G190" i="39"/>
  <c r="G191" i="39" l="1"/>
  <c r="A191" i="39"/>
  <c r="B191" i="39" s="1"/>
  <c r="N191" i="39" s="1"/>
  <c r="D191" i="39"/>
  <c r="J191" i="39" s="1"/>
  <c r="K191" i="39" s="1"/>
  <c r="F191" i="39"/>
  <c r="I191" i="39"/>
  <c r="C192" i="39" s="1"/>
  <c r="E191" i="39"/>
  <c r="H191" i="39"/>
  <c r="H192" i="39" l="1"/>
  <c r="A192" i="39"/>
  <c r="B192" i="39" s="1"/>
  <c r="N192" i="39" s="1"/>
  <c r="I192" i="39"/>
  <c r="C193" i="39" s="1"/>
  <c r="F192" i="39"/>
  <c r="E192" i="39"/>
  <c r="D192" i="39"/>
  <c r="J192" i="39" s="1"/>
  <c r="K192" i="39" s="1"/>
  <c r="G192" i="39"/>
  <c r="H193" i="39" l="1"/>
  <c r="F193" i="39"/>
  <c r="A193" i="39"/>
  <c r="B193" i="39" s="1"/>
  <c r="N193" i="39" s="1"/>
  <c r="G193" i="39"/>
  <c r="E193" i="39"/>
  <c r="I193" i="39"/>
  <c r="C194" i="39" s="1"/>
  <c r="D193" i="39"/>
  <c r="J193" i="39" s="1"/>
  <c r="K193" i="39" s="1"/>
  <c r="A194" i="39" l="1"/>
  <c r="B194" i="39" s="1"/>
  <c r="N194" i="39" s="1"/>
  <c r="I194" i="39"/>
  <c r="C195" i="39" s="1"/>
  <c r="F194" i="39"/>
  <c r="G194" i="39"/>
  <c r="D194" i="39"/>
  <c r="J194" i="39" s="1"/>
  <c r="K194" i="39" s="1"/>
  <c r="H194" i="39"/>
  <c r="E194" i="39"/>
  <c r="I195" i="39" l="1"/>
  <c r="C196" i="39" s="1"/>
  <c r="E195" i="39"/>
  <c r="D195" i="39"/>
  <c r="J195" i="39" s="1"/>
  <c r="K195" i="39" s="1"/>
  <c r="H195" i="39"/>
  <c r="F195" i="39"/>
  <c r="G195" i="39"/>
  <c r="A195" i="39"/>
  <c r="B195" i="39" s="1"/>
  <c r="N195" i="39" s="1"/>
  <c r="A196" i="39" l="1"/>
  <c r="B196" i="39" s="1"/>
  <c r="N196" i="39" s="1"/>
  <c r="F196" i="39"/>
  <c r="G196" i="39"/>
  <c r="I196" i="39"/>
  <c r="C197" i="39" s="1"/>
  <c r="D196" i="39"/>
  <c r="J196" i="39" s="1"/>
  <c r="K196" i="39" s="1"/>
  <c r="H196" i="39"/>
  <c r="E196" i="39"/>
  <c r="A197" i="39" l="1"/>
  <c r="B197" i="39" s="1"/>
  <c r="N197" i="39" s="1"/>
  <c r="G197" i="39"/>
  <c r="D197" i="39"/>
  <c r="J197" i="39" s="1"/>
  <c r="K197" i="39" s="1"/>
  <c r="H197" i="39"/>
  <c r="E197" i="39"/>
  <c r="I197" i="39"/>
  <c r="C198" i="39" s="1"/>
  <c r="F197" i="39"/>
  <c r="D198" i="39" l="1"/>
  <c r="J198" i="39" s="1"/>
  <c r="K198" i="39" s="1"/>
  <c r="I198" i="39"/>
  <c r="C199" i="39" s="1"/>
  <c r="A198" i="39"/>
  <c r="B198" i="39" s="1"/>
  <c r="N198" i="39" s="1"/>
  <c r="H198" i="39"/>
  <c r="E198" i="39"/>
  <c r="G198" i="39"/>
  <c r="F198" i="39"/>
  <c r="F199" i="39" l="1"/>
  <c r="I199" i="39"/>
  <c r="C200" i="39" s="1"/>
  <c r="H199" i="39"/>
  <c r="E199" i="39"/>
  <c r="G199" i="39"/>
  <c r="A199" i="39"/>
  <c r="B199" i="39" s="1"/>
  <c r="N199" i="39" s="1"/>
  <c r="D199" i="39"/>
  <c r="J199" i="39" s="1"/>
  <c r="K199" i="39" s="1"/>
  <c r="D200" i="39" l="1"/>
  <c r="J200" i="39" s="1"/>
  <c r="K200" i="39" s="1"/>
  <c r="H200" i="39"/>
  <c r="G200" i="39"/>
  <c r="E200" i="39"/>
  <c r="F200" i="39"/>
  <c r="A200" i="39"/>
  <c r="B200" i="39" s="1"/>
  <c r="N200" i="39" s="1"/>
  <c r="I200" i="39"/>
  <c r="C201" i="39" s="1"/>
  <c r="I201" i="39" l="1"/>
  <c r="C202" i="39" s="1"/>
  <c r="E201" i="39"/>
  <c r="G201" i="39"/>
  <c r="A201" i="39"/>
  <c r="B201" i="39" s="1"/>
  <c r="N201" i="39" s="1"/>
  <c r="F201" i="39"/>
  <c r="H201" i="39"/>
  <c r="D201" i="39"/>
  <c r="J201" i="39" s="1"/>
  <c r="K201" i="39" s="1"/>
  <c r="A202" i="39" l="1"/>
  <c r="B202" i="39" s="1"/>
  <c r="N202" i="39" s="1"/>
  <c r="I202" i="39"/>
  <c r="C203" i="39" s="1"/>
  <c r="E202" i="39"/>
  <c r="G202" i="39"/>
  <c r="F202" i="39"/>
  <c r="D202" i="39"/>
  <c r="J202" i="39" s="1"/>
  <c r="K202" i="39" s="1"/>
  <c r="H202" i="39"/>
  <c r="A203" i="39" l="1"/>
  <c r="B203" i="39" s="1"/>
  <c r="N203" i="39" s="1"/>
  <c r="G203" i="39"/>
  <c r="I203" i="39"/>
  <c r="C204" i="39" s="1"/>
  <c r="D203" i="39"/>
  <c r="J203" i="39" s="1"/>
  <c r="K203" i="39" s="1"/>
  <c r="E203" i="39"/>
  <c r="H203" i="39"/>
  <c r="F203" i="39"/>
  <c r="A204" i="39" l="1"/>
  <c r="B204" i="39" s="1"/>
  <c r="N204" i="39" s="1"/>
  <c r="E204" i="39"/>
  <c r="F204" i="39"/>
  <c r="I204" i="39"/>
  <c r="C205" i="39" s="1"/>
  <c r="G204" i="39"/>
  <c r="D204" i="39"/>
  <c r="J204" i="39" s="1"/>
  <c r="K204" i="39" s="1"/>
  <c r="H204" i="39"/>
  <c r="E205" i="39" l="1"/>
  <c r="F205" i="39"/>
  <c r="H205" i="39"/>
  <c r="A205" i="39"/>
  <c r="B205" i="39" s="1"/>
  <c r="N205" i="39" s="1"/>
  <c r="I205" i="39"/>
  <c r="C206" i="39" s="1"/>
  <c r="D205" i="39"/>
  <c r="J205" i="39" s="1"/>
  <c r="K205" i="39" s="1"/>
  <c r="G205" i="39"/>
  <c r="D206" i="39" l="1"/>
  <c r="J206" i="39" s="1"/>
  <c r="K206" i="39" s="1"/>
  <c r="F206" i="39"/>
  <c r="A206" i="39"/>
  <c r="B206" i="39" s="1"/>
  <c r="N206" i="39" s="1"/>
  <c r="I206" i="39"/>
  <c r="C207" i="39" s="1"/>
  <c r="E206" i="39"/>
  <c r="G206" i="39"/>
  <c r="H206" i="39"/>
  <c r="G207" i="39" l="1"/>
  <c r="I207" i="39"/>
  <c r="C208" i="39" s="1"/>
  <c r="D207" i="39"/>
  <c r="J207" i="39" s="1"/>
  <c r="K207" i="39" s="1"/>
  <c r="F207" i="39"/>
  <c r="E207" i="39"/>
  <c r="A207" i="39"/>
  <c r="B207" i="39" s="1"/>
  <c r="N207" i="39" s="1"/>
  <c r="H207" i="39"/>
  <c r="I208" i="39" l="1"/>
  <c r="C209" i="39" s="1"/>
  <c r="H208" i="39"/>
  <c r="E208" i="39"/>
  <c r="G208" i="39"/>
  <c r="D208" i="39"/>
  <c r="J208" i="39" s="1"/>
  <c r="K208" i="39" s="1"/>
  <c r="F208" i="39"/>
  <c r="A208" i="39"/>
  <c r="B208" i="39" s="1"/>
  <c r="N208" i="39" s="1"/>
  <c r="F209" i="39" l="1"/>
  <c r="A209" i="39"/>
  <c r="B209" i="39" s="1"/>
  <c r="N209" i="39" s="1"/>
  <c r="E209" i="39"/>
  <c r="G209" i="39"/>
  <c r="I209" i="39"/>
  <c r="C210" i="39" s="1"/>
  <c r="H209" i="39"/>
  <c r="D209" i="39"/>
  <c r="J209" i="39" s="1"/>
  <c r="K209" i="39" s="1"/>
  <c r="D210" i="39" l="1"/>
  <c r="J210" i="39" s="1"/>
  <c r="K210" i="39" s="1"/>
  <c r="E210" i="39"/>
  <c r="G210" i="39"/>
  <c r="I210" i="39"/>
  <c r="C211" i="39" s="1"/>
  <c r="F210" i="39"/>
  <c r="A210" i="39"/>
  <c r="B210" i="39" s="1"/>
  <c r="N210" i="39" s="1"/>
  <c r="H210" i="39"/>
  <c r="A211" i="39" l="1"/>
  <c r="B211" i="39" s="1"/>
  <c r="N211" i="39" s="1"/>
  <c r="F211" i="39"/>
  <c r="H211" i="39"/>
  <c r="D211" i="39"/>
  <c r="J211" i="39" s="1"/>
  <c r="K211" i="39" s="1"/>
  <c r="G211" i="39"/>
  <c r="I211" i="39"/>
  <c r="C212" i="39" s="1"/>
  <c r="E211" i="39"/>
  <c r="D212" i="39" l="1"/>
  <c r="J212" i="39" s="1"/>
  <c r="K212" i="39" s="1"/>
  <c r="G212" i="39"/>
  <c r="H212" i="39"/>
  <c r="E212" i="39"/>
  <c r="F212" i="39"/>
  <c r="I212" i="39"/>
  <c r="C213" i="39" s="1"/>
  <c r="A212" i="39"/>
  <c r="B212" i="39" s="1"/>
  <c r="N212" i="39" s="1"/>
  <c r="H213" i="39" l="1"/>
  <c r="F213" i="39"/>
  <c r="G213" i="39"/>
  <c r="E213" i="39"/>
  <c r="I213" i="39"/>
  <c r="C214" i="39" s="1"/>
  <c r="D213" i="39"/>
  <c r="J213" i="39" s="1"/>
  <c r="K213" i="39" s="1"/>
  <c r="A213" i="39"/>
  <c r="B213" i="39" s="1"/>
  <c r="N213" i="39" s="1"/>
  <c r="E214" i="39" l="1"/>
  <c r="G214" i="39"/>
  <c r="F214" i="39"/>
  <c r="H214" i="39"/>
  <c r="A214" i="39"/>
  <c r="B214" i="39" s="1"/>
  <c r="N214" i="39" s="1"/>
  <c r="I214" i="39"/>
  <c r="C215" i="39" s="1"/>
  <c r="D214" i="39"/>
  <c r="J214" i="39" s="1"/>
  <c r="K214" i="39" s="1"/>
  <c r="F215" i="39" l="1"/>
  <c r="A215" i="39"/>
  <c r="B215" i="39" s="1"/>
  <c r="N215" i="39" s="1"/>
  <c r="E215" i="39"/>
  <c r="G215" i="39"/>
  <c r="D215" i="39"/>
  <c r="J215" i="39" s="1"/>
  <c r="K215" i="39" s="1"/>
  <c r="I215" i="39"/>
  <c r="C216" i="39" s="1"/>
  <c r="H215" i="39"/>
  <c r="D216" i="39" l="1"/>
  <c r="J216" i="39" s="1"/>
  <c r="K216" i="39" s="1"/>
  <c r="H216" i="39"/>
  <c r="E216" i="39"/>
  <c r="F216" i="39"/>
  <c r="A216" i="39"/>
  <c r="B216" i="39" s="1"/>
  <c r="N216" i="39" s="1"/>
  <c r="I216" i="39"/>
  <c r="C217" i="39" s="1"/>
  <c r="G216" i="39"/>
  <c r="E217" i="39" l="1"/>
  <c r="H217" i="39"/>
  <c r="G217" i="39"/>
  <c r="F217" i="39"/>
  <c r="I217" i="39"/>
  <c r="C218" i="39" s="1"/>
  <c r="D217" i="39"/>
  <c r="J217" i="39" s="1"/>
  <c r="K217" i="39" s="1"/>
  <c r="A217" i="39"/>
  <c r="B217" i="39" s="1"/>
  <c r="N217" i="39" s="1"/>
  <c r="F218" i="39" l="1"/>
  <c r="D218" i="39"/>
  <c r="J218" i="39" s="1"/>
  <c r="K218" i="39" s="1"/>
  <c r="A218" i="39"/>
  <c r="B218" i="39" s="1"/>
  <c r="N218" i="39" s="1"/>
  <c r="I218" i="39"/>
  <c r="C219" i="39" s="1"/>
  <c r="H218" i="39"/>
  <c r="E218" i="39"/>
  <c r="G218" i="39"/>
  <c r="H219" i="39" l="1"/>
  <c r="F219" i="39"/>
  <c r="G219" i="39"/>
  <c r="I219" i="39"/>
  <c r="C220" i="39" s="1"/>
  <c r="A219" i="39"/>
  <c r="B219" i="39" s="1"/>
  <c r="N219" i="39" s="1"/>
  <c r="D219" i="39"/>
  <c r="J219" i="39" s="1"/>
  <c r="K219" i="39" s="1"/>
  <c r="E219" i="39"/>
  <c r="F220" i="39" l="1"/>
  <c r="G220" i="39"/>
  <c r="A220" i="39"/>
  <c r="B220" i="39" s="1"/>
  <c r="N220" i="39" s="1"/>
  <c r="I220" i="39"/>
  <c r="C221" i="39" s="1"/>
  <c r="D220" i="39"/>
  <c r="J220" i="39" s="1"/>
  <c r="K220" i="39" s="1"/>
  <c r="E220" i="39"/>
  <c r="H220" i="39"/>
  <c r="H221" i="39" l="1"/>
  <c r="F221" i="39"/>
  <c r="E221" i="39"/>
  <c r="I221" i="39"/>
  <c r="C222" i="39" s="1"/>
  <c r="A221" i="39"/>
  <c r="B221" i="39" s="1"/>
  <c r="N221" i="39" s="1"/>
  <c r="D221" i="39"/>
  <c r="J221" i="39" s="1"/>
  <c r="K221" i="39" s="1"/>
  <c r="G221" i="39"/>
  <c r="A222" i="39" l="1"/>
  <c r="B222" i="39" s="1"/>
  <c r="N222" i="39" s="1"/>
  <c r="H222" i="39"/>
  <c r="E222" i="39"/>
  <c r="D222" i="39"/>
  <c r="J222" i="39" s="1"/>
  <c r="K222" i="39" s="1"/>
  <c r="G222" i="39"/>
  <c r="I222" i="39"/>
  <c r="C223" i="39" s="1"/>
  <c r="F222" i="39"/>
  <c r="D223" i="39" l="1"/>
  <c r="J223" i="39" s="1"/>
  <c r="K223" i="39" s="1"/>
  <c r="A223" i="39"/>
  <c r="B223" i="39" s="1"/>
  <c r="N223" i="39" s="1"/>
  <c r="E223" i="39"/>
  <c r="H223" i="39"/>
  <c r="F223" i="39"/>
  <c r="G223" i="39"/>
  <c r="I223" i="39"/>
  <c r="C224" i="39" s="1"/>
  <c r="E224" i="39" l="1"/>
  <c r="D224" i="39"/>
  <c r="J224" i="39" s="1"/>
  <c r="K224" i="39" s="1"/>
  <c r="G224" i="39"/>
  <c r="H224" i="39"/>
  <c r="F224" i="39"/>
  <c r="A224" i="39"/>
  <c r="B224" i="39" s="1"/>
  <c r="N224" i="39" s="1"/>
  <c r="I224" i="39"/>
  <c r="C225" i="39" s="1"/>
  <c r="D225" i="39" l="1"/>
  <c r="J225" i="39" s="1"/>
  <c r="K225" i="39" s="1"/>
  <c r="A225" i="39"/>
  <c r="B225" i="39" s="1"/>
  <c r="N225" i="39" s="1"/>
  <c r="H225" i="39"/>
  <c r="G225" i="39"/>
  <c r="E225" i="39"/>
  <c r="I225" i="39"/>
  <c r="C226" i="39" s="1"/>
  <c r="F225" i="39"/>
  <c r="E226" i="39" l="1"/>
  <c r="I226" i="39"/>
  <c r="C227" i="39" s="1"/>
  <c r="G226" i="39"/>
  <c r="H226" i="39"/>
  <c r="A226" i="39"/>
  <c r="B226" i="39" s="1"/>
  <c r="N226" i="39" s="1"/>
  <c r="F226" i="39"/>
  <c r="D226" i="39"/>
  <c r="J226" i="39" s="1"/>
  <c r="K226" i="39" s="1"/>
  <c r="I227" i="39" l="1"/>
  <c r="C228" i="39" s="1"/>
  <c r="H227" i="39"/>
  <c r="D227" i="39"/>
  <c r="J227" i="39" s="1"/>
  <c r="K227" i="39" s="1"/>
  <c r="F227" i="39"/>
  <c r="E227" i="39"/>
  <c r="A227" i="39"/>
  <c r="B227" i="39" s="1"/>
  <c r="N227" i="39" s="1"/>
  <c r="G227" i="39"/>
  <c r="E228" i="39" l="1"/>
  <c r="F228" i="39"/>
  <c r="A228" i="39"/>
  <c r="B228" i="39" s="1"/>
  <c r="N228" i="39" s="1"/>
  <c r="G228" i="39"/>
  <c r="H228" i="39"/>
  <c r="I228" i="39"/>
  <c r="C229" i="39" s="1"/>
  <c r="D228" i="39"/>
  <c r="J228" i="39" s="1"/>
  <c r="K228" i="39" s="1"/>
  <c r="F229" i="39" l="1"/>
  <c r="G229" i="39"/>
  <c r="I229" i="39"/>
  <c r="C230" i="39" s="1"/>
  <c r="H229" i="39"/>
  <c r="E229" i="39"/>
  <c r="D229" i="39"/>
  <c r="J229" i="39" s="1"/>
  <c r="K229" i="39" s="1"/>
  <c r="A229" i="39"/>
  <c r="B229" i="39" s="1"/>
  <c r="N229" i="39" s="1"/>
  <c r="A230" i="39" l="1"/>
  <c r="B230" i="39" s="1"/>
  <c r="N230" i="39" s="1"/>
  <c r="F230" i="39"/>
  <c r="D230" i="39"/>
  <c r="J230" i="39" s="1"/>
  <c r="K230" i="39" s="1"/>
  <c r="H230" i="39"/>
  <c r="E230" i="39"/>
  <c r="I230" i="39"/>
  <c r="C231" i="39" s="1"/>
  <c r="G230" i="39"/>
  <c r="G231" i="39" l="1"/>
  <c r="F231" i="39"/>
  <c r="H231" i="39"/>
  <c r="E231" i="39"/>
  <c r="D231" i="39"/>
  <c r="J231" i="39" s="1"/>
  <c r="K231" i="39" s="1"/>
  <c r="A231" i="39"/>
  <c r="B231" i="39" s="1"/>
  <c r="N231" i="39" s="1"/>
  <c r="I231" i="39"/>
  <c r="C232" i="39" s="1"/>
  <c r="D232" i="39" l="1"/>
  <c r="J232" i="39" s="1"/>
  <c r="K232" i="39" s="1"/>
  <c r="H232" i="39"/>
  <c r="G232" i="39"/>
  <c r="E232" i="39"/>
  <c r="F232" i="39"/>
  <c r="A232" i="39"/>
  <c r="B232" i="39" s="1"/>
  <c r="N232" i="39" s="1"/>
  <c r="I232" i="39"/>
  <c r="C233" i="39" s="1"/>
  <c r="G233" i="39" l="1"/>
  <c r="F233" i="39"/>
  <c r="A233" i="39"/>
  <c r="B233" i="39" s="1"/>
  <c r="N233" i="39" s="1"/>
  <c r="H233" i="39"/>
  <c r="E233" i="39"/>
  <c r="I233" i="39"/>
  <c r="C234" i="39" s="1"/>
  <c r="D233" i="39"/>
  <c r="J233" i="39" s="1"/>
  <c r="K233" i="39" s="1"/>
  <c r="E234" i="39" l="1"/>
  <c r="A234" i="39"/>
  <c r="B234" i="39" s="1"/>
  <c r="N234" i="39" s="1"/>
  <c r="G234" i="39"/>
  <c r="F234" i="39"/>
  <c r="D234" i="39"/>
  <c r="J234" i="39" s="1"/>
  <c r="K234" i="39" s="1"/>
  <c r="H234" i="39"/>
  <c r="I234" i="39"/>
  <c r="C235" i="39" s="1"/>
  <c r="H235" i="39" l="1"/>
  <c r="A235" i="39"/>
  <c r="B235" i="39" s="1"/>
  <c r="N235" i="39" s="1"/>
  <c r="I235" i="39"/>
  <c r="C236" i="39" s="1"/>
  <c r="E235" i="39"/>
  <c r="F235" i="39"/>
  <c r="D235" i="39"/>
  <c r="J235" i="39" s="1"/>
  <c r="K235" i="39" s="1"/>
  <c r="G235" i="39"/>
  <c r="E236" i="39" l="1"/>
  <c r="D236" i="39"/>
  <c r="J236" i="39" s="1"/>
  <c r="K236" i="39" s="1"/>
  <c r="H236" i="39"/>
  <c r="I236" i="39"/>
  <c r="C237" i="39" s="1"/>
  <c r="A236" i="39"/>
  <c r="B236" i="39" s="1"/>
  <c r="N236" i="39" s="1"/>
  <c r="F236" i="39"/>
  <c r="G236" i="39"/>
  <c r="H237" i="39" l="1"/>
  <c r="I237" i="39"/>
  <c r="C238" i="39" s="1"/>
  <c r="F237" i="39"/>
  <c r="G237" i="39"/>
  <c r="E237" i="39"/>
  <c r="A237" i="39"/>
  <c r="B237" i="39" s="1"/>
  <c r="N237" i="39" s="1"/>
  <c r="D237" i="39"/>
  <c r="J237" i="39" s="1"/>
  <c r="K237" i="39" s="1"/>
  <c r="I238" i="39" l="1"/>
  <c r="C239" i="39" s="1"/>
  <c r="D238" i="39"/>
  <c r="J238" i="39" s="1"/>
  <c r="K238" i="39" s="1"/>
  <c r="A238" i="39"/>
  <c r="B238" i="39" s="1"/>
  <c r="N238" i="39" s="1"/>
  <c r="F238" i="39"/>
  <c r="H238" i="39"/>
  <c r="G238" i="39"/>
  <c r="E238" i="39"/>
  <c r="F239" i="39" l="1"/>
  <c r="A239" i="39"/>
  <c r="B239" i="39" s="1"/>
  <c r="N239" i="39" s="1"/>
  <c r="D239" i="39"/>
  <c r="J239" i="39" s="1"/>
  <c r="K239" i="39" s="1"/>
  <c r="G239" i="39"/>
  <c r="E239" i="39"/>
  <c r="H239" i="39"/>
  <c r="I239" i="39"/>
  <c r="C240" i="39" s="1"/>
  <c r="I240" i="39" l="1"/>
  <c r="C241" i="39" s="1"/>
  <c r="F240" i="39"/>
  <c r="H240" i="39"/>
  <c r="A240" i="39"/>
  <c r="B240" i="39" s="1"/>
  <c r="N240" i="39" s="1"/>
  <c r="G240" i="39"/>
  <c r="E240" i="39"/>
  <c r="D240" i="39"/>
  <c r="J240" i="39" s="1"/>
  <c r="K240" i="39" s="1"/>
  <c r="A241" i="39" l="1"/>
  <c r="B241" i="39" s="1"/>
  <c r="N241" i="39" s="1"/>
  <c r="E241" i="39"/>
  <c r="H241" i="39"/>
  <c r="G241" i="39"/>
  <c r="D241" i="39"/>
  <c r="J241" i="39" s="1"/>
  <c r="K241" i="39" s="1"/>
  <c r="I241" i="39"/>
  <c r="C242" i="39" s="1"/>
  <c r="F241" i="39"/>
  <c r="A242" i="39" l="1"/>
  <c r="B242" i="39" s="1"/>
  <c r="N242" i="39" s="1"/>
  <c r="D242" i="39"/>
  <c r="J242" i="39" s="1"/>
  <c r="K242" i="39" s="1"/>
  <c r="E242" i="39"/>
  <c r="G242" i="39"/>
  <c r="F242" i="39"/>
  <c r="H242" i="39"/>
  <c r="I242" i="39"/>
  <c r="C243" i="39" s="1"/>
  <c r="D243" i="39" l="1"/>
  <c r="J243" i="39" s="1"/>
  <c r="K243" i="39" s="1"/>
  <c r="A243" i="39"/>
  <c r="B243" i="39" s="1"/>
  <c r="N243" i="39" s="1"/>
  <c r="I243" i="39"/>
  <c r="C244" i="39" s="1"/>
  <c r="G243" i="39"/>
  <c r="H243" i="39"/>
  <c r="F243" i="39"/>
  <c r="E243" i="39"/>
  <c r="G244" i="39" l="1"/>
  <c r="E244" i="39"/>
  <c r="A244" i="39"/>
  <c r="B244" i="39" s="1"/>
  <c r="N244" i="39" s="1"/>
  <c r="I244" i="39"/>
  <c r="C245" i="39" s="1"/>
  <c r="F244" i="39"/>
  <c r="H244" i="39"/>
  <c r="D244" i="39"/>
  <c r="J244" i="39" s="1"/>
  <c r="K244" i="39" s="1"/>
  <c r="A245" i="39" l="1"/>
  <c r="B245" i="39" s="1"/>
  <c r="N245" i="39" s="1"/>
  <c r="G245" i="39"/>
  <c r="I245" i="39"/>
  <c r="C246" i="39" s="1"/>
  <c r="H245" i="39"/>
  <c r="E245" i="39"/>
  <c r="F245" i="39"/>
  <c r="D245" i="39"/>
  <c r="J245" i="39" s="1"/>
  <c r="K245" i="39" s="1"/>
  <c r="E246" i="39" l="1"/>
  <c r="H246" i="39"/>
  <c r="G246" i="39"/>
  <c r="A246" i="39"/>
  <c r="B246" i="39" s="1"/>
  <c r="N246" i="39" s="1"/>
  <c r="F246" i="39"/>
  <c r="D246" i="39"/>
  <c r="J246" i="39" s="1"/>
  <c r="K246" i="39" s="1"/>
  <c r="I246" i="39"/>
  <c r="C247" i="39" s="1"/>
  <c r="I247" i="39" l="1"/>
  <c r="C248" i="39" s="1"/>
  <c r="D247" i="39"/>
  <c r="J247" i="39" s="1"/>
  <c r="K247" i="39" s="1"/>
  <c r="A247" i="39"/>
  <c r="B247" i="39" s="1"/>
  <c r="N247" i="39" s="1"/>
  <c r="G247" i="39"/>
  <c r="E247" i="39"/>
  <c r="H247" i="39"/>
  <c r="F247" i="39"/>
  <c r="G248" i="39" l="1"/>
  <c r="E248" i="39"/>
  <c r="H248" i="39"/>
  <c r="F248" i="39"/>
  <c r="I248" i="39"/>
  <c r="C249" i="39" s="1"/>
  <c r="A248" i="39"/>
  <c r="B248" i="39" s="1"/>
  <c r="N248" i="39" s="1"/>
  <c r="D248" i="39"/>
  <c r="J248" i="39" s="1"/>
  <c r="K248" i="39" s="1"/>
  <c r="H249" i="39" l="1"/>
  <c r="I249" i="39"/>
  <c r="C250" i="39" s="1"/>
  <c r="G249" i="39"/>
  <c r="D249" i="39"/>
  <c r="J249" i="39" s="1"/>
  <c r="K249" i="39" s="1"/>
  <c r="E249" i="39"/>
  <c r="F249" i="39"/>
  <c r="A249" i="39"/>
  <c r="B249" i="39" s="1"/>
  <c r="N249" i="39" s="1"/>
  <c r="H250" i="39" l="1"/>
  <c r="I250" i="39"/>
  <c r="C251" i="39" s="1"/>
  <c r="A250" i="39"/>
  <c r="B250" i="39" s="1"/>
  <c r="N250" i="39" s="1"/>
  <c r="E250" i="39"/>
  <c r="G250" i="39"/>
  <c r="D250" i="39"/>
  <c r="J250" i="39" s="1"/>
  <c r="K250" i="39" s="1"/>
  <c r="F250" i="39"/>
  <c r="H251" i="39" l="1"/>
  <c r="F251" i="39"/>
  <c r="I251" i="39"/>
  <c r="C252" i="39" s="1"/>
  <c r="D251" i="39"/>
  <c r="J251" i="39" s="1"/>
  <c r="K251" i="39" s="1"/>
  <c r="A251" i="39"/>
  <c r="B251" i="39" s="1"/>
  <c r="N251" i="39" s="1"/>
  <c r="E251" i="39"/>
  <c r="G251" i="39"/>
  <c r="I252" i="39" l="1"/>
  <c r="C253" i="39" s="1"/>
  <c r="G252" i="39"/>
  <c r="D252" i="39"/>
  <c r="J252" i="39" s="1"/>
  <c r="K252" i="39" s="1"/>
  <c r="F252" i="39"/>
  <c r="A252" i="39"/>
  <c r="B252" i="39" s="1"/>
  <c r="N252" i="39" s="1"/>
  <c r="H252" i="39"/>
  <c r="E252" i="39"/>
  <c r="I253" i="39" l="1"/>
  <c r="C254" i="39" s="1"/>
  <c r="G253" i="39"/>
  <c r="F253" i="39"/>
  <c r="H253" i="39"/>
  <c r="A253" i="39"/>
  <c r="B253" i="39" s="1"/>
  <c r="N253" i="39" s="1"/>
  <c r="D253" i="39"/>
  <c r="J253" i="39" s="1"/>
  <c r="K253" i="39" s="1"/>
  <c r="E253" i="39"/>
  <c r="G254" i="39" l="1"/>
  <c r="D254" i="39"/>
  <c r="J254" i="39" s="1"/>
  <c r="K254" i="39" s="1"/>
  <c r="A254" i="39"/>
  <c r="B254" i="39" s="1"/>
  <c r="N254" i="39" s="1"/>
  <c r="F254" i="39"/>
  <c r="H254" i="39"/>
  <c r="I254" i="39"/>
  <c r="C255" i="39" s="1"/>
  <c r="E254" i="39"/>
  <c r="F255" i="39" l="1"/>
  <c r="D255" i="39"/>
  <c r="J255" i="39" s="1"/>
  <c r="K255" i="39" s="1"/>
  <c r="I255" i="39"/>
  <c r="C256" i="39" s="1"/>
  <c r="A255" i="39"/>
  <c r="B255" i="39" s="1"/>
  <c r="N255" i="39" s="1"/>
  <c r="H255" i="39"/>
  <c r="E255" i="39"/>
  <c r="G255" i="39"/>
  <c r="D256" i="39" l="1"/>
  <c r="J256" i="39" s="1"/>
  <c r="K256" i="39" s="1"/>
  <c r="G256" i="39"/>
  <c r="F256" i="39"/>
  <c r="E256" i="39"/>
  <c r="I256" i="39"/>
  <c r="C257" i="39" s="1"/>
  <c r="H256" i="39"/>
  <c r="A256" i="39"/>
  <c r="B256" i="39" s="1"/>
  <c r="N256" i="39" s="1"/>
  <c r="A257" i="39" l="1"/>
  <c r="B257" i="39" s="1"/>
  <c r="N257" i="39" s="1"/>
  <c r="H257" i="39"/>
  <c r="F257" i="39"/>
  <c r="E257" i="39"/>
  <c r="D257" i="39"/>
  <c r="J257" i="39" s="1"/>
  <c r="K257" i="39" s="1"/>
  <c r="G257" i="39"/>
  <c r="I257" i="39"/>
  <c r="C258" i="39" s="1"/>
  <c r="I258" i="39" l="1"/>
  <c r="C259" i="39" s="1"/>
  <c r="F258" i="39"/>
  <c r="A258" i="39"/>
  <c r="B258" i="39" s="1"/>
  <c r="N258" i="39" s="1"/>
  <c r="G258" i="39"/>
  <c r="H258" i="39"/>
  <c r="D258" i="39"/>
  <c r="J258" i="39" s="1"/>
  <c r="K258" i="39" s="1"/>
  <c r="E258" i="39"/>
  <c r="D259" i="39" l="1"/>
  <c r="J259" i="39" s="1"/>
  <c r="K259" i="39" s="1"/>
  <c r="G259" i="39"/>
  <c r="I259" i="39"/>
  <c r="C260" i="39" s="1"/>
  <c r="E259" i="39"/>
  <c r="A259" i="39"/>
  <c r="B259" i="39" s="1"/>
  <c r="N259" i="39" s="1"/>
  <c r="F259" i="39"/>
  <c r="H259" i="39"/>
  <c r="I260" i="39" l="1"/>
  <c r="C261" i="39" s="1"/>
  <c r="G260" i="39"/>
  <c r="E260" i="39"/>
  <c r="H260" i="39"/>
  <c r="A260" i="39"/>
  <c r="B260" i="39" s="1"/>
  <c r="N260" i="39" s="1"/>
  <c r="D260" i="39"/>
  <c r="J260" i="39" s="1"/>
  <c r="K260" i="39" s="1"/>
  <c r="F260" i="39"/>
  <c r="A261" i="39" l="1"/>
  <c r="B261" i="39" s="1"/>
  <c r="N261" i="39" s="1"/>
  <c r="I261" i="39"/>
  <c r="C262" i="39" s="1"/>
  <c r="H261" i="39"/>
  <c r="E261" i="39"/>
  <c r="F261" i="39"/>
  <c r="D261" i="39"/>
  <c r="J261" i="39" s="1"/>
  <c r="K261" i="39" s="1"/>
  <c r="G261" i="39"/>
  <c r="F262" i="39" l="1"/>
  <c r="D262" i="39"/>
  <c r="J262" i="39" s="1"/>
  <c r="K262" i="39" s="1"/>
  <c r="H262" i="39"/>
  <c r="E262" i="39"/>
  <c r="G262" i="39"/>
  <c r="I262" i="39"/>
  <c r="C263" i="39" s="1"/>
  <c r="A262" i="39"/>
  <c r="B262" i="39" s="1"/>
  <c r="N262" i="39" s="1"/>
  <c r="D263" i="39" l="1"/>
  <c r="J263" i="39" s="1"/>
  <c r="K263" i="39" s="1"/>
  <c r="I263" i="39"/>
  <c r="C264" i="39" s="1"/>
  <c r="G263" i="39"/>
  <c r="H263" i="39"/>
  <c r="E263" i="39"/>
  <c r="A263" i="39"/>
  <c r="B263" i="39" s="1"/>
  <c r="N263" i="39" s="1"/>
  <c r="F263" i="39"/>
  <c r="I264" i="39" l="1"/>
  <c r="C265" i="39" s="1"/>
  <c r="H264" i="39"/>
  <c r="G264" i="39"/>
  <c r="F264" i="39"/>
  <c r="A264" i="39"/>
  <c r="B264" i="39" s="1"/>
  <c r="N264" i="39" s="1"/>
  <c r="E264" i="39"/>
  <c r="D264" i="39"/>
  <c r="J264" i="39" s="1"/>
  <c r="K264" i="39" s="1"/>
  <c r="D265" i="39" l="1"/>
  <c r="J265" i="39" s="1"/>
  <c r="K265" i="39" s="1"/>
  <c r="H265" i="39"/>
  <c r="F265" i="39"/>
  <c r="G265" i="39"/>
  <c r="I265" i="39"/>
  <c r="C266" i="39" s="1"/>
  <c r="A265" i="39"/>
  <c r="B265" i="39" s="1"/>
  <c r="N265" i="39" s="1"/>
  <c r="E265" i="39"/>
  <c r="D266" i="39" l="1"/>
  <c r="J266" i="39" s="1"/>
  <c r="K266" i="39" s="1"/>
  <c r="F266" i="39"/>
  <c r="A266" i="39"/>
  <c r="B266" i="39" s="1"/>
  <c r="N266" i="39" s="1"/>
  <c r="E266" i="39"/>
  <c r="I266" i="39"/>
  <c r="C267" i="39" s="1"/>
  <c r="H266" i="39"/>
  <c r="G266" i="39"/>
  <c r="A267" i="39" l="1"/>
  <c r="B267" i="39" s="1"/>
  <c r="N267" i="39" s="1"/>
  <c r="G267" i="39"/>
  <c r="I267" i="39"/>
  <c r="C268" i="39" s="1"/>
  <c r="D267" i="39"/>
  <c r="J267" i="39" s="1"/>
  <c r="K267" i="39" s="1"/>
  <c r="E267" i="39"/>
  <c r="F267" i="39"/>
  <c r="H267" i="39"/>
  <c r="E268" i="39" l="1"/>
  <c r="I268" i="39"/>
  <c r="C269" i="39" s="1"/>
  <c r="D268" i="39"/>
  <c r="J268" i="39" s="1"/>
  <c r="K268" i="39" s="1"/>
  <c r="G268" i="39"/>
  <c r="A268" i="39"/>
  <c r="B268" i="39" s="1"/>
  <c r="N268" i="39" s="1"/>
  <c r="H268" i="39"/>
  <c r="F268" i="39"/>
  <c r="D269" i="39" l="1"/>
  <c r="J269" i="39" s="1"/>
  <c r="K269" i="39" s="1"/>
  <c r="A269" i="39"/>
  <c r="B269" i="39" s="1"/>
  <c r="N269" i="39" s="1"/>
  <c r="F269" i="39"/>
  <c r="H269" i="39"/>
  <c r="E269" i="39"/>
  <c r="I269" i="39"/>
  <c r="C270" i="39" s="1"/>
  <c r="G269" i="39"/>
  <c r="H270" i="39" l="1"/>
  <c r="E270" i="39"/>
  <c r="F270" i="39"/>
  <c r="A270" i="39"/>
  <c r="B270" i="39" s="1"/>
  <c r="N270" i="39" s="1"/>
  <c r="I270" i="39"/>
  <c r="C271" i="39" s="1"/>
  <c r="G270" i="39"/>
  <c r="D270" i="39"/>
  <c r="J270" i="39" s="1"/>
  <c r="K270" i="39" s="1"/>
  <c r="E271" i="39" l="1"/>
  <c r="F271" i="39"/>
  <c r="I271" i="39"/>
  <c r="C272" i="39" s="1"/>
  <c r="G271" i="39"/>
  <c r="D271" i="39"/>
  <c r="J271" i="39" s="1"/>
  <c r="K271" i="39" s="1"/>
  <c r="H271" i="39"/>
  <c r="A271" i="39"/>
  <c r="B271" i="39" s="1"/>
  <c r="N271" i="39" s="1"/>
  <c r="H272" i="39" l="1"/>
  <c r="G272" i="39"/>
  <c r="A272" i="39"/>
  <c r="B272" i="39" s="1"/>
  <c r="N272" i="39" s="1"/>
  <c r="I272" i="39"/>
  <c r="C273" i="39" s="1"/>
  <c r="D272" i="39"/>
  <c r="J272" i="39" s="1"/>
  <c r="K272" i="39" s="1"/>
  <c r="E272" i="39"/>
  <c r="F272" i="39"/>
  <c r="G273" i="39" l="1"/>
  <c r="F273" i="39"/>
  <c r="D273" i="39"/>
  <c r="J273" i="39" s="1"/>
  <c r="K273" i="39" s="1"/>
  <c r="A273" i="39"/>
  <c r="B273" i="39" s="1"/>
  <c r="N273" i="39" s="1"/>
  <c r="I273" i="39"/>
  <c r="C274" i="39" s="1"/>
  <c r="E273" i="39"/>
  <c r="H273" i="39"/>
  <c r="E274" i="39" l="1"/>
  <c r="A274" i="39"/>
  <c r="B274" i="39" s="1"/>
  <c r="N274" i="39" s="1"/>
  <c r="I274" i="39"/>
  <c r="C275" i="39" s="1"/>
  <c r="G274" i="39"/>
  <c r="H274" i="39"/>
  <c r="D274" i="39"/>
  <c r="J274" i="39" s="1"/>
  <c r="K274" i="39" s="1"/>
  <c r="F274" i="39"/>
  <c r="E275" i="39" l="1"/>
  <c r="H275" i="39"/>
  <c r="D275" i="39"/>
  <c r="J275" i="39" s="1"/>
  <c r="K275" i="39" s="1"/>
  <c r="I275" i="39"/>
  <c r="C276" i="39" s="1"/>
  <c r="A275" i="39"/>
  <c r="B275" i="39" s="1"/>
  <c r="N275" i="39" s="1"/>
  <c r="G275" i="39"/>
  <c r="F275" i="39"/>
  <c r="A276" i="39" l="1"/>
  <c r="B276" i="39" s="1"/>
  <c r="N276" i="39" s="1"/>
  <c r="F276" i="39"/>
  <c r="D276" i="39"/>
  <c r="J276" i="39" s="1"/>
  <c r="K276" i="39" s="1"/>
  <c r="E276" i="39"/>
  <c r="I276" i="39"/>
  <c r="C277" i="39" s="1"/>
  <c r="H276" i="39"/>
  <c r="G276" i="39"/>
  <c r="G277" i="39" l="1"/>
  <c r="F277" i="39"/>
  <c r="A277" i="39"/>
  <c r="B277" i="39" s="1"/>
  <c r="N277" i="39" s="1"/>
  <c r="I277" i="39"/>
  <c r="C278" i="39" s="1"/>
  <c r="E277" i="39"/>
  <c r="H277" i="39"/>
  <c r="D277" i="39"/>
  <c r="J277" i="39" s="1"/>
  <c r="K277" i="39" s="1"/>
  <c r="H278" i="39" l="1"/>
  <c r="F278" i="39"/>
  <c r="D278" i="39"/>
  <c r="J278" i="39" s="1"/>
  <c r="K278" i="39" s="1"/>
  <c r="I278" i="39"/>
  <c r="C279" i="39" s="1"/>
  <c r="E278" i="39"/>
  <c r="A278" i="39"/>
  <c r="B278" i="39" s="1"/>
  <c r="N278" i="39" s="1"/>
  <c r="G278" i="39"/>
  <c r="G279" i="39" l="1"/>
  <c r="D279" i="39"/>
  <c r="J279" i="39" s="1"/>
  <c r="K279" i="39" s="1"/>
  <c r="F279" i="39"/>
  <c r="E279" i="39"/>
  <c r="H279" i="39"/>
  <c r="I279" i="39"/>
  <c r="C280" i="39" s="1"/>
  <c r="A279" i="39"/>
  <c r="B279" i="39" s="1"/>
  <c r="N279" i="39" s="1"/>
  <c r="H280" i="39" l="1"/>
  <c r="G280" i="39"/>
  <c r="A280" i="39"/>
  <c r="B280" i="39" s="1"/>
  <c r="N280" i="39" s="1"/>
  <c r="F280" i="39"/>
  <c r="E280" i="39"/>
  <c r="D280" i="39"/>
  <c r="J280" i="39" s="1"/>
  <c r="K280" i="39" s="1"/>
  <c r="I280" i="39"/>
  <c r="C281" i="39" s="1"/>
  <c r="E281" i="39" l="1"/>
  <c r="I281" i="39"/>
  <c r="C282" i="39" s="1"/>
  <c r="D281" i="39"/>
  <c r="J281" i="39" s="1"/>
  <c r="K281" i="39" s="1"/>
  <c r="G281" i="39"/>
  <c r="H281" i="39"/>
  <c r="F281" i="39"/>
  <c r="A281" i="39"/>
  <c r="B281" i="39" s="1"/>
  <c r="N281" i="39" s="1"/>
  <c r="D282" i="39" l="1"/>
  <c r="J282" i="39" s="1"/>
  <c r="K282" i="39" s="1"/>
  <c r="A282" i="39"/>
  <c r="B282" i="39" s="1"/>
  <c r="N282" i="39" s="1"/>
  <c r="H282" i="39"/>
  <c r="E282" i="39"/>
  <c r="I282" i="39"/>
  <c r="C283" i="39" s="1"/>
  <c r="F282" i="39"/>
  <c r="G282" i="39"/>
  <c r="I283" i="39" l="1"/>
  <c r="C284" i="39" s="1"/>
  <c r="H283" i="39"/>
  <c r="E283" i="39"/>
  <c r="D283" i="39"/>
  <c r="J283" i="39" s="1"/>
  <c r="K283" i="39" s="1"/>
  <c r="A283" i="39"/>
  <c r="B283" i="39" s="1"/>
  <c r="N283" i="39" s="1"/>
  <c r="G283" i="39"/>
  <c r="F283" i="39"/>
  <c r="D284" i="39" l="1"/>
  <c r="J284" i="39" s="1"/>
  <c r="K284" i="39" s="1"/>
  <c r="A284" i="39"/>
  <c r="B284" i="39" s="1"/>
  <c r="N284" i="39" s="1"/>
  <c r="H284" i="39"/>
  <c r="F284" i="39"/>
  <c r="I284" i="39"/>
  <c r="C285" i="39" s="1"/>
  <c r="E284" i="39"/>
  <c r="G284" i="39"/>
  <c r="A285" i="39" l="1"/>
  <c r="B285" i="39" s="1"/>
  <c r="N285" i="39" s="1"/>
  <c r="I285" i="39"/>
  <c r="C286" i="39" s="1"/>
  <c r="H285" i="39"/>
  <c r="F285" i="39"/>
  <c r="E285" i="39"/>
  <c r="G285" i="39"/>
  <c r="D285" i="39"/>
  <c r="J285" i="39" s="1"/>
  <c r="K285" i="39" s="1"/>
  <c r="F286" i="39" l="1"/>
  <c r="H286" i="39"/>
  <c r="D286" i="39"/>
  <c r="J286" i="39" s="1"/>
  <c r="K286" i="39" s="1"/>
  <c r="G286" i="39"/>
  <c r="I286" i="39"/>
  <c r="C287" i="39" s="1"/>
  <c r="E286" i="39"/>
  <c r="A286" i="39"/>
  <c r="B286" i="39" s="1"/>
  <c r="N286" i="39" s="1"/>
  <c r="A287" i="39" l="1"/>
  <c r="B287" i="39" s="1"/>
  <c r="N287" i="39" s="1"/>
  <c r="F287" i="39"/>
  <c r="E287" i="39"/>
  <c r="G287" i="39"/>
  <c r="H287" i="39"/>
  <c r="I287" i="39"/>
  <c r="C288" i="39" s="1"/>
  <c r="D287" i="39"/>
  <c r="J287" i="39" s="1"/>
  <c r="K287" i="39" s="1"/>
  <c r="H288" i="39" l="1"/>
  <c r="E288" i="39"/>
  <c r="G288" i="39"/>
  <c r="D288" i="39"/>
  <c r="J288" i="39" s="1"/>
  <c r="K288" i="39" s="1"/>
  <c r="I288" i="39"/>
  <c r="C289" i="39" s="1"/>
  <c r="F288" i="39"/>
  <c r="A288" i="39"/>
  <c r="B288" i="39" s="1"/>
  <c r="N288" i="39" s="1"/>
  <c r="G289" i="39" l="1"/>
  <c r="F289" i="39"/>
  <c r="H289" i="39"/>
  <c r="I289" i="39"/>
  <c r="C290" i="39" s="1"/>
  <c r="A289" i="39"/>
  <c r="B289" i="39" s="1"/>
  <c r="N289" i="39" s="1"/>
  <c r="E289" i="39"/>
  <c r="D289" i="39"/>
  <c r="J289" i="39" s="1"/>
  <c r="K289" i="39" s="1"/>
  <c r="G290" i="39" l="1"/>
  <c r="H290" i="39"/>
  <c r="A290" i="39"/>
  <c r="B290" i="39" s="1"/>
  <c r="N290" i="39" s="1"/>
  <c r="E290" i="39"/>
  <c r="I290" i="39"/>
  <c r="C291" i="39" s="1"/>
  <c r="D290" i="39"/>
  <c r="J290" i="39" s="1"/>
  <c r="K290" i="39" s="1"/>
  <c r="F290" i="39"/>
  <c r="G291" i="39" l="1"/>
  <c r="H291" i="39"/>
  <c r="A291" i="39"/>
  <c r="B291" i="39" s="1"/>
  <c r="N291" i="39" s="1"/>
  <c r="I291" i="39"/>
  <c r="C292" i="39" s="1"/>
  <c r="F291" i="39"/>
  <c r="E291" i="39"/>
  <c r="D291" i="39"/>
  <c r="J291" i="39" s="1"/>
  <c r="K291" i="39" s="1"/>
  <c r="I292" i="39" l="1"/>
  <c r="C293" i="39" s="1"/>
  <c r="E292" i="39"/>
  <c r="D292" i="39"/>
  <c r="J292" i="39" s="1"/>
  <c r="K292" i="39" s="1"/>
  <c r="H292" i="39"/>
  <c r="G292" i="39"/>
  <c r="F292" i="39"/>
  <c r="A292" i="39"/>
  <c r="B292" i="39" s="1"/>
  <c r="N292" i="39" s="1"/>
  <c r="H293" i="39" l="1"/>
  <c r="A293" i="39"/>
  <c r="B293" i="39" s="1"/>
  <c r="N293" i="39" s="1"/>
  <c r="D293" i="39"/>
  <c r="J293" i="39" s="1"/>
  <c r="K293" i="39" s="1"/>
  <c r="E293" i="39"/>
  <c r="G293" i="39"/>
  <c r="I293" i="39"/>
  <c r="C294" i="39" s="1"/>
  <c r="F293" i="39"/>
  <c r="F294" i="39" l="1"/>
  <c r="D294" i="39"/>
  <c r="J294" i="39" s="1"/>
  <c r="K294" i="39" s="1"/>
  <c r="H294" i="39"/>
  <c r="E294" i="39"/>
  <c r="I294" i="39"/>
  <c r="C295" i="39" s="1"/>
  <c r="G294" i="39"/>
  <c r="A294" i="39"/>
  <c r="B294" i="39" s="1"/>
  <c r="N294" i="39" s="1"/>
  <c r="G295" i="39" l="1"/>
  <c r="H295" i="39"/>
  <c r="A295" i="39"/>
  <c r="B295" i="39" s="1"/>
  <c r="N295" i="39" s="1"/>
  <c r="I295" i="39"/>
  <c r="C296" i="39" s="1"/>
  <c r="E295" i="39"/>
  <c r="D295" i="39"/>
  <c r="J295" i="39" s="1"/>
  <c r="K295" i="39" s="1"/>
  <c r="F295" i="39"/>
  <c r="A296" i="39" l="1"/>
  <c r="B296" i="39" s="1"/>
  <c r="N296" i="39" s="1"/>
  <c r="E296" i="39"/>
  <c r="I296" i="39"/>
  <c r="C297" i="39" s="1"/>
  <c r="G296" i="39"/>
  <c r="D296" i="39"/>
  <c r="J296" i="39" s="1"/>
  <c r="K296" i="39" s="1"/>
  <c r="F296" i="39"/>
  <c r="H296" i="39"/>
  <c r="A297" i="39" l="1"/>
  <c r="B297" i="39" s="1"/>
  <c r="N297" i="39" s="1"/>
  <c r="E297" i="39"/>
  <c r="D297" i="39"/>
  <c r="J297" i="39" s="1"/>
  <c r="K297" i="39" s="1"/>
  <c r="H297" i="39"/>
  <c r="G297" i="39"/>
  <c r="I297" i="39"/>
  <c r="C298" i="39" s="1"/>
  <c r="F297" i="39"/>
  <c r="I298" i="39" l="1"/>
  <c r="C299" i="39" s="1"/>
  <c r="F298" i="39"/>
  <c r="A298" i="39"/>
  <c r="B298" i="39" s="1"/>
  <c r="N298" i="39" s="1"/>
  <c r="D298" i="39"/>
  <c r="J298" i="39" s="1"/>
  <c r="K298" i="39" s="1"/>
  <c r="H298" i="39"/>
  <c r="G298" i="39"/>
  <c r="E298" i="39"/>
  <c r="D299" i="39" l="1"/>
  <c r="J299" i="39" s="1"/>
  <c r="K299" i="39" s="1"/>
  <c r="F299" i="39"/>
  <c r="H299" i="39"/>
  <c r="A299" i="39"/>
  <c r="B299" i="39" s="1"/>
  <c r="N299" i="39" s="1"/>
  <c r="E299" i="39"/>
  <c r="G299" i="39"/>
  <c r="I299" i="39"/>
  <c r="C300" i="39" s="1"/>
  <c r="F300" i="39" l="1"/>
  <c r="G300" i="39"/>
  <c r="H300" i="39"/>
  <c r="E300" i="39"/>
  <c r="D300" i="39"/>
  <c r="J300" i="39" s="1"/>
  <c r="K300" i="39" s="1"/>
  <c r="I300" i="39"/>
  <c r="C301" i="39" s="1"/>
  <c r="A300" i="39"/>
  <c r="B300" i="39" s="1"/>
  <c r="N300" i="39" s="1"/>
  <c r="F301" i="39" l="1"/>
  <c r="D301" i="39"/>
  <c r="J301" i="39" s="1"/>
  <c r="K301" i="39" s="1"/>
  <c r="E301" i="39"/>
  <c r="G301" i="39"/>
  <c r="H301" i="39"/>
  <c r="I301" i="39"/>
  <c r="C302" i="39" s="1"/>
  <c r="A301" i="39"/>
  <c r="B301" i="39" s="1"/>
  <c r="N301" i="39" s="1"/>
  <c r="H302" i="39" l="1"/>
  <c r="A302" i="39"/>
  <c r="B302" i="39" s="1"/>
  <c r="N302" i="39" s="1"/>
  <c r="D302" i="39"/>
  <c r="J302" i="39" s="1"/>
  <c r="K302" i="39" s="1"/>
  <c r="F302" i="39"/>
  <c r="E302" i="39"/>
  <c r="G302" i="39"/>
  <c r="I302" i="39"/>
  <c r="C303" i="39" s="1"/>
  <c r="I303" i="39" l="1"/>
  <c r="C304" i="39" s="1"/>
  <c r="D303" i="39"/>
  <c r="J303" i="39" s="1"/>
  <c r="K303" i="39" s="1"/>
  <c r="A303" i="39"/>
  <c r="B303" i="39" s="1"/>
  <c r="N303" i="39" s="1"/>
  <c r="F303" i="39"/>
  <c r="E303" i="39"/>
  <c r="G303" i="39"/>
  <c r="H303" i="39"/>
  <c r="D304" i="39" l="1"/>
  <c r="J304" i="39" s="1"/>
  <c r="K304" i="39" s="1"/>
  <c r="E304" i="39"/>
  <c r="G304" i="39"/>
  <c r="F304" i="39"/>
  <c r="I304" i="39"/>
  <c r="C305" i="39" s="1"/>
  <c r="A304" i="39"/>
  <c r="B304" i="39" s="1"/>
  <c r="N304" i="39" s="1"/>
  <c r="H304" i="39"/>
  <c r="H305" i="39" l="1"/>
  <c r="D305" i="39"/>
  <c r="J305" i="39" s="1"/>
  <c r="K305" i="39" s="1"/>
  <c r="G305" i="39"/>
  <c r="I305" i="39"/>
  <c r="C306" i="39" s="1"/>
  <c r="E305" i="39"/>
  <c r="A305" i="39"/>
  <c r="B305" i="39" s="1"/>
  <c r="N305" i="39" s="1"/>
  <c r="F305" i="39"/>
  <c r="D306" i="39" l="1"/>
  <c r="J306" i="39" s="1"/>
  <c r="K306" i="39" s="1"/>
  <c r="G306" i="39"/>
  <c r="E306" i="39"/>
  <c r="F306" i="39"/>
  <c r="H306" i="39"/>
  <c r="I306" i="39"/>
  <c r="C307" i="39" s="1"/>
  <c r="A306" i="39"/>
  <c r="B306" i="39" s="1"/>
  <c r="N306" i="39" s="1"/>
  <c r="F307" i="39" l="1"/>
  <c r="G307" i="39"/>
  <c r="H307" i="39"/>
  <c r="A307" i="39"/>
  <c r="B307" i="39" s="1"/>
  <c r="N307" i="39" s="1"/>
  <c r="E307" i="39"/>
  <c r="I307" i="39"/>
  <c r="C308" i="39" s="1"/>
  <c r="D307" i="39"/>
  <c r="J307" i="39" s="1"/>
  <c r="K307" i="39" s="1"/>
  <c r="A308" i="39" l="1"/>
  <c r="B308" i="39" s="1"/>
  <c r="N308" i="39" s="1"/>
  <c r="D308" i="39"/>
  <c r="J308" i="39" s="1"/>
  <c r="K308" i="39" s="1"/>
  <c r="G308" i="39"/>
  <c r="H308" i="39"/>
  <c r="F308" i="39"/>
  <c r="I308" i="39"/>
  <c r="C309" i="39" s="1"/>
  <c r="E308" i="39"/>
  <c r="E309" i="39" l="1"/>
  <c r="A309" i="39"/>
  <c r="B309" i="39" s="1"/>
  <c r="N309" i="39" s="1"/>
  <c r="D309" i="39"/>
  <c r="J309" i="39" s="1"/>
  <c r="K309" i="39" s="1"/>
  <c r="H309" i="39"/>
  <c r="G309" i="39"/>
  <c r="F309" i="39"/>
  <c r="I309" i="39"/>
  <c r="C310" i="39" s="1"/>
  <c r="F310" i="39" l="1"/>
  <c r="D310" i="39"/>
  <c r="J310" i="39" s="1"/>
  <c r="K310" i="39" s="1"/>
  <c r="H310" i="39"/>
  <c r="G310" i="39"/>
  <c r="I310" i="39"/>
  <c r="C311" i="39" s="1"/>
  <c r="E310" i="39"/>
  <c r="A310" i="39"/>
  <c r="B310" i="39" s="1"/>
  <c r="N310" i="39" s="1"/>
  <c r="D311" i="39" l="1"/>
  <c r="J311" i="39" s="1"/>
  <c r="K311" i="39" s="1"/>
  <c r="I311" i="39"/>
  <c r="C312" i="39" s="1"/>
  <c r="H311" i="39"/>
  <c r="A311" i="39"/>
  <c r="B311" i="39" s="1"/>
  <c r="N311" i="39" s="1"/>
  <c r="E311" i="39"/>
  <c r="G311" i="39"/>
  <c r="F311" i="39"/>
  <c r="G312" i="39" l="1"/>
  <c r="F312" i="39"/>
  <c r="E312" i="39"/>
  <c r="A312" i="39"/>
  <c r="B312" i="39" s="1"/>
  <c r="N312" i="39" s="1"/>
  <c r="I312" i="39"/>
  <c r="C313" i="39" s="1"/>
  <c r="H312" i="39"/>
  <c r="D312" i="39"/>
  <c r="J312" i="39" s="1"/>
  <c r="K312" i="39" s="1"/>
  <c r="E313" i="39" l="1"/>
  <c r="A313" i="39"/>
  <c r="B313" i="39" s="1"/>
  <c r="N313" i="39" s="1"/>
  <c r="G313" i="39"/>
  <c r="H313" i="39"/>
  <c r="D313" i="39"/>
  <c r="J313" i="39" s="1"/>
  <c r="K313" i="39" s="1"/>
  <c r="F313" i="39"/>
  <c r="I313" i="39"/>
  <c r="C314" i="39" s="1"/>
  <c r="G314" i="39" l="1"/>
  <c r="H314" i="39"/>
  <c r="F314" i="39"/>
  <c r="A314" i="39"/>
  <c r="B314" i="39" s="1"/>
  <c r="N314" i="39" s="1"/>
  <c r="D314" i="39"/>
  <c r="J314" i="39" s="1"/>
  <c r="K314" i="39" s="1"/>
  <c r="I314" i="39"/>
  <c r="C315" i="39" s="1"/>
  <c r="E314" i="39"/>
  <c r="D315" i="39" l="1"/>
  <c r="J315" i="39" s="1"/>
  <c r="K315" i="39" s="1"/>
  <c r="A315" i="39"/>
  <c r="B315" i="39" s="1"/>
  <c r="N315" i="39" s="1"/>
  <c r="I315" i="39"/>
  <c r="C316" i="39" s="1"/>
  <c r="G315" i="39"/>
  <c r="F315" i="39"/>
  <c r="H315" i="39"/>
  <c r="E315" i="39"/>
  <c r="F316" i="39" l="1"/>
  <c r="E316" i="39"/>
  <c r="I316" i="39"/>
  <c r="C317" i="39" s="1"/>
  <c r="H316" i="39"/>
  <c r="G316" i="39"/>
  <c r="A316" i="39"/>
  <c r="B316" i="39" s="1"/>
  <c r="N316" i="39" s="1"/>
  <c r="D316" i="39"/>
  <c r="J316" i="39" s="1"/>
  <c r="K316" i="39" s="1"/>
  <c r="G317" i="39" l="1"/>
  <c r="D317" i="39"/>
  <c r="J317" i="39" s="1"/>
  <c r="K317" i="39" s="1"/>
  <c r="H317" i="39"/>
  <c r="I317" i="39"/>
  <c r="C318" i="39" s="1"/>
  <c r="F317" i="39"/>
  <c r="A317" i="39"/>
  <c r="B317" i="39" s="1"/>
  <c r="N317" i="39" s="1"/>
  <c r="E317" i="39"/>
  <c r="D318" i="39" l="1"/>
  <c r="J318" i="39" s="1"/>
  <c r="K318" i="39" s="1"/>
  <c r="I318" i="39"/>
  <c r="C319" i="39" s="1"/>
  <c r="G318" i="39"/>
  <c r="F318" i="39"/>
  <c r="A318" i="39"/>
  <c r="B318" i="39" s="1"/>
  <c r="N318" i="39" s="1"/>
  <c r="E318" i="39"/>
  <c r="H318" i="39"/>
  <c r="G319" i="39" l="1"/>
  <c r="A319" i="39"/>
  <c r="B319" i="39" s="1"/>
  <c r="N319" i="39" s="1"/>
  <c r="H319" i="39"/>
  <c r="I319" i="39"/>
  <c r="C320" i="39" s="1"/>
  <c r="E319" i="39"/>
  <c r="F319" i="39"/>
  <c r="D319" i="39"/>
  <c r="J319" i="39" s="1"/>
  <c r="K319" i="39" s="1"/>
  <c r="D320" i="39" l="1"/>
  <c r="J320" i="39" s="1"/>
  <c r="K320" i="39" s="1"/>
  <c r="A320" i="39"/>
  <c r="B320" i="39" s="1"/>
  <c r="N320" i="39" s="1"/>
  <c r="E320" i="39"/>
  <c r="H320" i="39"/>
  <c r="I320" i="39"/>
  <c r="C321" i="39" s="1"/>
  <c r="G320" i="39"/>
  <c r="F320" i="39"/>
  <c r="I321" i="39" l="1"/>
  <c r="C322" i="39" s="1"/>
  <c r="F321" i="39"/>
  <c r="A321" i="39"/>
  <c r="B321" i="39" s="1"/>
  <c r="N321" i="39" s="1"/>
  <c r="E321" i="39"/>
  <c r="H321" i="39"/>
  <c r="D321" i="39"/>
  <c r="J321" i="39" s="1"/>
  <c r="K321" i="39" s="1"/>
  <c r="G321" i="39"/>
  <c r="D322" i="39" l="1"/>
  <c r="J322" i="39" s="1"/>
  <c r="K322" i="39" s="1"/>
  <c r="H322" i="39"/>
  <c r="F322" i="39"/>
  <c r="I322" i="39"/>
  <c r="C323" i="39" s="1"/>
  <c r="E322" i="39"/>
  <c r="A322" i="39"/>
  <c r="B322" i="39" s="1"/>
  <c r="N322" i="39" s="1"/>
  <c r="G322" i="39"/>
  <c r="E323" i="39" l="1"/>
  <c r="H323" i="39"/>
  <c r="A323" i="39"/>
  <c r="B323" i="39" s="1"/>
  <c r="N323" i="39" s="1"/>
  <c r="G323" i="39"/>
  <c r="F323" i="39"/>
  <c r="D323" i="39"/>
  <c r="J323" i="39" s="1"/>
  <c r="K323" i="39" s="1"/>
  <c r="I323" i="39"/>
  <c r="C324" i="39" s="1"/>
  <c r="E324" i="39" l="1"/>
  <c r="A324" i="39"/>
  <c r="B324" i="39" s="1"/>
  <c r="N324" i="39" s="1"/>
  <c r="D324" i="39"/>
  <c r="J324" i="39" s="1"/>
  <c r="K324" i="39" s="1"/>
  <c r="F324" i="39"/>
  <c r="I324" i="39"/>
  <c r="C325" i="39" s="1"/>
  <c r="H324" i="39"/>
  <c r="G324" i="39"/>
  <c r="A325" i="39" l="1"/>
  <c r="B325" i="39" s="1"/>
  <c r="N325" i="39" s="1"/>
  <c r="H325" i="39"/>
  <c r="I325" i="39"/>
  <c r="C326" i="39" s="1"/>
  <c r="F325" i="39"/>
  <c r="G325" i="39"/>
  <c r="D325" i="39"/>
  <c r="J325" i="39" s="1"/>
  <c r="K325" i="39" s="1"/>
  <c r="E325" i="39"/>
  <c r="I326" i="39" l="1"/>
  <c r="C327" i="39" s="1"/>
  <c r="E326" i="39"/>
  <c r="D326" i="39"/>
  <c r="J326" i="39" s="1"/>
  <c r="K326" i="39" s="1"/>
  <c r="A326" i="39"/>
  <c r="B326" i="39" s="1"/>
  <c r="N326" i="39" s="1"/>
  <c r="F326" i="39"/>
  <c r="H326" i="39"/>
  <c r="G326" i="39"/>
  <c r="D327" i="39" l="1"/>
  <c r="J327" i="39" s="1"/>
  <c r="K327" i="39" s="1"/>
  <c r="G327" i="39"/>
  <c r="E327" i="39"/>
  <c r="A327" i="39"/>
  <c r="B327" i="39" s="1"/>
  <c r="N327" i="39" s="1"/>
  <c r="H327" i="39"/>
  <c r="F327" i="39"/>
  <c r="I327" i="39"/>
  <c r="C328" i="39" s="1"/>
  <c r="A328" i="39" l="1"/>
  <c r="B328" i="39" s="1"/>
  <c r="N328" i="39" s="1"/>
  <c r="I328" i="39"/>
  <c r="C329" i="39" s="1"/>
  <c r="E328" i="39"/>
  <c r="H328" i="39"/>
  <c r="D328" i="39"/>
  <c r="J328" i="39" s="1"/>
  <c r="K328" i="39" s="1"/>
  <c r="G328" i="39"/>
  <c r="F328" i="39"/>
  <c r="H329" i="39" l="1"/>
  <c r="E329" i="39"/>
  <c r="D329" i="39"/>
  <c r="J329" i="39" s="1"/>
  <c r="K329" i="39" s="1"/>
  <c r="G329" i="39"/>
  <c r="I329" i="39"/>
  <c r="C330" i="39" s="1"/>
  <c r="A329" i="39"/>
  <c r="B329" i="39" s="1"/>
  <c r="N329" i="39" s="1"/>
  <c r="F329" i="39"/>
  <c r="G330" i="39" l="1"/>
  <c r="E330" i="39"/>
  <c r="H330" i="39"/>
  <c r="D330" i="39"/>
  <c r="J330" i="39" s="1"/>
  <c r="K330" i="39" s="1"/>
  <c r="A330" i="39"/>
  <c r="B330" i="39" s="1"/>
  <c r="N330" i="39" s="1"/>
  <c r="I330" i="39"/>
  <c r="C331" i="39" s="1"/>
  <c r="F330" i="39"/>
  <c r="F331" i="39" l="1"/>
  <c r="E331" i="39"/>
  <c r="D331" i="39"/>
  <c r="J331" i="39" s="1"/>
  <c r="K331" i="39" s="1"/>
  <c r="H331" i="39"/>
  <c r="I331" i="39"/>
  <c r="C332" i="39" s="1"/>
  <c r="G331" i="39"/>
  <c r="A331" i="39"/>
  <c r="B331" i="39" s="1"/>
  <c r="N331" i="39" s="1"/>
  <c r="G332" i="39" l="1"/>
  <c r="H332" i="39"/>
  <c r="F332" i="39"/>
  <c r="A332" i="39"/>
  <c r="B332" i="39" s="1"/>
  <c r="N332" i="39" s="1"/>
  <c r="D332" i="39"/>
  <c r="J332" i="39" s="1"/>
  <c r="K332" i="39" s="1"/>
  <c r="I332" i="39"/>
  <c r="C333" i="39" s="1"/>
  <c r="E332" i="39"/>
  <c r="E333" i="39" l="1"/>
  <c r="A333" i="39"/>
  <c r="B333" i="39" s="1"/>
  <c r="N333" i="39" s="1"/>
  <c r="I333" i="39"/>
  <c r="C334" i="39" s="1"/>
  <c r="G333" i="39"/>
  <c r="F333" i="39"/>
  <c r="H333" i="39"/>
  <c r="D333" i="39"/>
  <c r="J333" i="39" s="1"/>
  <c r="K333" i="39" s="1"/>
  <c r="G334" i="39" l="1"/>
  <c r="I334" i="39"/>
  <c r="C335" i="39" s="1"/>
  <c r="A334" i="39"/>
  <c r="B334" i="39" s="1"/>
  <c r="N334" i="39" s="1"/>
  <c r="E334" i="39"/>
  <c r="D334" i="39"/>
  <c r="J334" i="39" s="1"/>
  <c r="K334" i="39" s="1"/>
  <c r="F334" i="39"/>
  <c r="H334" i="39"/>
  <c r="E335" i="39" l="1"/>
  <c r="F335" i="39"/>
  <c r="G335" i="39"/>
  <c r="D335" i="39"/>
  <c r="J335" i="39" s="1"/>
  <c r="K335" i="39" s="1"/>
  <c r="H335" i="39"/>
  <c r="A335" i="39"/>
  <c r="B335" i="39" s="1"/>
  <c r="N335" i="39" s="1"/>
  <c r="I335" i="39"/>
  <c r="C336" i="39" s="1"/>
  <c r="G336" i="39" l="1"/>
  <c r="H336" i="39"/>
  <c r="E336" i="39"/>
  <c r="A336" i="39"/>
  <c r="B336" i="39" s="1"/>
  <c r="N336" i="39" s="1"/>
  <c r="I336" i="39"/>
  <c r="C337" i="39" s="1"/>
  <c r="F336" i="39"/>
  <c r="D336" i="39"/>
  <c r="J336" i="39" s="1"/>
  <c r="K336" i="39" s="1"/>
  <c r="E337" i="39" l="1"/>
  <c r="H337" i="39"/>
  <c r="I337" i="39"/>
  <c r="C338" i="39" s="1"/>
  <c r="G337" i="39"/>
  <c r="F337" i="39"/>
  <c r="A337" i="39"/>
  <c r="B337" i="39" s="1"/>
  <c r="N337" i="39" s="1"/>
  <c r="D337" i="39"/>
  <c r="J337" i="39" s="1"/>
  <c r="K337" i="39" s="1"/>
  <c r="F338" i="39" l="1"/>
  <c r="H338" i="39"/>
  <c r="G338" i="39"/>
  <c r="I338" i="39"/>
  <c r="C339" i="39" s="1"/>
  <c r="E338" i="39"/>
  <c r="A338" i="39"/>
  <c r="B338" i="39" s="1"/>
  <c r="N338" i="39" s="1"/>
  <c r="D338" i="39"/>
  <c r="J338" i="39" s="1"/>
  <c r="K338" i="39" s="1"/>
  <c r="H339" i="39" l="1"/>
  <c r="D339" i="39"/>
  <c r="J339" i="39" s="1"/>
  <c r="K339" i="39" s="1"/>
  <c r="E339" i="39"/>
  <c r="A339" i="39"/>
  <c r="B339" i="39" s="1"/>
  <c r="N339" i="39" s="1"/>
  <c r="I339" i="39"/>
  <c r="C340" i="39" s="1"/>
  <c r="F339" i="39"/>
  <c r="G339" i="39"/>
  <c r="A340" i="39" l="1"/>
  <c r="B340" i="39" s="1"/>
  <c r="N340" i="39" s="1"/>
  <c r="D340" i="39"/>
  <c r="J340" i="39" s="1"/>
  <c r="K340" i="39" s="1"/>
  <c r="E340" i="39"/>
  <c r="I340" i="39"/>
  <c r="C341" i="39" s="1"/>
  <c r="F340" i="39"/>
  <c r="G340" i="39"/>
  <c r="H340" i="39"/>
  <c r="I341" i="39" l="1"/>
  <c r="C342" i="39" s="1"/>
  <c r="F341" i="39"/>
  <c r="E341" i="39"/>
  <c r="A341" i="39"/>
  <c r="B341" i="39" s="1"/>
  <c r="N341" i="39" s="1"/>
  <c r="D341" i="39"/>
  <c r="J341" i="39" s="1"/>
  <c r="K341" i="39" s="1"/>
  <c r="H341" i="39"/>
  <c r="G341" i="39"/>
  <c r="E342" i="39" l="1"/>
  <c r="I342" i="39"/>
  <c r="C343" i="39" s="1"/>
  <c r="D342" i="39"/>
  <c r="J342" i="39" s="1"/>
  <c r="K342" i="39" s="1"/>
  <c r="A342" i="39"/>
  <c r="B342" i="39" s="1"/>
  <c r="N342" i="39" s="1"/>
  <c r="H342" i="39"/>
  <c r="G342" i="39"/>
  <c r="F342" i="39"/>
  <c r="A343" i="39" l="1"/>
  <c r="B343" i="39" s="1"/>
  <c r="N343" i="39" s="1"/>
  <c r="D343" i="39"/>
  <c r="J343" i="39" s="1"/>
  <c r="K343" i="39" s="1"/>
  <c r="G343" i="39"/>
  <c r="F343" i="39"/>
  <c r="I343" i="39"/>
  <c r="C344" i="39" s="1"/>
  <c r="H343" i="39"/>
  <c r="E343" i="39"/>
  <c r="F344" i="39" l="1"/>
  <c r="D344" i="39"/>
  <c r="J344" i="39" s="1"/>
  <c r="K344" i="39" s="1"/>
  <c r="H344" i="39"/>
  <c r="E344" i="39"/>
  <c r="I344" i="39"/>
  <c r="C345" i="39" s="1"/>
  <c r="G344" i="39"/>
  <c r="A344" i="39"/>
  <c r="B344" i="39" s="1"/>
  <c r="N344" i="39" s="1"/>
  <c r="F345" i="39" l="1"/>
  <c r="I345" i="39"/>
  <c r="C346" i="39" s="1"/>
  <c r="A345" i="39"/>
  <c r="B345" i="39" s="1"/>
  <c r="N345" i="39" s="1"/>
  <c r="H345" i="39"/>
  <c r="G345" i="39"/>
  <c r="E345" i="39"/>
  <c r="D345" i="39"/>
  <c r="J345" i="39" s="1"/>
  <c r="K345" i="39" s="1"/>
  <c r="G346" i="39" l="1"/>
  <c r="I346" i="39"/>
  <c r="C347" i="39" s="1"/>
  <c r="H346" i="39"/>
  <c r="A346" i="39"/>
  <c r="B346" i="39" s="1"/>
  <c r="N346" i="39" s="1"/>
  <c r="F346" i="39"/>
  <c r="E346" i="39"/>
  <c r="D346" i="39"/>
  <c r="J346" i="39" s="1"/>
  <c r="K346" i="39" s="1"/>
  <c r="G347" i="39" l="1"/>
  <c r="A347" i="39"/>
  <c r="B347" i="39" s="1"/>
  <c r="N347" i="39" s="1"/>
  <c r="E347" i="39"/>
  <c r="F347" i="39"/>
  <c r="H347" i="39"/>
  <c r="I347" i="39"/>
  <c r="C348" i="39" s="1"/>
  <c r="D347" i="39"/>
  <c r="J347" i="39" s="1"/>
  <c r="K347" i="39" s="1"/>
  <c r="I348" i="39" l="1"/>
  <c r="C349" i="39" s="1"/>
  <c r="F348" i="39"/>
  <c r="D348" i="39"/>
  <c r="J348" i="39" s="1"/>
  <c r="K348" i="39" s="1"/>
  <c r="A348" i="39"/>
  <c r="B348" i="39" s="1"/>
  <c r="N348" i="39" s="1"/>
  <c r="H348" i="39"/>
  <c r="G348" i="39"/>
  <c r="E348" i="39"/>
  <c r="E349" i="39" l="1"/>
  <c r="H349" i="39"/>
  <c r="D349" i="39"/>
  <c r="J349" i="39" s="1"/>
  <c r="K349" i="39" s="1"/>
  <c r="F349" i="39"/>
  <c r="A349" i="39"/>
  <c r="B349" i="39" s="1"/>
  <c r="N349" i="39" s="1"/>
  <c r="G349" i="39"/>
  <c r="I349" i="39"/>
  <c r="C350" i="39" s="1"/>
  <c r="A350" i="39" l="1"/>
  <c r="B350" i="39" s="1"/>
  <c r="N350" i="39" s="1"/>
  <c r="E350" i="39"/>
  <c r="F350" i="39"/>
  <c r="G350" i="39"/>
  <c r="H350" i="39"/>
  <c r="I350" i="39"/>
  <c r="C351" i="39" s="1"/>
  <c r="D350" i="39"/>
  <c r="J350" i="39" s="1"/>
  <c r="K350" i="39" s="1"/>
  <c r="A351" i="39" l="1"/>
  <c r="B351" i="39" s="1"/>
  <c r="N351" i="39" s="1"/>
  <c r="H351" i="39"/>
  <c r="I351" i="39"/>
  <c r="C352" i="39" s="1"/>
  <c r="E351" i="39"/>
  <c r="F351" i="39"/>
  <c r="G351" i="39"/>
  <c r="D351" i="39"/>
  <c r="J351" i="39" s="1"/>
  <c r="K351" i="39" s="1"/>
  <c r="E352" i="39" l="1"/>
  <c r="A352" i="39"/>
  <c r="B352" i="39" s="1"/>
  <c r="N352" i="39" s="1"/>
  <c r="D352" i="39"/>
  <c r="J352" i="39" s="1"/>
  <c r="K352" i="39" s="1"/>
  <c r="I352" i="39"/>
  <c r="C353" i="39" s="1"/>
  <c r="H352" i="39"/>
  <c r="G352" i="39"/>
  <c r="F352" i="39"/>
  <c r="F353" i="39" l="1"/>
  <c r="E353" i="39"/>
  <c r="H353" i="39"/>
  <c r="I353" i="39"/>
  <c r="C354" i="39" s="1"/>
  <c r="D353" i="39"/>
  <c r="J353" i="39" s="1"/>
  <c r="K353" i="39" s="1"/>
  <c r="G353" i="39"/>
  <c r="A353" i="39"/>
  <c r="B353" i="39" s="1"/>
  <c r="N353" i="39" s="1"/>
  <c r="A354" i="39" l="1"/>
  <c r="B354" i="39" s="1"/>
  <c r="N354" i="39" s="1"/>
  <c r="H354" i="39"/>
  <c r="I354" i="39"/>
  <c r="C355" i="39" s="1"/>
  <c r="F354" i="39"/>
  <c r="D354" i="39"/>
  <c r="J354" i="39" s="1"/>
  <c r="K354" i="39" s="1"/>
  <c r="G354" i="39"/>
  <c r="E354" i="39"/>
  <c r="I355" i="39" l="1"/>
  <c r="C356" i="39" s="1"/>
  <c r="G355" i="39"/>
  <c r="F355" i="39"/>
  <c r="H355" i="39"/>
  <c r="A355" i="39"/>
  <c r="B355" i="39" s="1"/>
  <c r="N355" i="39" s="1"/>
  <c r="E355" i="39"/>
  <c r="D355" i="39"/>
  <c r="J355" i="39" s="1"/>
  <c r="K355" i="39" s="1"/>
  <c r="G356" i="39" l="1"/>
  <c r="F356" i="39"/>
  <c r="D356" i="39"/>
  <c r="J356" i="39" s="1"/>
  <c r="K356" i="39" s="1"/>
  <c r="A356" i="39"/>
  <c r="B356" i="39" s="1"/>
  <c r="N356" i="39" s="1"/>
  <c r="I356" i="39"/>
  <c r="C357" i="39" s="1"/>
  <c r="E356" i="39"/>
  <c r="H356" i="39"/>
  <c r="D357" i="39" l="1"/>
  <c r="J357" i="39" s="1"/>
  <c r="K357" i="39" s="1"/>
  <c r="A357" i="39"/>
  <c r="B357" i="39" s="1"/>
  <c r="N357" i="39" s="1"/>
  <c r="I357" i="39"/>
  <c r="C358" i="39" s="1"/>
  <c r="G357" i="39"/>
  <c r="H357" i="39"/>
  <c r="E357" i="39"/>
  <c r="F357" i="39"/>
  <c r="A358" i="39" l="1"/>
  <c r="B358" i="39" s="1"/>
  <c r="N358" i="39" s="1"/>
  <c r="D358" i="39"/>
  <c r="J358" i="39" s="1"/>
  <c r="K358" i="39" s="1"/>
  <c r="G358" i="39"/>
  <c r="F358" i="39"/>
  <c r="E358" i="39"/>
  <c r="H358" i="39"/>
  <c r="I358" i="39"/>
  <c r="C359" i="39" s="1"/>
  <c r="A359" i="39" l="1"/>
  <c r="B359" i="39" s="1"/>
  <c r="N359" i="39" s="1"/>
  <c r="E359" i="39"/>
  <c r="F359" i="39"/>
  <c r="H359" i="39"/>
  <c r="I359" i="39"/>
  <c r="C360" i="39" s="1"/>
  <c r="D359" i="39"/>
  <c r="J359" i="39" s="1"/>
  <c r="K359" i="39" s="1"/>
  <c r="G359" i="39"/>
  <c r="D360" i="39" l="1"/>
  <c r="J360" i="39" s="1"/>
  <c r="K360" i="39" s="1"/>
  <c r="G360" i="39"/>
  <c r="E360" i="39"/>
  <c r="A360" i="39"/>
  <c r="B360" i="39" s="1"/>
  <c r="N360" i="39" s="1"/>
  <c r="H360" i="39"/>
  <c r="F360" i="39"/>
  <c r="I360" i="39"/>
  <c r="C361" i="39" s="1"/>
  <c r="D361" i="39" l="1"/>
  <c r="J361" i="39" s="1"/>
  <c r="K361" i="39" s="1"/>
  <c r="I361" i="39"/>
  <c r="C362" i="39" s="1"/>
  <c r="A361" i="39"/>
  <c r="B361" i="39" s="1"/>
  <c r="N361" i="39" s="1"/>
  <c r="H361" i="39"/>
  <c r="E361" i="39"/>
  <c r="G361" i="39"/>
  <c r="F361" i="39"/>
  <c r="G362" i="39" l="1"/>
  <c r="I362" i="39"/>
  <c r="C363" i="39" s="1"/>
  <c r="F362" i="39"/>
  <c r="H362" i="39"/>
  <c r="E362" i="39"/>
  <c r="A362" i="39"/>
  <c r="B362" i="39" s="1"/>
  <c r="N362" i="39" s="1"/>
  <c r="D362" i="39"/>
  <c r="J362" i="39" s="1"/>
  <c r="K362" i="39" s="1"/>
  <c r="G363" i="39" l="1"/>
  <c r="F363" i="39"/>
  <c r="A363" i="39"/>
  <c r="B363" i="39" s="1"/>
  <c r="N363" i="39" s="1"/>
  <c r="H363" i="39"/>
  <c r="D363" i="39"/>
  <c r="J363" i="39" s="1"/>
  <c r="K363" i="39" s="1"/>
  <c r="E363" i="39"/>
  <c r="I363" i="39"/>
  <c r="C364" i="39" s="1"/>
  <c r="I364" i="39" l="1"/>
  <c r="C365" i="39" s="1"/>
  <c r="E364" i="39"/>
  <c r="A364" i="39"/>
  <c r="B364" i="39" s="1"/>
  <c r="N364" i="39" s="1"/>
  <c r="G364" i="39"/>
  <c r="F364" i="39"/>
  <c r="H364" i="39"/>
  <c r="D364" i="39"/>
  <c r="J364" i="39" s="1"/>
  <c r="K364" i="39" s="1"/>
  <c r="D365" i="39" l="1"/>
  <c r="J365" i="39" s="1"/>
  <c r="K365" i="39" s="1"/>
  <c r="G365" i="39"/>
  <c r="A365" i="39"/>
  <c r="B365" i="39" s="1"/>
  <c r="N365" i="39" s="1"/>
  <c r="I365" i="39"/>
  <c r="C366" i="39" s="1"/>
  <c r="F365" i="39"/>
  <c r="E365" i="39"/>
  <c r="H365" i="39"/>
  <c r="D366" i="39" l="1"/>
  <c r="J366" i="39" s="1"/>
  <c r="K366" i="39" s="1"/>
  <c r="A366" i="39"/>
  <c r="B366" i="39" s="1"/>
  <c r="N366" i="39" s="1"/>
  <c r="H366" i="39"/>
  <c r="I366" i="39"/>
  <c r="C367" i="39" s="1"/>
  <c r="G366" i="39"/>
  <c r="E366" i="39"/>
  <c r="F366" i="39"/>
  <c r="I367" i="39" l="1"/>
  <c r="C368" i="39" s="1"/>
  <c r="G367" i="39"/>
  <c r="H367" i="39"/>
  <c r="A367" i="39"/>
  <c r="B367" i="39" s="1"/>
  <c r="N367" i="39" s="1"/>
  <c r="F367" i="39"/>
  <c r="D367" i="39"/>
  <c r="J367" i="39" s="1"/>
  <c r="K367" i="39" s="1"/>
  <c r="E367" i="39"/>
  <c r="D368" i="39" l="1"/>
  <c r="J368" i="39" s="1"/>
  <c r="K368" i="39" s="1"/>
  <c r="E368" i="39"/>
  <c r="A368" i="39"/>
  <c r="B368" i="39" s="1"/>
  <c r="N368" i="39" s="1"/>
  <c r="F368" i="39"/>
  <c r="I368" i="39"/>
  <c r="C369" i="39" s="1"/>
  <c r="H368" i="39"/>
  <c r="G368" i="39"/>
  <c r="F369" i="39" l="1"/>
  <c r="H369" i="39"/>
  <c r="I369" i="39"/>
  <c r="C370" i="39" s="1"/>
  <c r="D369" i="39"/>
  <c r="J369" i="39" s="1"/>
  <c r="K369" i="39" s="1"/>
  <c r="E369" i="39"/>
  <c r="A369" i="39"/>
  <c r="B369" i="39" s="1"/>
  <c r="N369" i="39" s="1"/>
  <c r="G369" i="39"/>
  <c r="D370" i="39" l="1"/>
  <c r="J370" i="39" s="1"/>
  <c r="K370" i="39" s="1"/>
  <c r="F370" i="39"/>
  <c r="E370" i="39"/>
  <c r="G370" i="39"/>
  <c r="H370" i="39"/>
  <c r="A370" i="39"/>
  <c r="B370" i="39" s="1"/>
  <c r="N370" i="39" s="1"/>
  <c r="I370" i="39"/>
  <c r="C371" i="39" s="1"/>
  <c r="I371" i="39" l="1"/>
  <c r="C372" i="39" s="1"/>
  <c r="D371" i="39"/>
  <c r="J371" i="39" s="1"/>
  <c r="K371" i="39" s="1"/>
  <c r="A371" i="39"/>
  <c r="B371" i="39" s="1"/>
  <c r="N371" i="39" s="1"/>
  <c r="F371" i="39"/>
  <c r="E371" i="39"/>
  <c r="G371" i="39"/>
  <c r="H371" i="39"/>
  <c r="F372" i="39" l="1"/>
  <c r="G372" i="39"/>
  <c r="H372" i="39"/>
  <c r="I372" i="39"/>
  <c r="C373" i="39" s="1"/>
  <c r="E372" i="39"/>
  <c r="A372" i="39"/>
  <c r="B372" i="39" s="1"/>
  <c r="N372" i="39" s="1"/>
  <c r="D372" i="39"/>
  <c r="J372" i="39" s="1"/>
  <c r="K372" i="39" s="1"/>
  <c r="D373" i="39" l="1"/>
  <c r="J373" i="39" s="1"/>
  <c r="K373" i="39" s="1"/>
  <c r="G373" i="39"/>
  <c r="A373" i="39"/>
  <c r="B373" i="39" s="1"/>
  <c r="N373" i="39" s="1"/>
  <c r="E373" i="39"/>
  <c r="F373" i="39"/>
  <c r="H373" i="39"/>
  <c r="I373" i="39"/>
  <c r="C374" i="39" s="1"/>
  <c r="E374" i="39" l="1"/>
  <c r="D374" i="39"/>
  <c r="J374" i="39" s="1"/>
  <c r="K374" i="39" s="1"/>
  <c r="G374" i="39"/>
  <c r="F374" i="39"/>
  <c r="H374" i="39"/>
  <c r="A374" i="39"/>
  <c r="B374" i="39" s="1"/>
  <c r="N374" i="39" s="1"/>
  <c r="I374" i="39"/>
  <c r="C375" i="39" s="1"/>
  <c r="D375" i="39" l="1"/>
  <c r="J375" i="39" s="1"/>
  <c r="K375" i="39" s="1"/>
  <c r="F375" i="39"/>
  <c r="G375" i="39"/>
  <c r="E375" i="39"/>
  <c r="A375" i="39"/>
  <c r="B375" i="39" s="1"/>
  <c r="N375" i="39" s="1"/>
  <c r="H375" i="39"/>
  <c r="I375" i="39"/>
  <c r="C376" i="39" s="1"/>
  <c r="G376" i="39" l="1"/>
  <c r="F376" i="39"/>
  <c r="I376" i="39"/>
  <c r="C377" i="39" s="1"/>
  <c r="A376" i="39"/>
  <c r="B376" i="39" s="1"/>
  <c r="N376" i="39" s="1"/>
  <c r="E376" i="39"/>
  <c r="H376" i="39"/>
  <c r="D376" i="39"/>
  <c r="J376" i="39" s="1"/>
  <c r="K376" i="39" s="1"/>
  <c r="A377" i="39" l="1"/>
  <c r="B377" i="39" s="1"/>
  <c r="N377" i="39" s="1"/>
  <c r="H377" i="39"/>
  <c r="F377" i="39"/>
  <c r="E377" i="39"/>
  <c r="D377" i="39"/>
  <c r="J377" i="39" s="1"/>
  <c r="K377" i="39" s="1"/>
  <c r="I377" i="39"/>
  <c r="C378" i="39" s="1"/>
  <c r="G377" i="39"/>
  <c r="I378" i="39" l="1"/>
  <c r="C379" i="39" s="1"/>
  <c r="G378" i="39"/>
  <c r="F378" i="39"/>
  <c r="A378" i="39"/>
  <c r="B378" i="39" s="1"/>
  <c r="N378" i="39" s="1"/>
  <c r="H378" i="39"/>
  <c r="D378" i="39"/>
  <c r="J378" i="39" s="1"/>
  <c r="K378" i="39" s="1"/>
  <c r="E378" i="39"/>
  <c r="G379" i="39" l="1"/>
  <c r="A379" i="39"/>
  <c r="B379" i="39" s="1"/>
  <c r="N379" i="39" s="1"/>
  <c r="I379" i="39"/>
  <c r="C380" i="39" s="1"/>
  <c r="H379" i="39"/>
  <c r="E379" i="39"/>
  <c r="D379" i="39"/>
  <c r="J379" i="39" s="1"/>
  <c r="K379" i="39" s="1"/>
  <c r="F379" i="39"/>
  <c r="D380" i="39" l="1"/>
  <c r="J380" i="39" s="1"/>
  <c r="K380" i="39" s="1"/>
  <c r="H380" i="39"/>
  <c r="G380" i="39"/>
  <c r="E380" i="39"/>
  <c r="I380" i="39"/>
  <c r="C381" i="39" s="1"/>
  <c r="A380" i="39"/>
  <c r="B380" i="39" s="1"/>
  <c r="N380" i="39" s="1"/>
  <c r="F380" i="39"/>
  <c r="F381" i="39" l="1"/>
  <c r="A381" i="39"/>
  <c r="B381" i="39" s="1"/>
  <c r="N381" i="39" s="1"/>
  <c r="H381" i="39"/>
  <c r="G381" i="39"/>
  <c r="I381" i="39"/>
  <c r="C382" i="39" s="1"/>
  <c r="D381" i="39"/>
  <c r="J381" i="39" s="1"/>
  <c r="K381" i="39" s="1"/>
  <c r="E381" i="39"/>
  <c r="I382" i="39" l="1"/>
  <c r="C383" i="39" s="1"/>
  <c r="E382" i="39"/>
  <c r="G382" i="39"/>
  <c r="F382" i="39"/>
  <c r="D382" i="39"/>
  <c r="J382" i="39" s="1"/>
  <c r="K382" i="39" s="1"/>
  <c r="A382" i="39"/>
  <c r="B382" i="39" s="1"/>
  <c r="N382" i="39" s="1"/>
  <c r="H382" i="39"/>
  <c r="H383" i="39" l="1"/>
  <c r="I383" i="39"/>
  <c r="C384" i="39" s="1"/>
  <c r="A383" i="39"/>
  <c r="B383" i="39" s="1"/>
  <c r="N383" i="39" s="1"/>
  <c r="F383" i="39"/>
  <c r="E383" i="39"/>
  <c r="D383" i="39"/>
  <c r="J383" i="39" s="1"/>
  <c r="K383" i="39" s="1"/>
  <c r="G383" i="39"/>
  <c r="A384" i="39" l="1"/>
  <c r="B384" i="39" s="1"/>
  <c r="N384" i="39" s="1"/>
  <c r="I384" i="39"/>
  <c r="C385" i="39" s="1"/>
  <c r="D384" i="39"/>
  <c r="J384" i="39" s="1"/>
  <c r="K384" i="39" s="1"/>
  <c r="E384" i="39"/>
  <c r="G384" i="39"/>
  <c r="H384" i="39"/>
  <c r="F384" i="39"/>
  <c r="H385" i="39" l="1"/>
  <c r="G385" i="39"/>
  <c r="D385" i="39"/>
  <c r="J385" i="39" s="1"/>
  <c r="K385" i="39" s="1"/>
  <c r="A385" i="39"/>
  <c r="B385" i="39" s="1"/>
  <c r="N385" i="39" s="1"/>
  <c r="E385" i="39"/>
  <c r="F385" i="39"/>
  <c r="I385" i="39"/>
  <c r="C386" i="39" s="1"/>
  <c r="E386" i="39" l="1"/>
  <c r="H386" i="39"/>
  <c r="F386" i="39"/>
  <c r="A386" i="39"/>
  <c r="B386" i="39" s="1"/>
  <c r="N386" i="39" s="1"/>
  <c r="I386" i="39"/>
  <c r="C387" i="39" s="1"/>
  <c r="G386" i="39"/>
  <c r="D386" i="39"/>
  <c r="J386" i="39" s="1"/>
  <c r="K386" i="39" s="1"/>
  <c r="D387" i="39" l="1"/>
  <c r="J387" i="39" s="1"/>
  <c r="K387" i="39" s="1"/>
  <c r="A387" i="39"/>
  <c r="B387" i="39" s="1"/>
  <c r="N387" i="39" s="1"/>
  <c r="I387" i="39"/>
  <c r="C388" i="39" s="1"/>
  <c r="F387" i="39"/>
  <c r="G387" i="39"/>
  <c r="E387" i="39"/>
  <c r="H387" i="39"/>
  <c r="E388" i="39" l="1"/>
  <c r="D388" i="39"/>
  <c r="J388" i="39" s="1"/>
  <c r="K388" i="39" s="1"/>
  <c r="A388" i="39"/>
  <c r="B388" i="39" s="1"/>
  <c r="N388" i="39" s="1"/>
  <c r="H388" i="39"/>
  <c r="F388" i="39"/>
  <c r="G388" i="39"/>
  <c r="I388" i="39"/>
  <c r="C389" i="39" s="1"/>
  <c r="F389" i="39" l="1"/>
  <c r="A389" i="39"/>
  <c r="B389" i="39" s="1"/>
  <c r="N389" i="39" s="1"/>
  <c r="E389" i="39"/>
  <c r="D389" i="39"/>
  <c r="J389" i="39" s="1"/>
  <c r="K389" i="39" s="1"/>
  <c r="H389" i="39"/>
  <c r="I389" i="39"/>
  <c r="C390" i="39" s="1"/>
  <c r="G389" i="39"/>
  <c r="G390" i="39" l="1"/>
  <c r="A390" i="39"/>
  <c r="B390" i="39" s="1"/>
  <c r="N390" i="39" s="1"/>
  <c r="H390" i="39"/>
  <c r="I390" i="39"/>
  <c r="C391" i="39" s="1"/>
  <c r="D390" i="39"/>
  <c r="J390" i="39" s="1"/>
  <c r="K390" i="39" s="1"/>
  <c r="F390" i="39"/>
  <c r="E390" i="39"/>
  <c r="I391" i="39" l="1"/>
  <c r="C392" i="39" s="1"/>
  <c r="D391" i="39"/>
  <c r="J391" i="39" s="1"/>
  <c r="K391" i="39" s="1"/>
  <c r="H391" i="39"/>
  <c r="A391" i="39"/>
  <c r="B391" i="39" s="1"/>
  <c r="N391" i="39" s="1"/>
  <c r="G391" i="39"/>
  <c r="F391" i="39"/>
  <c r="E391" i="39"/>
  <c r="E392" i="39" l="1"/>
  <c r="F392" i="39"/>
  <c r="D392" i="39"/>
  <c r="J392" i="39" s="1"/>
  <c r="K392" i="39" s="1"/>
  <c r="H392" i="39"/>
  <c r="G392" i="39"/>
  <c r="A392" i="39"/>
  <c r="B392" i="39" s="1"/>
  <c r="N392" i="39" s="1"/>
  <c r="I392" i="39"/>
  <c r="C393" i="39" s="1"/>
  <c r="D393" i="39" l="1"/>
  <c r="J393" i="39" s="1"/>
  <c r="K393" i="39" s="1"/>
  <c r="F393" i="39"/>
  <c r="A393" i="39"/>
  <c r="B393" i="39" s="1"/>
  <c r="N393" i="39" s="1"/>
  <c r="G393" i="39"/>
  <c r="H393" i="39"/>
  <c r="E393" i="39"/>
  <c r="I393" i="39"/>
  <c r="C394" i="39" s="1"/>
  <c r="D394" i="39" l="1"/>
  <c r="J394" i="39" s="1"/>
  <c r="K394" i="39" s="1"/>
  <c r="F394" i="39"/>
  <c r="H394" i="39"/>
  <c r="G394" i="39"/>
  <c r="I394" i="39"/>
  <c r="C395" i="39" s="1"/>
  <c r="A394" i="39"/>
  <c r="B394" i="39" s="1"/>
  <c r="N394" i="39" s="1"/>
  <c r="E394" i="39"/>
  <c r="G395" i="39" l="1"/>
  <c r="E395" i="39"/>
  <c r="F395" i="39"/>
  <c r="I395" i="39"/>
  <c r="C396" i="39" s="1"/>
  <c r="H395" i="39"/>
  <c r="A395" i="39"/>
  <c r="B395" i="39" s="1"/>
  <c r="N395" i="39" s="1"/>
  <c r="D395" i="39"/>
  <c r="J395" i="39" s="1"/>
  <c r="K395" i="39" s="1"/>
  <c r="A396" i="39" l="1"/>
  <c r="B396" i="39" s="1"/>
  <c r="N396" i="39" s="1"/>
  <c r="G396" i="39"/>
  <c r="F396" i="39"/>
  <c r="D396" i="39"/>
  <c r="J396" i="39" s="1"/>
  <c r="K396" i="39" s="1"/>
  <c r="H396" i="39"/>
  <c r="I396" i="39"/>
  <c r="C397" i="39" s="1"/>
  <c r="E396" i="39"/>
  <c r="I397" i="39" l="1"/>
  <c r="C398" i="39" s="1"/>
  <c r="A397" i="39"/>
  <c r="B397" i="39" s="1"/>
  <c r="N397" i="39" s="1"/>
  <c r="F397" i="39"/>
  <c r="D397" i="39"/>
  <c r="J397" i="39" s="1"/>
  <c r="K397" i="39" s="1"/>
  <c r="E397" i="39"/>
  <c r="G397" i="39"/>
  <c r="H397" i="39"/>
  <c r="H398" i="39" l="1"/>
  <c r="H399" i="39" s="1"/>
  <c r="F398" i="39"/>
  <c r="F399" i="39" s="1"/>
  <c r="E398" i="39"/>
  <c r="E399" i="39" s="1"/>
  <c r="D398" i="39"/>
  <c r="I398" i="39"/>
  <c r="G398" i="39"/>
  <c r="G399" i="39" s="1"/>
  <c r="A398" i="39"/>
  <c r="B398" i="39" s="1"/>
  <c r="N398" i="39" s="1"/>
  <c r="I14" i="39" l="1"/>
  <c r="I15" i="39"/>
  <c r="J398" i="39"/>
  <c r="D399" i="39"/>
  <c r="I21" i="39"/>
  <c r="I33" i="39"/>
  <c r="I27" i="39"/>
  <c r="I28" i="39" l="1"/>
  <c r="I22" i="39"/>
  <c r="I34" i="39"/>
  <c r="I399" i="39"/>
  <c r="K398" i="39"/>
  <c r="K399" i="39" s="1"/>
  <c r="J399" i="39"/>
  <c r="O56" i="79" l="1"/>
  <c r="K71" i="79"/>
  <c r="O71" i="79" s="1"/>
  <c r="K69" i="79"/>
  <c r="O69" i="79" s="1"/>
  <c r="K63" i="79"/>
  <c r="O63" i="79" s="1"/>
  <c r="K65" i="79"/>
  <c r="O65" i="79" s="1"/>
  <c r="K60" i="79"/>
  <c r="O60" i="79" s="1"/>
  <c r="K62" i="79"/>
  <c r="O62" i="79" s="1"/>
  <c r="K59" i="79"/>
  <c r="O59" i="79" s="1"/>
  <c r="K72" i="79"/>
  <c r="O72" i="79" s="1"/>
  <c r="K64" i="79"/>
  <c r="O64" i="79" s="1"/>
  <c r="K61" i="79"/>
  <c r="O61" i="79" s="1"/>
  <c r="K68" i="79"/>
  <c r="O68" i="79" s="1"/>
  <c r="K70" i="79"/>
  <c r="O70" i="79" s="1"/>
  <c r="K67" i="79"/>
  <c r="O67" i="79" s="1"/>
  <c r="K66" i="79"/>
  <c r="O66" i="79" s="1"/>
  <c r="K58" i="79"/>
  <c r="O58" i="79" l="1"/>
  <c r="N57" i="79"/>
  <c r="H57" i="79" s="1"/>
  <c r="H92" i="79" s="1"/>
  <c r="J57" i="79" l="1"/>
  <c r="J92" i="79" s="1"/>
  <c r="G57" i="79"/>
  <c r="G92" i="79" s="1"/>
  <c r="F57" i="79"/>
  <c r="I57" i="79"/>
  <c r="I92" i="79" s="1"/>
  <c r="K57" i="79" l="1"/>
  <c r="F92" i="79"/>
  <c r="K92" i="79" l="1"/>
  <c r="O57"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Jacinta K Ducat - Investor Group</author>
  </authors>
  <commentList>
    <comment ref="G1" authorId="0" shapeId="0" xr:uid="{00000000-0006-0000-0000-000001000000}">
      <text>
        <r>
          <rPr>
            <sz val="9"/>
            <color indexed="81"/>
            <rFont val="Tahoma"/>
            <family val="2"/>
          </rPr>
          <t>For detailed instructions, refer to the training document on www.whkpulse.com.au under Accounting, Training, Best Process.  It explains the values in the source column and how to use the index document.  There is also a separate training document (in that same folder) regarding how to insert an additional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Jacinta K Ducat - Investor Group</author>
  </authors>
  <commentList>
    <comment ref="A1" authorId="0" shapeId="0" xr:uid="{00000000-0006-0000-0200-000001000000}">
      <text>
        <r>
          <rPr>
            <sz val="9"/>
            <color indexed="81"/>
            <rFont val="Tahoma"/>
            <family val="2"/>
          </rPr>
          <t>This page is not to be deleted.  It is used to automatically calculate the threshold on the QA Review Checklist for payroll tax, and any other state based calculations.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Jacinta K Ducat - Investor Group</author>
    <author>Jacob Gigliotti</author>
    <author>tc={AEF10282-5BCC-4117-84B0-521583FB2410}</author>
  </authors>
  <commentList>
    <comment ref="A1" authorId="0" shapeId="0" xr:uid="{1AF75A27-775A-494D-A3C2-CF5FBEC8A1CA}">
      <text>
        <r>
          <rPr>
            <sz val="9"/>
            <color indexed="81"/>
            <rFont val="Tahoma"/>
            <family val="2"/>
          </rPr>
          <t>This page is not to be deleted.  It is used to automatically calculate the threshold on the QA Review Checklist for payroll tax, and any other state based calculations.</t>
        </r>
      </text>
    </comment>
    <comment ref="A6" authorId="1" shapeId="0" xr:uid="{ABA35A99-BF2C-41A0-A49C-5C6CD06DB7B8}">
      <text>
        <r>
          <rPr>
            <b/>
            <sz val="9"/>
            <color indexed="81"/>
            <rFont val="Tahoma"/>
            <family val="2"/>
          </rPr>
          <t>Jacob Gigliotti:</t>
        </r>
        <r>
          <rPr>
            <sz val="9"/>
            <color indexed="81"/>
            <rFont val="Tahoma"/>
            <family val="2"/>
          </rPr>
          <t xml:space="preserve">
Confirmed 10 Feb 2022</t>
        </r>
      </text>
    </comment>
    <comment ref="A19" authorId="1" shapeId="0" xr:uid="{FB8E4DD7-C0EE-449C-A3FD-7564278A76AC}">
      <text>
        <r>
          <rPr>
            <b/>
            <sz val="9"/>
            <color indexed="81"/>
            <rFont val="Tahoma"/>
            <family val="2"/>
          </rPr>
          <t>Jacob Gigliotti:</t>
        </r>
        <r>
          <rPr>
            <sz val="9"/>
            <color indexed="81"/>
            <rFont val="Tahoma"/>
            <family val="2"/>
          </rPr>
          <t xml:space="preserve">
Confirmed 10 Feb 2022</t>
        </r>
      </text>
    </comment>
    <comment ref="A33" authorId="1" shapeId="0" xr:uid="{5E88FA3F-41E7-4B50-8706-D61C8375206E}">
      <text>
        <r>
          <rPr>
            <b/>
            <sz val="9"/>
            <color indexed="81"/>
            <rFont val="Tahoma"/>
            <family val="2"/>
          </rPr>
          <t xml:space="preserve">Jacob Gigliotti:
</t>
        </r>
        <r>
          <rPr>
            <sz val="9"/>
            <color indexed="81"/>
            <rFont val="Tahoma"/>
            <family val="2"/>
          </rPr>
          <t>Confirmed 10 Feb 2022</t>
        </r>
      </text>
    </comment>
    <comment ref="B143" authorId="2" shapeId="0" xr:uid="{AEF10282-5BCC-4117-84B0-521583FB2410}">
      <text>
        <t>[Threaded comment]
Your version of Excel allows you to read this threaded comment; however, any edits to it will get removed if the file is opened in a newer version of Excel. Learn more: https://go.microsoft.com/fwlink/?linkid=870924
Comment:
    $445 relates to LITO from section 159N of ITAA 1936
Refers to section 9 of the income tax assessment (1936 act) regulation 2015</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Jason Plompen</author>
  </authors>
  <commentList>
    <comment ref="AM1" authorId="0" shapeId="0" xr:uid="{00000000-0006-0000-0500-000001000000}">
      <text>
        <r>
          <rPr>
            <b/>
            <i/>
            <sz val="9"/>
            <color indexed="81"/>
            <rFont val="Tahoma"/>
            <family val="2"/>
          </rPr>
          <t>Jason Plompen:</t>
        </r>
        <r>
          <rPr>
            <sz val="9"/>
            <color indexed="81"/>
            <rFont val="Tahoma"/>
            <family val="2"/>
          </rPr>
          <t xml:space="preserve">
Extrapolate Income?
</t>
        </r>
      </text>
    </comment>
    <comment ref="AM2" authorId="0" shapeId="0" xr:uid="{00000000-0006-0000-0500-000002000000}">
      <text>
        <r>
          <rPr>
            <b/>
            <i/>
            <sz val="9"/>
            <color indexed="81"/>
            <rFont val="Tahoma"/>
            <family val="2"/>
          </rPr>
          <t>Jason Plompen:</t>
        </r>
        <r>
          <rPr>
            <sz val="9"/>
            <color indexed="81"/>
            <rFont val="Tahoma"/>
            <family val="2"/>
          </rPr>
          <t xml:space="preserve">
Extrapolate Income?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Daniel Slabicki</author>
  </authors>
  <commentList>
    <comment ref="A26" authorId="0" shapeId="0" xr:uid="{7CAE69D8-11F0-4D91-939A-4470D952CCC5}">
      <text>
        <r>
          <rPr>
            <sz val="9"/>
            <color indexed="81"/>
            <rFont val="Tahoma"/>
            <family val="2"/>
          </rPr>
          <t>Enter the average income, otherwise enter "N" if the taxpayer is not in primary production averaging.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Shervin Phillips</author>
  </authors>
  <commentList>
    <comment ref="E15" authorId="0" shapeId="0" xr:uid="{83230466-1269-4823-B6D8-CAABEBA8808E}">
      <text>
        <r>
          <rPr>
            <b/>
            <sz val="9"/>
            <color indexed="81"/>
            <rFont val="Tahoma"/>
            <family val="2"/>
          </rPr>
          <t>Enter in year in "YYYY" (e.g.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Jacinta Ducat</author>
    <author>Jason Plompen</author>
  </authors>
  <commentList>
    <comment ref="A7" authorId="0" shapeId="0" xr:uid="{00000000-0006-0000-0400-000001000000}">
      <text>
        <r>
          <rPr>
            <sz val="9"/>
            <color indexed="81"/>
            <rFont val="Tahoma"/>
            <family val="2"/>
          </rPr>
          <t>1. To use this sheet, first of all make sure you have selected the appropriate entity type on the file index.
2. Once you have done that, you can click on the Tailor QA Checklist button to remove questions that are not relevant to the entity in question.
3. Then you can answer "NA" in the "NA To Section" column which is used to hide sections that are not relevant.  When you click on Tailor QA Checklist button, the questions beneath will disappear because they are not relevant.
If you ticked an N/A section heading by mistake, you can delete the tick and press the Tailor QA Checklist button to reset the section response back to blank.</t>
        </r>
      </text>
    </comment>
    <comment ref="J11" authorId="1" shapeId="0" xr:uid="{00000000-0006-0000-0400-000002000000}">
      <text>
        <r>
          <rPr>
            <b/>
            <i/>
            <sz val="9"/>
            <color indexed="81"/>
            <rFont val="Tahoma"/>
            <family val="2"/>
          </rPr>
          <t>Jason Plompen:</t>
        </r>
        <r>
          <rPr>
            <sz val="9"/>
            <color indexed="81"/>
            <rFont val="Tahoma"/>
            <family val="2"/>
          </rPr>
          <t xml:space="preserve">
Cells that have ANYTHING in them, that item will be excluded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Jacinta Ducat</author>
    <author xml:space="preserve"> Jacinta Ducat</author>
    <author>Jason Plompen</author>
  </authors>
  <commentList>
    <comment ref="A1" authorId="0" shapeId="0" xr:uid="{00000000-0006-0000-0600-000001000000}">
      <text>
        <r>
          <rPr>
            <sz val="9"/>
            <color indexed="81"/>
            <rFont val="Tahoma"/>
            <family val="2"/>
          </rPr>
          <t>2007-07-02 changes:  moved from standard checklists file to standard workpapers file.  Questions tailored for primary production and non-primary production clients.
2006-06-29 changes:  summary debit and credit section added to the top to determine whether the two columns reconcile or not.</t>
        </r>
      </text>
    </comment>
    <comment ref="F112" authorId="1" shapeId="0" xr:uid="{00000000-0006-0000-0600-000002000000}">
      <text>
        <r>
          <rPr>
            <sz val="9"/>
            <color indexed="81"/>
            <rFont val="Tahoma"/>
            <family val="2"/>
          </rPr>
          <t>Links to GST Rec.  If you complete the GST Rec first, the numbers will pull through automatically</t>
        </r>
      </text>
    </comment>
    <comment ref="K158" authorId="2" shapeId="0" xr:uid="{00000000-0006-0000-0600-000003000000}">
      <text>
        <r>
          <rPr>
            <b/>
            <i/>
            <sz val="9"/>
            <color indexed="81"/>
            <rFont val="Tahoma"/>
            <family val="2"/>
          </rPr>
          <t>Jason Plompen:</t>
        </r>
        <r>
          <rPr>
            <sz val="9"/>
            <color indexed="81"/>
            <rFont val="Tahoma"/>
            <family val="2"/>
          </rPr>
          <t xml:space="preserve">
Used for displaying number of Beneficiaries to display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Daniel Slabicki</author>
  </authors>
  <commentList>
    <comment ref="B20" authorId="0" shapeId="0" xr:uid="{9878B353-1AB5-4D1E-96AF-5BAF7CEA3353}">
      <text>
        <r>
          <rPr>
            <sz val="9"/>
            <color indexed="81"/>
            <rFont val="Tahoma"/>
            <family val="2"/>
          </rPr>
          <t>Select the trustee type to tailor the wording in the letters below.</t>
        </r>
      </text>
    </comment>
    <comment ref="D23" authorId="0" shapeId="0" xr:uid="{F7E2BD9F-93FA-4AD1-A387-7A94DC719612}">
      <text>
        <r>
          <rPr>
            <sz val="9"/>
            <color indexed="81"/>
            <rFont val="Tahoma"/>
            <family val="2"/>
          </rPr>
          <t>Enter the beneficiary's surname. Leave blank if the beneficiary is a company or a trust.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Shervin Phillips</author>
    <author>Workstation</author>
    <author>Jacinta K Ducat - Investor Group</author>
  </authors>
  <commentList>
    <comment ref="E48" authorId="0" shapeId="0" xr:uid="{161CF020-6D2F-4F5F-9E46-79717AEBA176}">
      <text>
        <r>
          <rPr>
            <b/>
            <sz val="9"/>
            <color indexed="81"/>
            <rFont val="Tahoma"/>
            <family val="2"/>
          </rPr>
          <t>If the asset has been previously written off under the instant asset write off scheme, the proceeds will be included as assessable income rather than reducing the pool balance</t>
        </r>
      </text>
    </comment>
    <comment ref="G48" authorId="1" shapeId="0" xr:uid="{00000000-0006-0000-0A00-000001000000}">
      <text>
        <r>
          <rPr>
            <sz val="9"/>
            <color indexed="81"/>
            <rFont val="Tahoma"/>
            <family val="2"/>
          </rPr>
          <t xml:space="preserve">This is the consideration received on the sale of the asset
</t>
        </r>
      </text>
    </comment>
    <comment ref="O75" authorId="2" shapeId="0" xr:uid="{00000000-0006-0000-0A00-000002000000}">
      <text>
        <r>
          <rPr>
            <sz val="9"/>
            <color indexed="81"/>
            <rFont val="Tahoma"/>
            <family val="2"/>
          </rPr>
          <t>Enter full date, even though only the year will appear.  Eg. 30/6/05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Daniel Slabicki</author>
  </authors>
  <commentList>
    <comment ref="A15" authorId="0" shapeId="0" xr:uid="{F272B617-08D1-4C16-8F84-DB756B0E99CF}">
      <text>
        <r>
          <rPr>
            <sz val="9"/>
            <color indexed="81"/>
            <rFont val="Tahoma"/>
            <family val="2"/>
          </rPr>
          <t xml:space="preserve">You are an eligible corporate entity if you are </t>
        </r>
        <r>
          <rPr>
            <b/>
            <sz val="9"/>
            <color indexed="81"/>
            <rFont val="Tahoma"/>
            <family val="2"/>
          </rPr>
          <t>both</t>
        </r>
        <r>
          <rPr>
            <sz val="9"/>
            <color indexed="81"/>
            <rFont val="Tahoma"/>
            <family val="2"/>
          </rPr>
          <t xml:space="preserve"> a:
- company, corporate limited partnership or a public trading trust throughout:
        &gt; the income year that you are claiming the tax offset
        &gt; the income year you choose to carry the loss back to         (ignoring any part of the year before you existed)
        &gt; any income years in between
- small business entity in the loss year or would have been a small business entity if the aggregated turnover threshold was $5 billion.</t>
        </r>
      </text>
    </comment>
    <comment ref="A16" authorId="0" shapeId="0" xr:uid="{270A81F1-98B3-464E-83C4-F14F6297A4AD}">
      <text>
        <r>
          <rPr>
            <sz val="9"/>
            <color indexed="81"/>
            <rFont val="Tahoma"/>
            <family val="2"/>
          </rPr>
          <t>You can only carry back tax losses made in the 2019/20, 2020/21 or 2021/22 income years.
You can only use a tax loss once.
You cannot carry back:
- capital losses
- certain tax losses arising from the conversion of excess franking credits
- transferred losses relating to:
        &gt; foreign banking groups (Division 170 ITAA 1997)
        &gt; head companies of consolidated groups (Subdivision 707-A ITAA 1997)</t>
        </r>
      </text>
    </comment>
    <comment ref="A17" authorId="0" shapeId="0" xr:uid="{647540AF-DE20-4EF4-9076-3E38032AAA50}">
      <text>
        <r>
          <rPr>
            <sz val="9"/>
            <color indexed="81"/>
            <rFont val="Tahoma"/>
            <family val="2"/>
          </rPr>
          <t>You can carry back losses to the 2018/19, 2019/20 or 2020/21 income year if you were liable to pay income tax for that year.</t>
        </r>
      </text>
    </comment>
    <comment ref="A18" authorId="0" shapeId="0" xr:uid="{0686DD02-72DC-4274-A7EA-50057313831E}">
      <text>
        <r>
          <rPr>
            <sz val="9"/>
            <color indexed="81"/>
            <rFont val="Tahoma"/>
            <family val="2"/>
          </rPr>
          <t>The amount of tax offset available is limited to your franking account surplus on the last day of the income year for which you claim it.</t>
        </r>
      </text>
    </comment>
    <comment ref="A19" authorId="0" shapeId="0" xr:uid="{722F91B0-3D7C-4940-BED8-803FB73D52D1}">
      <text>
        <r>
          <rPr>
            <sz val="9"/>
            <color indexed="81"/>
            <rFont val="Tahoma"/>
            <family val="2"/>
          </rPr>
          <t xml:space="preserve">To claim the tax offset for an income year, you must </t>
        </r>
        <r>
          <rPr>
            <b/>
            <sz val="9"/>
            <color indexed="81"/>
            <rFont val="Tahoma"/>
            <family val="2"/>
          </rPr>
          <t>both</t>
        </r>
        <r>
          <rPr>
            <sz val="9"/>
            <color indexed="81"/>
            <rFont val="Tahoma"/>
            <family val="2"/>
          </rPr>
          <t>:
- lodge your income tax return for that income year
- have lodged for the previous 5 income years.
If you have not lodged for any of those income years, you may still be able to claim the tax offset if, for those years:
- the ATO assessed your income tax liability; or
- you were not required to lodge an income tax return.</t>
        </r>
      </text>
    </comment>
    <comment ref="D38" authorId="0" shapeId="0" xr:uid="{6ED4E7E0-7FE0-41CC-8757-A24D21E60E75}">
      <text>
        <r>
          <rPr>
            <sz val="9"/>
            <color indexed="81"/>
            <rFont val="Tahoma"/>
            <family val="2"/>
          </rPr>
          <t>Enter as a negative number</t>
        </r>
      </text>
    </comment>
    <comment ref="F48" authorId="0" shapeId="0" xr:uid="{E9CEB7BE-B332-4E2A-BB71-769B6540FA55}">
      <text>
        <r>
          <rPr>
            <sz val="9"/>
            <color indexed="81"/>
            <rFont val="Tahoma"/>
            <family val="2"/>
          </rPr>
          <t>This will create a debit in the franking account.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Daniel Slabicki</author>
  </authors>
  <commentList>
    <comment ref="A18" authorId="0" shapeId="0" xr:uid="{00000000-0006-0000-0800-000001000000}">
      <text>
        <r>
          <rPr>
            <b/>
            <i/>
            <sz val="9"/>
            <color indexed="81"/>
            <rFont val="Tahoma"/>
            <family val="2"/>
          </rPr>
          <t>This is the trust distribution to each beneficiary per the accounts.</t>
        </r>
      </text>
    </comment>
    <comment ref="J20" authorId="0" shapeId="0" xr:uid="{00000000-0006-0000-0800-000002000000}">
      <text>
        <r>
          <rPr>
            <b/>
            <i/>
            <sz val="9"/>
            <color indexed="81"/>
            <rFont val="Tahoma"/>
            <family val="2"/>
          </rPr>
          <t>This is the taxable income of the trust.</t>
        </r>
      </text>
    </comment>
    <comment ref="B36" authorId="0" shapeId="0" xr:uid="{00000000-0006-0000-0800-000003000000}">
      <text>
        <r>
          <rPr>
            <b/>
            <i/>
            <sz val="9"/>
            <color indexed="81"/>
            <rFont val="Tahoma"/>
            <family val="2"/>
          </rPr>
          <t>Enter capital losses as a positive number.</t>
        </r>
      </text>
    </comment>
    <comment ref="B55" authorId="0" shapeId="0" xr:uid="{00000000-0006-0000-0800-000004000000}">
      <text>
        <r>
          <rPr>
            <b/>
            <i/>
            <sz val="9"/>
            <color indexed="81"/>
            <rFont val="Tahoma"/>
            <family val="2"/>
          </rPr>
          <t>Enter capital losses as a positive number.</t>
        </r>
      </text>
    </comment>
    <comment ref="B73" authorId="0" shapeId="0" xr:uid="{00000000-0006-0000-0800-000005000000}">
      <text>
        <r>
          <rPr>
            <b/>
            <i/>
            <sz val="9"/>
            <color indexed="81"/>
            <rFont val="Tahoma"/>
            <family val="2"/>
          </rPr>
          <t>Do not gross up the franked dividend with the franking credit.</t>
        </r>
      </text>
    </comment>
    <comment ref="B74" authorId="0" shapeId="0" xr:uid="{00000000-0006-0000-0800-000006000000}">
      <text>
        <r>
          <rPr>
            <b/>
            <i/>
            <sz val="9"/>
            <color indexed="81"/>
            <rFont val="Tahoma"/>
            <family val="2"/>
          </rPr>
          <t>Enter dividend deductions as a positive number.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dave.baude</author>
  </authors>
  <commentList>
    <comment ref="D72" authorId="0" shapeId="0" xr:uid="{00000000-0006-0000-0B00-00000C000000}">
      <text>
        <r>
          <rPr>
            <i/>
            <sz val="9"/>
            <color indexed="81"/>
            <rFont val="Tahoma"/>
            <family val="2"/>
          </rPr>
          <t xml:space="preserve">Change by SBE indicator on Input Page.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Daniel Liu</author>
    <author>dave.baude</author>
  </authors>
  <commentList>
    <comment ref="D26" authorId="0" shapeId="0" xr:uid="{96995C5F-D643-4321-A65A-D17C6661A93D}">
      <text>
        <r>
          <rPr>
            <b/>
            <i/>
            <sz val="9"/>
            <color indexed="81"/>
            <rFont val="Tahoma"/>
            <family val="2"/>
          </rPr>
          <t xml:space="preserve">Provide extra detail in the Notes section
</t>
        </r>
      </text>
    </comment>
    <comment ref="D27" authorId="0" shapeId="0" xr:uid="{D72F6E80-3C90-4537-9166-55C1E6D2BCA1}">
      <text>
        <r>
          <rPr>
            <b/>
            <i/>
            <sz val="9"/>
            <color indexed="81"/>
            <rFont val="Tahoma"/>
            <family val="2"/>
          </rPr>
          <t xml:space="preserve">Provide extra detail in the Notes section
</t>
        </r>
      </text>
    </comment>
    <comment ref="D28" authorId="0" shapeId="0" xr:uid="{7826329F-BDF0-405D-BC29-DD6D08A305AC}">
      <text>
        <r>
          <rPr>
            <b/>
            <i/>
            <sz val="9"/>
            <color indexed="81"/>
            <rFont val="Tahoma"/>
            <family val="2"/>
          </rPr>
          <t xml:space="preserve">Provide extra detail in the Notes section
</t>
        </r>
      </text>
    </comment>
    <comment ref="D29" authorId="0" shapeId="0" xr:uid="{994DC44E-4D23-4C55-A138-E3F0744E3DB6}">
      <text>
        <r>
          <rPr>
            <b/>
            <i/>
            <sz val="9"/>
            <color indexed="81"/>
            <rFont val="Tahoma"/>
            <family val="2"/>
          </rPr>
          <t xml:space="preserve">Provide extra detail in the Notes section
</t>
        </r>
      </text>
    </comment>
    <comment ref="D30" authorId="0" shapeId="0" xr:uid="{00000000-0006-0000-0C00-000001000000}">
      <text>
        <r>
          <rPr>
            <b/>
            <i/>
            <sz val="9"/>
            <color indexed="81"/>
            <rFont val="Tahoma"/>
            <family val="2"/>
          </rPr>
          <t xml:space="preserve">Provide extra detail in the Notes section
</t>
        </r>
      </text>
    </comment>
    <comment ref="D123" authorId="1" shapeId="0" xr:uid="{00000000-0006-0000-0C00-00000C000000}">
      <text>
        <r>
          <rPr>
            <i/>
            <sz val="9"/>
            <color indexed="81"/>
            <rFont val="Tahoma"/>
            <family val="2"/>
          </rPr>
          <t xml:space="preserve">Change by SBE indicator on Input Page.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Daniel Slabicki</author>
  </authors>
  <commentList>
    <comment ref="E20" authorId="0" shapeId="0" xr:uid="{AAA1B82C-5F3C-42C5-B1F7-F085848FAC85}">
      <text>
        <r>
          <rPr>
            <b/>
            <i/>
            <sz val="9"/>
            <color indexed="81"/>
            <rFont val="Tahoma"/>
            <family val="2"/>
          </rPr>
          <t>Enter as a negative value.</t>
        </r>
      </text>
    </comment>
    <comment ref="E26" authorId="0" shapeId="0" xr:uid="{80C51165-53EC-404C-83C8-0F3B2754FECE}">
      <text>
        <r>
          <rPr>
            <b/>
            <i/>
            <sz val="9"/>
            <color indexed="81"/>
            <rFont val="Tahoma"/>
            <family val="2"/>
          </rPr>
          <t>Enter "N" if not in primary production averaging during a year.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Rachelle</author>
    <author>JDucat</author>
  </authors>
  <commentList>
    <comment ref="I22" authorId="0" shapeId="0" xr:uid="{00000000-0006-0000-1200-000001000000}">
      <text>
        <r>
          <rPr>
            <sz val="9"/>
            <color indexed="81"/>
            <rFont val="Tahoma"/>
            <family val="2"/>
          </rPr>
          <t>Enter as a negative number</t>
        </r>
      </text>
    </comment>
    <comment ref="C37" authorId="1" shapeId="0" xr:uid="{00000000-0006-0000-1200-000002000000}">
      <text>
        <r>
          <rPr>
            <sz val="9"/>
            <color indexed="81"/>
            <rFont val="Tahoma"/>
            <family val="2"/>
          </rPr>
          <t>Used to track what the unpresented cheques are for.  This ensures that expenses that are not claimable until paid are recognised (e.g. super).  Expenses that are not claimable until paid are more readily identifiable by both the reviewer and the person that completes the job.</t>
        </r>
      </text>
    </comment>
    <comment ref="F37" authorId="1" shapeId="0" xr:uid="{00000000-0006-0000-1200-000003000000}">
      <text>
        <r>
          <rPr>
            <sz val="9"/>
            <color indexed="81"/>
            <rFont val="Tahoma"/>
            <family val="2"/>
          </rPr>
          <t>Used to track what the unpresented cheques are for.  This ensures that expenses that are not claimable until paid are recognised (e.g. super).  Expenses that are not claimable until paid are more readily identifiable by both the reviewer and the person that completes the job.</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Shervin Phillips</author>
  </authors>
  <commentList>
    <comment ref="A37" authorId="0" shapeId="0" xr:uid="{24FD781C-370C-4C9F-BDED-105CE191B222}">
      <text>
        <r>
          <rPr>
            <b/>
            <sz val="9"/>
            <color indexed="81"/>
            <rFont val="Tahoma"/>
            <family val="2"/>
          </rPr>
          <t>Select 'Yes" if GST is applicable for the relevant item.
Select 'No" if GST is not applicable for the relevant item.</t>
        </r>
      </text>
    </comment>
    <comment ref="B62" authorId="0" shapeId="0" xr:uid="{8BB077C6-E787-4733-BEA0-1D6F8C2D583E}">
      <text>
        <r>
          <rPr>
            <sz val="10"/>
            <color indexed="81"/>
            <rFont val="Tahoma"/>
            <family val="2"/>
          </rPr>
          <t>Copy and paste cell range B61:H124 into a new excel CSV workbook to assist with importing cash book transactions into XPA. After copying and pasting the import data into a new CSV workbook, the inactive accounts in the CSV Import file can be deleted.</t>
        </r>
      </text>
    </comment>
    <comment ref="E124" authorId="0" shapeId="0" xr:uid="{547EB839-DC6E-4947-B74B-1DC61E760E3E}">
      <text>
        <r>
          <rPr>
            <b/>
            <sz val="10"/>
            <color indexed="81"/>
            <rFont val="Tahoma"/>
            <family val="2"/>
          </rPr>
          <t>Insert XPA GST account code</t>
        </r>
      </text>
    </comment>
    <comment ref="E125" authorId="0" shapeId="0" xr:uid="{809DF37A-3ECA-464F-A47E-BC46D2E14284}">
      <text>
        <r>
          <rPr>
            <b/>
            <sz val="10"/>
            <color indexed="81"/>
            <rFont val="Tahoma"/>
            <family val="2"/>
          </rPr>
          <t>Insert XPA bank account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lsr</author>
  </authors>
  <commentList>
    <comment ref="A43" authorId="0" shapeId="0" xr:uid="{00000000-0006-0000-1800-000001000000}">
      <text>
        <r>
          <rPr>
            <sz val="9"/>
            <color indexed="81"/>
            <rFont val="Tahoma"/>
            <family val="2"/>
          </rPr>
          <t>Current year here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lsr</author>
  </authors>
  <commentList>
    <comment ref="A43" authorId="0" shapeId="0" xr:uid="{00000000-0006-0000-1900-000001000000}">
      <text>
        <r>
          <rPr>
            <sz val="9"/>
            <color indexed="81"/>
            <rFont val="Tahoma"/>
            <family val="2"/>
          </rPr>
          <t>Current year here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Jacinta Ducat</author>
  </authors>
  <commentList>
    <comment ref="A89" authorId="0" shapeId="0" xr:uid="{00000000-0006-0000-1F00-000001000000}">
      <text>
        <r>
          <rPr>
            <sz val="9"/>
            <color indexed="81"/>
            <rFont val="Tahoma"/>
            <family val="2"/>
          </rPr>
          <t>Please ensure the dates are in order.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Daniel Liu</author>
  </authors>
  <commentList>
    <comment ref="I29" authorId="0" shapeId="0" xr:uid="{00000000-0006-0000-2000-000001000000}">
      <text>
        <r>
          <rPr>
            <i/>
            <sz val="9"/>
            <color indexed="81"/>
            <rFont val="Tahoma"/>
            <family val="2"/>
          </rPr>
          <t xml:space="preserve">Code as per XPA Accounts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Daniel Liu</author>
    <author>Jacinta Ducat</author>
  </authors>
  <commentList>
    <comment ref="A13" authorId="0" shapeId="0" xr:uid="{00000000-0006-0000-2100-000001000000}">
      <text>
        <r>
          <rPr>
            <i/>
            <sz val="9"/>
            <color indexed="81"/>
            <rFont val="Tahoma"/>
            <family val="2"/>
          </rPr>
          <t xml:space="preserve">Enter Code as per XPA accounts
</t>
        </r>
      </text>
    </comment>
    <comment ref="B13" authorId="1" shapeId="0" xr:uid="{00000000-0006-0000-2100-000002000000}">
      <text>
        <r>
          <rPr>
            <sz val="9"/>
            <color indexed="81"/>
            <rFont val="Tahoma"/>
            <family val="2"/>
          </rPr>
          <t>Enter type of expense rather than name of creditor, eg:
Repairs &amp; Maintenance
Water
Electricity</t>
        </r>
      </text>
    </comment>
    <comment ref="F13" authorId="1" shapeId="0" xr:uid="{00000000-0006-0000-2100-000003000000}">
      <text>
        <r>
          <rPr>
            <sz val="9"/>
            <color indexed="81"/>
            <rFont val="Tahoma"/>
            <family val="2"/>
          </rPr>
          <t>Delete GST formula as required for GST free items</t>
        </r>
      </text>
    </comment>
    <comment ref="A47" authorId="1" shapeId="0" xr:uid="{00000000-0006-0000-2100-000004000000}">
      <text>
        <r>
          <rPr>
            <sz val="9"/>
            <color indexed="81"/>
            <rFont val="Tahoma"/>
            <family val="2"/>
          </rPr>
          <t>Enter code of expense, as above. However, only enter each code once - the formula to the right will calculate the total for that expense based on the information above.</t>
        </r>
      </text>
    </comment>
    <comment ref="B47" authorId="1" shapeId="0" xr:uid="{00000000-0006-0000-2100-000005000000}">
      <text>
        <r>
          <rPr>
            <sz val="9"/>
            <color indexed="81"/>
            <rFont val="Tahoma"/>
            <family val="2"/>
          </rPr>
          <t>Based on the code, check the expense name that it is representative.  This summary will pick up the last value in the list that corresponds to the code entered so it needs to be checked</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Jacinta K Ducat - Investor Group</author>
  </authors>
  <commentList>
    <comment ref="A8" authorId="0" shapeId="0" xr:uid="{00000000-0006-0000-2200-000001000000}">
      <text>
        <r>
          <rPr>
            <sz val="9"/>
            <color indexed="81"/>
            <rFont val="Tahoma"/>
            <family val="2"/>
          </rPr>
          <t>The first part of this work paper is designed to work out the movements in the current year AWB loan. Showing the amount borrowed with included levies and interest charged for the year. It also shows any pool distributions within the year.
The second part of the AWB work paper is for the previous year pool. It is used to reconcile the movements in the AWB account, showing pool distributions, GST collected, levies deductions and interest paid.
Jacob Gigliotti was here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Jacinta Ducat</author>
    <author xml:space="preserve"> Jacinta Ducat</author>
  </authors>
  <commentList>
    <comment ref="G10" authorId="0" shapeId="0" xr:uid="{00000000-0006-0000-2300-000001000000}">
      <text>
        <r>
          <rPr>
            <sz val="9"/>
            <color indexed="81"/>
            <rFont val="Tahoma"/>
            <family val="2"/>
          </rPr>
          <t>If Annual is required, you can enter the annual information on one row of the Quarterly or Monthly frequency, or overwrite the total column.</t>
        </r>
      </text>
    </comment>
    <comment ref="H106" authorId="1" shapeId="0" xr:uid="{00000000-0006-0000-2300-000002000000}">
      <text>
        <r>
          <rPr>
            <b/>
            <i/>
            <sz val="9"/>
            <color indexed="81"/>
            <rFont val="Tahoma"/>
            <family val="2"/>
          </rPr>
          <t xml:space="preserve"> </t>
        </r>
        <r>
          <rPr>
            <sz val="9"/>
            <color indexed="81"/>
            <rFont val="Tahoma"/>
            <family val="2"/>
          </rPr>
          <t>enter as a negative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Jason Plompen</author>
  </authors>
  <commentList>
    <comment ref="A23" authorId="0" shapeId="0" xr:uid="{00000000-0006-0000-2500-000001000000}">
      <text>
        <r>
          <rPr>
            <b/>
            <i/>
            <sz val="9"/>
            <color indexed="81"/>
            <rFont val="Tahoma"/>
            <family val="2"/>
          </rPr>
          <t xml:space="preserve">Opening Balance
</t>
        </r>
        <r>
          <rPr>
            <sz val="9"/>
            <color indexed="81"/>
            <rFont val="Tahoma"/>
            <family val="2"/>
          </rPr>
          <t>This needs to be the later of the start of the loan or the start of the financial year.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Jason Plompen</author>
  </authors>
  <commentList>
    <comment ref="F54" authorId="0" shapeId="0" xr:uid="{00000000-0006-0000-2A00-000001000000}">
      <text>
        <r>
          <rPr>
            <b/>
            <i/>
            <sz val="9"/>
            <color indexed="81"/>
            <rFont val="Tahoma"/>
            <family val="2"/>
          </rPr>
          <t>Salary Rise:</t>
        </r>
        <r>
          <rPr>
            <sz val="9"/>
            <color indexed="81"/>
            <rFont val="Tahoma"/>
            <family val="2"/>
          </rPr>
          <t xml:space="preserve">
Please increase according to client expectations.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Jacinta Ducat</author>
  </authors>
  <commentList>
    <comment ref="C20" authorId="0" shapeId="0" xr:uid="{00000000-0006-0000-2D00-000001000000}">
      <text>
        <r>
          <rPr>
            <b/>
            <i/>
            <sz val="9"/>
            <color indexed="81"/>
            <rFont val="Tahoma"/>
            <family val="2"/>
          </rPr>
          <t>Jacinta Ducat:</t>
        </r>
        <r>
          <rPr>
            <sz val="9"/>
            <color indexed="81"/>
            <rFont val="Tahoma"/>
            <family val="2"/>
          </rPr>
          <t xml:space="preserve">
primary production</t>
        </r>
      </text>
    </comment>
    <comment ref="D20" authorId="0" shapeId="0" xr:uid="{00000000-0006-0000-2D00-000002000000}">
      <text>
        <r>
          <rPr>
            <b/>
            <i/>
            <sz val="9"/>
            <color indexed="81"/>
            <rFont val="Tahoma"/>
            <family val="2"/>
          </rPr>
          <t>Jacinta Ducat:</t>
        </r>
        <r>
          <rPr>
            <sz val="9"/>
            <color indexed="81"/>
            <rFont val="Tahoma"/>
            <family val="2"/>
          </rPr>
          <t xml:space="preserve">
non primary production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Jacinta Ducat</author>
  </authors>
  <commentList>
    <comment ref="O17" authorId="0" shapeId="0" xr:uid="{00000000-0006-0000-2F00-000001000000}">
      <text>
        <r>
          <rPr>
            <sz val="9"/>
            <color indexed="81"/>
            <rFont val="Tahoma"/>
            <family val="2"/>
          </rPr>
          <t>If not using the details section for each month, simply type over the top of the formulae in the rental summary</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Rachelle</author>
  </authors>
  <commentList>
    <comment ref="E14" authorId="0" shapeId="0" xr:uid="{00000000-0006-0000-3000-000001000000}">
      <text>
        <r>
          <rPr>
            <sz val="9"/>
            <color indexed="81"/>
            <rFont val="Tahoma"/>
            <family val="2"/>
          </rPr>
          <t>Enter total GST exclusive expense</t>
        </r>
      </text>
    </comment>
    <comment ref="C16" authorId="0" shapeId="0" xr:uid="{00000000-0006-0000-3000-000002000000}">
      <text>
        <r>
          <rPr>
            <sz val="9"/>
            <color indexed="81"/>
            <rFont val="Tahoma"/>
            <family val="2"/>
          </rPr>
          <t>Enter private use percentage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Jacinta K Ducat - Investor Group</author>
  </authors>
  <commentList>
    <comment ref="A31" authorId="0" shapeId="0" xr:uid="{00000000-0006-0000-3100-000001000000}">
      <text>
        <r>
          <rPr>
            <sz val="9"/>
            <color indexed="81"/>
            <rFont val="Tahoma"/>
            <family val="2"/>
          </rPr>
          <t>eg. NRMA, RACV etc</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Jason Plompen</author>
  </authors>
  <commentList>
    <comment ref="K19" authorId="0" shapeId="0" xr:uid="{00000000-0006-0000-3200-000001000000}">
      <text>
        <r>
          <rPr>
            <b/>
            <i/>
            <sz val="9"/>
            <color indexed="81"/>
            <rFont val="Tahoma"/>
            <family val="2"/>
          </rPr>
          <t>Previous Benefit Date:</t>
        </r>
        <r>
          <rPr>
            <sz val="9"/>
            <color indexed="81"/>
            <rFont val="Tahoma"/>
            <family val="2"/>
          </rPr>
          <t xml:space="preserve">
If benefit was refreshed during the year, the old rate will continue to apply until the start of the next FBT year.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Jacinta Ducat</author>
  </authors>
  <commentList>
    <comment ref="J17" authorId="0" shapeId="0" xr:uid="{00000000-0006-0000-3300-000001000000}">
      <text>
        <r>
          <rPr>
            <sz val="9"/>
            <color indexed="81"/>
            <rFont val="Tahoma"/>
            <family val="2"/>
          </rPr>
          <t xml:space="preserve">The superannuation guarantee will automatically calculate, however you may need to manually overwrite it depending on the employee's individual circumstances.
1. No superannuation guarantee is payable if the employee earns less than $450 in a month.
2. No superannuation guarantee is payable if the employee is under 18 years of age and works less than 30 hours a week. 
3. The superannuation guarantee is capped if the employee's wage exceeds the maximum contributions base.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ryanp</author>
  </authors>
  <commentList>
    <comment ref="D8" authorId="0" shapeId="0" xr:uid="{00000000-0006-0000-3900-000001000000}">
      <text>
        <r>
          <rPr>
            <b/>
            <i/>
            <sz val="9"/>
            <color indexed="81"/>
            <rFont val="Tahoma"/>
            <family val="2"/>
          </rPr>
          <t>Change this name to change all reference in document</t>
        </r>
        <r>
          <rPr>
            <sz val="9"/>
            <color indexed="81"/>
            <rFont val="Tahoma"/>
            <family val="2"/>
          </rPr>
          <t xml:space="preserve">
</t>
        </r>
      </text>
    </comment>
    <comment ref="E8" authorId="0" shapeId="0" xr:uid="{00000000-0006-0000-3900-000002000000}">
      <text>
        <r>
          <rPr>
            <b/>
            <i/>
            <sz val="9"/>
            <color indexed="81"/>
            <rFont val="Tahoma"/>
            <family val="2"/>
          </rPr>
          <t>Change this name to change all name header reference in document</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Daniel Slabicki</author>
  </authors>
  <commentList>
    <comment ref="D10" authorId="0" shapeId="0" xr:uid="{E3581F5E-8FE9-44CD-8C41-8701E0D978A1}">
      <text>
        <r>
          <rPr>
            <sz val="9"/>
            <color indexed="81"/>
            <rFont val="Tahoma"/>
            <family val="2"/>
          </rPr>
          <t>This option will convert the income and expenses so that the totals are reported on the same basis.</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Jacinta K Ducat - Investor Group</author>
    <author>Jacob Gigliotti</author>
    <author>Jacinta Ducat</author>
  </authors>
  <commentList>
    <comment ref="A7" authorId="0" shapeId="0" xr:uid="{00000000-0006-0000-3D00-000001000000}">
      <text>
        <r>
          <rPr>
            <sz val="8"/>
            <color indexed="81"/>
            <rFont val="Tahoma"/>
            <family val="2"/>
          </rPr>
          <t xml:space="preserve">All income and expenses are separately recorded for a 12-month period in the below schedule. The sum of these items is transferred to the rental summary and a net profit/loss can be determined. The below schedule does not have to be used if you only have a summary for the year. </t>
        </r>
      </text>
    </comment>
    <comment ref="AB19" authorId="1" shapeId="0" xr:uid="{DF3F99D5-4FFD-4FF3-8E9C-7A659DB7CA90}">
      <text>
        <r>
          <rPr>
            <sz val="10"/>
            <color indexed="81"/>
            <rFont val="Tahoma"/>
            <family val="2"/>
          </rPr>
          <t>If this cell states ERROR, then please review % share</t>
        </r>
      </text>
    </comment>
    <comment ref="R20" authorId="2" shapeId="0" xr:uid="{00000000-0006-0000-3D00-000002000000}">
      <text>
        <r>
          <rPr>
            <sz val="8"/>
            <color indexed="81"/>
            <rFont val="Tahoma"/>
            <family val="2"/>
          </rPr>
          <t>If not using the details section for each month, simply type over the top of the formulae in the rental summary</t>
        </r>
      </text>
    </comment>
  </commentList>
</comments>
</file>

<file path=xl/sharedStrings.xml><?xml version="1.0" encoding="utf-8"?>
<sst xmlns="http://schemas.openxmlformats.org/spreadsheetml/2006/main" count="5658" uniqueCount="2835">
  <si>
    <t>Averaging Adjustment</t>
  </si>
  <si>
    <t xml:space="preserve">         - Foreign Tax Credits</t>
  </si>
  <si>
    <t>Averaging rebate/(Comp. Tax)</t>
  </si>
  <si>
    <t>Other Rebates</t>
  </si>
  <si>
    <t>Less -  PAYG Withholding</t>
  </si>
  <si>
    <t xml:space="preserve">         - PAYG Instalments</t>
  </si>
  <si>
    <t xml:space="preserve"> - Credits from Distributions</t>
  </si>
  <si>
    <t xml:space="preserve">         - Imputation Credits</t>
  </si>
  <si>
    <t xml:space="preserve">         - TFN Tax Credits</t>
  </si>
  <si>
    <t>NAME 1</t>
  </si>
  <si>
    <t>SUPER FUND</t>
  </si>
  <si>
    <t>TOTAL TAX PAYABLE/(REFUND)</t>
  </si>
  <si>
    <t>Super Fund</t>
  </si>
  <si>
    <t>- Farm Management Deposit</t>
  </si>
  <si>
    <t>FBT Statutory Formula Rates</t>
  </si>
  <si>
    <t>Base Value Reduction</t>
  </si>
  <si>
    <t>Years owned at Start of FBT Year</t>
  </si>
  <si>
    <t xml:space="preserve">Pool </t>
  </si>
  <si>
    <t>FIRM:</t>
  </si>
  <si>
    <t>Value:</t>
  </si>
  <si>
    <t>Options:</t>
  </si>
  <si>
    <t>Less: Private Usage</t>
  </si>
  <si>
    <t>Add Assets Acquired (inc Improvements) this Year</t>
  </si>
  <si>
    <t>Asset #</t>
  </si>
  <si>
    <t>Less Disposals at Termination Value</t>
  </si>
  <si>
    <t>Proceeds $</t>
  </si>
  <si>
    <t>2.     ACCOUNTS &amp; TAX RETURN</t>
  </si>
  <si>
    <t>Operating profit/(loss) per accounts</t>
  </si>
  <si>
    <t>BAS Net Sales (Sales - GST)</t>
  </si>
  <si>
    <t>Add:</t>
  </si>
  <si>
    <t>Net capital gains per tax calculations</t>
  </si>
  <si>
    <t>Franking credits</t>
  </si>
  <si>
    <t>Other Assessable Income</t>
  </si>
  <si>
    <t>Accrued interest income prior year now received</t>
  </si>
  <si>
    <t>Taxable profit on sale of depreciating assets</t>
  </si>
  <si>
    <t>Taxable distributions</t>
  </si>
  <si>
    <t>Unrealised foreign exchange gains prior year</t>
  </si>
  <si>
    <t xml:space="preserve"> - as required</t>
  </si>
  <si>
    <t>Non-Deductible Expenses</t>
  </si>
  <si>
    <t>Accrued exps current year</t>
  </si>
  <si>
    <t>- superannuation</t>
  </si>
  <si>
    <t>Amortisation per the accounts</t>
  </si>
  <si>
    <t>Borrowing costs per the accounts</t>
  </si>
  <si>
    <t>Capital losses per the accounts</t>
  </si>
  <si>
    <t>Debt deductions denied by Thin Capitalisation</t>
  </si>
  <si>
    <t xml:space="preserve">Depreciation per the accounts </t>
  </si>
  <si>
    <t>Finance lease interest &amp; finance charges</t>
  </si>
  <si>
    <t>Fringe benefits tax expense per the accounts</t>
  </si>
  <si>
    <t>Description of scenarios:</t>
  </si>
  <si>
    <t>Concessional contribution cap</t>
  </si>
  <si>
    <t>Date of Birth</t>
  </si>
  <si>
    <t>Estimated Net Worth:</t>
  </si>
  <si>
    <t>Personal Items</t>
  </si>
  <si>
    <t>Estimated Value</t>
  </si>
  <si>
    <t>Insurances</t>
  </si>
  <si>
    <t>Private Health Insurance</t>
  </si>
  <si>
    <t>Life Insurance</t>
  </si>
  <si>
    <t>Trauma Insurance</t>
  </si>
  <si>
    <t>Income Protection Insurance</t>
  </si>
  <si>
    <t>Permanent Disability Insurance</t>
  </si>
  <si>
    <t>Other Outstanding Debt</t>
  </si>
  <si>
    <t>Legal Information</t>
  </si>
  <si>
    <t>Solicitor</t>
  </si>
  <si>
    <t>Cash or Cash Equivalent</t>
  </si>
  <si>
    <t>Will</t>
  </si>
  <si>
    <t>Financial Power of Attorney</t>
  </si>
  <si>
    <t>Shares</t>
  </si>
  <si>
    <t>Life insurance (cash value)</t>
  </si>
  <si>
    <t>Investments</t>
  </si>
  <si>
    <t>Net wealth calculator</t>
  </si>
  <si>
    <t>Loss on sale of assets per the accounts</t>
  </si>
  <si>
    <t>Non-deductible expenses</t>
  </si>
  <si>
    <t>- entertainment</t>
  </si>
  <si>
    <t>- legal expenses</t>
  </si>
  <si>
    <t>- donations</t>
  </si>
  <si>
    <t>- bad debts</t>
  </si>
  <si>
    <t>Prepayments deducted prior year</t>
  </si>
  <si>
    <t>Provisions balance current year</t>
  </si>
  <si>
    <t>- annual leave</t>
  </si>
  <si>
    <t>- long service leave</t>
  </si>
  <si>
    <t>Unrealised foreign exchange losses current year</t>
  </si>
  <si>
    <t>Taxation Profit</t>
  </si>
  <si>
    <t>Less:</t>
  </si>
  <si>
    <t>Capital works deductions</t>
  </si>
  <si>
    <t>Accrued Wages</t>
  </si>
  <si>
    <t>Holiday Pay</t>
  </si>
  <si>
    <t>LSL</t>
  </si>
  <si>
    <t>Opening balance</t>
  </si>
  <si>
    <t>Closing balance</t>
  </si>
  <si>
    <t>Ref</t>
  </si>
  <si>
    <t>COMPANY 1</t>
  </si>
  <si>
    <t xml:space="preserve">COMPANY 2 </t>
  </si>
  <si>
    <t>COMPANY 3</t>
  </si>
  <si>
    <t>COMPANY 4</t>
  </si>
  <si>
    <t>COMPANY 5</t>
  </si>
  <si>
    <t>COMPANY 6</t>
  </si>
  <si>
    <t>COMPANY 7</t>
  </si>
  <si>
    <t>COMPANY 8</t>
  </si>
  <si>
    <t>COMPANY 9</t>
  </si>
  <si>
    <t>COMPANY 10</t>
  </si>
  <si>
    <t>NAME 9</t>
  </si>
  <si>
    <t>NAME 10</t>
  </si>
  <si>
    <t>Decline in value of depreciating assets (tax depreciation)</t>
  </si>
  <si>
    <t>Other Income Not Included in Assessable Income</t>
  </si>
  <si>
    <t>Accrued interest income current year not received</t>
  </si>
  <si>
    <t>Capital profits per the accounts</t>
  </si>
  <si>
    <t>Net personal services income</t>
  </si>
  <si>
    <t>Distributions per the accounts</t>
  </si>
  <si>
    <t>Unrealised foreign exchange gains current year</t>
  </si>
  <si>
    <t>Other Deductible Expenses</t>
  </si>
  <si>
    <t>Accrued expenses prior year</t>
  </si>
  <si>
    <t>Lease payments</t>
  </si>
  <si>
    <t>Franked (net amount)</t>
  </si>
  <si>
    <t>Imputation Credits</t>
  </si>
  <si>
    <t>n</t>
  </si>
  <si>
    <t xml:space="preserve">Prepaid expenses deductible this year </t>
  </si>
  <si>
    <t>Provisions prior year</t>
  </si>
  <si>
    <t>Tax deductible borrowing costs</t>
  </si>
  <si>
    <t>Tax deductible fringe benefits tax expense</t>
  </si>
  <si>
    <t>Tax loss on disposal of depreciating assets</t>
  </si>
  <si>
    <t>Unrealised foreign exchange losses prior year</t>
  </si>
  <si>
    <t>Tax losses deducted</t>
  </si>
  <si>
    <t>Tax losses transferred in</t>
  </si>
  <si>
    <t>TAXABLE INCOME/(LOSS) FOR YEAR</t>
  </si>
  <si>
    <t xml:space="preserve">Total losses carried forward </t>
  </si>
  <si>
    <t>Rebates &amp; Credits</t>
  </si>
  <si>
    <t>Foreign tax credits</t>
  </si>
  <si>
    <t>Franking deficit tax credit offset</t>
  </si>
  <si>
    <t>SUBTOTAL</t>
  </si>
  <si>
    <t>S102AAM interest</t>
  </si>
  <si>
    <t>Early payment interest credit</t>
  </si>
  <si>
    <t>Credit for tax withheld where ABN not quoted</t>
  </si>
  <si>
    <t>Tax withheld from interest / investments</t>
  </si>
  <si>
    <t>Other refundable credits</t>
  </si>
  <si>
    <t>CURRENT YEAR TAX PAYABLE PER ACCOUNTS</t>
  </si>
  <si>
    <t>AMOUNT OF PAYMENT/(REFUND) ON ITR</t>
  </si>
  <si>
    <t>Excess Franking Credits</t>
  </si>
  <si>
    <t>Step 1:</t>
  </si>
  <si>
    <t>Franking tax offsets entitled to</t>
  </si>
  <si>
    <t>Step 2:</t>
  </si>
  <si>
    <t>Income tax payable, including foreign tax credits, and excluding any of the following:</t>
  </si>
  <si>
    <t>- franking tax offsets, and</t>
  </si>
  <si>
    <t>- any tax offsets subject to tax offset carry fwd rules or refundable tax offset rules, and</t>
  </si>
  <si>
    <t>- any tax offset arising from a franking deficit tax liability</t>
  </si>
  <si>
    <t>Step 3:</t>
  </si>
  <si>
    <t>Excess franking tax offsets</t>
  </si>
  <si>
    <t>Imputation credits</t>
  </si>
  <si>
    <t>- via Dividends</t>
  </si>
  <si>
    <t>- via Trusts</t>
  </si>
  <si>
    <t>Other rebates/credits</t>
  </si>
  <si>
    <t>To be distributed as follows:</t>
  </si>
  <si>
    <t>Beneficiary</t>
  </si>
  <si>
    <t>Reconciliation of Taxable Distributions:</t>
  </si>
  <si>
    <t>Have you considered the ATO Benchmarks in reviewing the results for your clients?</t>
  </si>
  <si>
    <t>Important Notes:</t>
  </si>
  <si>
    <r>
      <t>●</t>
    </r>
    <r>
      <rPr>
        <i/>
        <sz val="10"/>
        <rFont val="Century Gothic"/>
        <family val="2"/>
      </rPr>
      <t xml:space="preserve"> The document is based on information provided by you and is not a formal valuation.</t>
    </r>
  </si>
  <si>
    <r>
      <t>●</t>
    </r>
    <r>
      <rPr>
        <i/>
        <sz val="10"/>
        <rFont val="Century Gothic"/>
        <family val="2"/>
      </rPr>
      <t xml:space="preserve"> It aims to provide a snapshot of your situation as a means of exploring further opportunities to improve or protect your position.</t>
    </r>
  </si>
  <si>
    <r>
      <t>●</t>
    </r>
    <r>
      <rPr>
        <i/>
        <sz val="10"/>
        <rFont val="Century Gothic"/>
        <family val="2"/>
      </rPr>
      <t xml:space="preserve"> We have prepared this document solely for your use; and it should not be used by third parties.</t>
    </r>
  </si>
  <si>
    <t>Term (Months)</t>
  </si>
  <si>
    <t>Monthly Repayments</t>
  </si>
  <si>
    <t>Residual</t>
  </si>
  <si>
    <t>Due &lt; 12 Months</t>
  </si>
  <si>
    <t>Interest Due &lt; 12 Months</t>
  </si>
  <si>
    <t>Due &gt; 12 Months</t>
  </si>
  <si>
    <t>Interest Due &gt; 12 Months</t>
  </si>
  <si>
    <t>Net Non-Current Liability</t>
  </si>
  <si>
    <t>2.3.</t>
  </si>
  <si>
    <t>REVIEW TRIAL BALANCE</t>
  </si>
  <si>
    <t>(see also calculation re excess franking credits below)</t>
  </si>
  <si>
    <t>Net GST Payable/(Refundable) per Accounts:</t>
  </si>
  <si>
    <t>S. 40-880 deduction (business related capital costs deductible over 5 yrs)</t>
  </si>
  <si>
    <t>PRIMARY PROD'N</t>
  </si>
  <si>
    <t>Comments</t>
  </si>
  <si>
    <t>Weekly</t>
  </si>
  <si>
    <t>Annually</t>
  </si>
  <si>
    <t>Dividends Paid</t>
  </si>
  <si>
    <t>NA</t>
  </si>
  <si>
    <t>Taxable</t>
  </si>
  <si>
    <t>Loan / Chattel</t>
  </si>
  <si>
    <t>HP</t>
  </si>
  <si>
    <t>Frequency</t>
  </si>
  <si>
    <t>Princ Inc GST</t>
  </si>
  <si>
    <t>6 Monthly</t>
  </si>
  <si>
    <t>(GST Free)</t>
  </si>
  <si>
    <t>(GST Inc)</t>
  </si>
  <si>
    <t>GST in</t>
  </si>
  <si>
    <t>Period</t>
  </si>
  <si>
    <t>HP / Loan / Chattel Schedule</t>
  </si>
  <si>
    <t>This expenditure is not taken into account in determining the partnership's net income or loss.</t>
  </si>
  <si>
    <t>Each partner claims a proportionate deduction, split as follows:</t>
  </si>
  <si>
    <t>Claim</t>
  </si>
  <si>
    <t>Name 2</t>
  </si>
  <si>
    <t>Name 3</t>
  </si>
  <si>
    <t>Name 4</t>
  </si>
  <si>
    <t>Name 5</t>
  </si>
  <si>
    <t>Name 6</t>
  </si>
  <si>
    <t>RECONCILE BAS REC CASH SALES AGAINST ACCOUNTS ACCRUALS SALES</t>
  </si>
  <si>
    <t>Sales as per accounts</t>
  </si>
  <si>
    <t>Before 1 July 2002</t>
  </si>
  <si>
    <t>On or after 10 May 2006</t>
  </si>
  <si>
    <t>2008 and earlier FBT years (old formula)</t>
  </si>
  <si>
    <t>2009 and later FBT years (new formula)</t>
  </si>
  <si>
    <t>HELP Debt</t>
  </si>
  <si>
    <t xml:space="preserve">  Less DEDUCTIONS :-</t>
  </si>
  <si>
    <t>Instalment 1</t>
  </si>
  <si>
    <t>Instalment 2</t>
  </si>
  <si>
    <t>Instalment 3</t>
  </si>
  <si>
    <t>Instalment 4</t>
  </si>
  <si>
    <t/>
  </si>
  <si>
    <t xml:space="preserve">   INCOME :-</t>
  </si>
  <si>
    <t xml:space="preserve">  - Other</t>
  </si>
  <si>
    <t xml:space="preserve">Less - PAYG Withholding    </t>
  </si>
  <si>
    <t>Date Car Acquired</t>
  </si>
  <si>
    <t>1 July 2002 to 9 May 2006</t>
  </si>
  <si>
    <t>Other rebates/credits (inc franking credits on franked dividends)</t>
  </si>
  <si>
    <t>PROVISION FOR TAX</t>
  </si>
  <si>
    <t>RETAINED EARNINGS AND FRANKING ACCOUNT</t>
  </si>
  <si>
    <t>Retained earnings at year end per financial statements</t>
  </si>
  <si>
    <t>Franking credits required</t>
  </si>
  <si>
    <t>Comments / Explanation of Variation</t>
  </si>
  <si>
    <t>General SBE Pool Balance</t>
  </si>
  <si>
    <t>Last year</t>
  </si>
  <si>
    <t>Previous to last</t>
  </si>
  <si>
    <t xml:space="preserve">Turnover looking back </t>
  </si>
  <si>
    <t>Statutory income</t>
  </si>
  <si>
    <t xml:space="preserve">ie Capital Gains </t>
  </si>
  <si>
    <t>ie: deferred income - forced sales</t>
  </si>
  <si>
    <t>If Y for last year then SBE applies regardless of current year turnover</t>
  </si>
  <si>
    <t>Note: access to SBE GST &amp; PAYGI concessions are restricted</t>
  </si>
  <si>
    <t>EH</t>
  </si>
  <si>
    <t>S - SALARY &amp; WAGE</t>
  </si>
  <si>
    <t>DAYS IN PERIOD:</t>
  </si>
  <si>
    <t>Unabsorbed at 30 June</t>
  </si>
  <si>
    <t>Current Year's Benchmark Rate</t>
  </si>
  <si>
    <t>Amount Unrepaid at End of Previous Year</t>
  </si>
  <si>
    <t>Remaining Term at End of Previous Year</t>
  </si>
  <si>
    <t>PAYROLL TAX CHECK:</t>
  </si>
  <si>
    <t>Grossed up fringe benefits</t>
  </si>
  <si>
    <t>STS ENTITY?</t>
  </si>
  <si>
    <t xml:space="preserve">Gross wages + SGC req + Grossed up fringe benefits = </t>
  </si>
  <si>
    <t xml:space="preserve">Note:  SGC required (from the table above) is used in the Payroll Tax Check formula.  If the client has over or under paid SGC, the client may </t>
  </si>
  <si>
    <t xml:space="preserve">          artificially appear to be over/under the threshold.</t>
  </si>
  <si>
    <t>Trading Stock / Absorption Costing</t>
  </si>
  <si>
    <t>15 year</t>
  </si>
  <si>
    <t>50% AA</t>
  </si>
  <si>
    <t>RTE</t>
  </si>
  <si>
    <t>RTE applies</t>
  </si>
  <si>
    <t>2 yr rollover</t>
  </si>
  <si>
    <t>Do SBE Concessions Apply? (Y/N)</t>
  </si>
  <si>
    <t>No. Persons</t>
  </si>
  <si>
    <t>Annual Interest Rate*</t>
  </si>
  <si>
    <t>* To find the interest rate, use Goal Seek (refer to training manual for instructions)</t>
  </si>
  <si>
    <t>FRANKING ACCOUNT RECONCILIATION</t>
  </si>
  <si>
    <t>Commercial Bill Prepayments</t>
  </si>
  <si>
    <t>Ledger A/c No.</t>
  </si>
  <si>
    <t>Detail</t>
  </si>
  <si>
    <t>Reviewed</t>
  </si>
  <si>
    <t>Schedule Ref.</t>
  </si>
  <si>
    <t>Notes or Comments</t>
  </si>
  <si>
    <t>Inter Entity Loan Matrix</t>
  </si>
  <si>
    <t>Instructions for use</t>
  </si>
  <si>
    <t xml:space="preserve">This matrix should be used to check that the inter-entity loans agree on each balance sheet.  If the balances do not agree, the cells will change colour.  </t>
  </si>
  <si>
    <t>If, after entering all of the balances, cells remain coloured, check the appropriate ledger accounts in each entity, identify the reasons why the loans do not agree and take the necessary steps to correct the situation.</t>
  </si>
  <si>
    <t>Enter the names of the entities in the vertical cells, the horizontal list of names updates automatically.</t>
  </si>
  <si>
    <t>Current</t>
  </si>
  <si>
    <t>Non Current</t>
  </si>
  <si>
    <t>Per Accounts</t>
  </si>
  <si>
    <t>Casual?</t>
  </si>
  <si>
    <t>Enter the loan amounts in the columns for each entity using "+" for Debit loans and "-" for loans with a Credit balance. The Credit balance loans will appear in brackets e.g. (32,765.98).</t>
  </si>
  <si>
    <t>SCROLL DOWN TO SEE AN EXAMPLE OF HOW THIS MATRIX WORKS</t>
  </si>
  <si>
    <t>Loans</t>
  </si>
  <si>
    <t>Name A</t>
  </si>
  <si>
    <t>Name B</t>
  </si>
  <si>
    <t>Name C</t>
  </si>
  <si>
    <t>Name D</t>
  </si>
  <si>
    <t xml:space="preserve">Name E </t>
  </si>
  <si>
    <t>Name F</t>
  </si>
  <si>
    <t>Name G</t>
  </si>
  <si>
    <t>Name H</t>
  </si>
  <si>
    <t>Example</t>
  </si>
  <si>
    <t>Smith Pty Ltd</t>
  </si>
  <si>
    <t>K B Smith</t>
  </si>
  <si>
    <t>Smith Family Trust</t>
  </si>
  <si>
    <t xml:space="preserve">As the balance for each entity is entered, the matrix will complete; cells will change colour as you enter the first figures. </t>
  </si>
  <si>
    <t>When the balance in the related entity is entered, the cell should change to white. If the colour doesn't change, the balances do not agree.</t>
  </si>
  <si>
    <t>Sale/Purchase of Business/Property</t>
  </si>
  <si>
    <t>Name of Business or Property</t>
  </si>
  <si>
    <t>Gross per PAYG Payment Summary</t>
  </si>
  <si>
    <t>Tax Withheld per PAYG Payment Summary</t>
  </si>
  <si>
    <t>Address of Business or Property'</t>
  </si>
  <si>
    <t>Date Sold/Purchased</t>
  </si>
  <si>
    <t>Is the client Registered for GST?</t>
  </si>
  <si>
    <t>What is the date of the contract?</t>
  </si>
  <si>
    <t>What is the date of settlement?</t>
  </si>
  <si>
    <t>Is the sale GST inclusive?</t>
  </si>
  <si>
    <t>Is a GST free clause included in the contract?</t>
  </si>
  <si>
    <t>Is there a schedule of Plant &amp; Equipment etc?</t>
  </si>
  <si>
    <t>Are there any special conditions included in the contract? Please give details below.</t>
  </si>
  <si>
    <t>Cost Price/Consideration Received</t>
  </si>
  <si>
    <t>Less Deposit Paid/Received</t>
  </si>
  <si>
    <t>Adjustment for Rates &amp; Taxes</t>
  </si>
  <si>
    <t>Stamp Duty</t>
  </si>
  <si>
    <t>Plant &amp; Equipment</t>
  </si>
  <si>
    <t>Balance Sheet</t>
  </si>
  <si>
    <t>Goodwill</t>
  </si>
  <si>
    <t>GST Received</t>
  </si>
  <si>
    <t>GST Paid</t>
  </si>
  <si>
    <t>Less Selling Costs</t>
  </si>
  <si>
    <t>GST Reconciliation</t>
  </si>
  <si>
    <t>Brokerage</t>
  </si>
  <si>
    <t>Commission</t>
  </si>
  <si>
    <t>Searches</t>
  </si>
  <si>
    <t>Other Expenses</t>
  </si>
  <si>
    <t>Expenses</t>
  </si>
  <si>
    <t>Repayment of Loan</t>
  </si>
  <si>
    <t>Loan Proceeds</t>
  </si>
  <si>
    <t xml:space="preserve">Balance Sheet </t>
  </si>
  <si>
    <t>Tax Reconciliation</t>
  </si>
  <si>
    <t>Bank / Clearing Account</t>
  </si>
  <si>
    <t>Property at Cost</t>
  </si>
  <si>
    <t>Plant and Equipment</t>
  </si>
  <si>
    <t>Loan</t>
  </si>
  <si>
    <t>Other Balance Sheet Item</t>
  </si>
  <si>
    <t>Profit and Loss</t>
  </si>
  <si>
    <t>Actual</t>
  </si>
  <si>
    <t>Days in total Coverage</t>
  </si>
  <si>
    <t>Bank Fees</t>
  </si>
  <si>
    <t>Legal</t>
  </si>
  <si>
    <t>Total Borrowing Costs</t>
  </si>
  <si>
    <t>Blackhole Expenses and Intangibles</t>
  </si>
  <si>
    <t>Add: New Blackhole Expenses and Intangibles this Year</t>
  </si>
  <si>
    <t>Initials</t>
  </si>
  <si>
    <t>Prepared By:</t>
  </si>
  <si>
    <t>Reviewed By:</t>
  </si>
  <si>
    <t>Gross remuneration as per certificate of rateable remuneration</t>
  </si>
  <si>
    <t>Borrowing Expenses</t>
  </si>
  <si>
    <t>Cleaning</t>
  </si>
  <si>
    <t>Capital Allowances - depn</t>
  </si>
  <si>
    <t>Gardening/Lawn</t>
  </si>
  <si>
    <t>Land Tax</t>
  </si>
  <si>
    <t>Legal Fees</t>
  </si>
  <si>
    <t>Property Agent Fees</t>
  </si>
  <si>
    <t>Capital Works Deduction</t>
  </si>
  <si>
    <t>Travel Expenses</t>
  </si>
  <si>
    <t>Sundry Rental Expenses</t>
  </si>
  <si>
    <t>Sundry 1</t>
  </si>
  <si>
    <t>Sundry 2</t>
  </si>
  <si>
    <t>Sundry 3</t>
  </si>
  <si>
    <t>OPTIONS</t>
  </si>
  <si>
    <t>INDEX</t>
  </si>
  <si>
    <t>RESULT</t>
  </si>
  <si>
    <t>Car FBT Calculation</t>
  </si>
  <si>
    <t>Vehicle Description</t>
  </si>
  <si>
    <t>Purchase Date</t>
  </si>
  <si>
    <t>Employee Contributions</t>
  </si>
  <si>
    <t>Employee Reimbursements</t>
  </si>
  <si>
    <t>Days Deemed Available For Private Use in Period</t>
  </si>
  <si>
    <t>UNDISTRIBUTED</t>
  </si>
  <si>
    <t>Business Use percentage, as per log book</t>
  </si>
  <si>
    <t>Private Use percentage, as per log book</t>
  </si>
  <si>
    <t>Days Vehicle Owned During Period</t>
  </si>
  <si>
    <t>Gross up value</t>
  </si>
  <si>
    <t>FBT Rate</t>
  </si>
  <si>
    <t>Benchmark Interest Rate</t>
  </si>
  <si>
    <t>Depreciation Rate^</t>
  </si>
  <si>
    <t>DV changed from 150% to 200% of PC</t>
  </si>
  <si>
    <t>GST Rate</t>
  </si>
  <si>
    <t>FRINGE BENEFITS TAX:</t>
  </si>
  <si>
    <t>STATUTORY FORMULA METHOD:</t>
  </si>
  <si>
    <t>LOG BOOK METHOD:</t>
  </si>
  <si>
    <t>EMPLOYEE CONTRIBUTIONS REQUIRED:</t>
  </si>
  <si>
    <t>Including GST</t>
  </si>
  <si>
    <t>METHOD B : LOG BOOK METHOD</t>
  </si>
  <si>
    <t>Vehicle Expenses:</t>
  </si>
  <si>
    <t>Lease charges</t>
  </si>
  <si>
    <t>METHOD A : STAT. PERCENTAGE METHOD</t>
  </si>
  <si>
    <t>Fuel, Reg'n etc</t>
  </si>
  <si>
    <t>Base Value</t>
  </si>
  <si>
    <t>________</t>
  </si>
  <si>
    <t>Rate</t>
  </si>
  <si>
    <t>Balance Tax Payable / (Refund)</t>
  </si>
  <si>
    <t>Associate?</t>
  </si>
  <si>
    <t>Payments to Associates:</t>
  </si>
  <si>
    <t>Allowances</t>
  </si>
  <si>
    <t>Statutory Percentage</t>
  </si>
  <si>
    <t>Days Available for private use</t>
  </si>
  <si>
    <t>Private Percentage</t>
  </si>
  <si>
    <t>Gross Taxable Value</t>
  </si>
  <si>
    <t>Less Employee Contributions</t>
  </si>
  <si>
    <t>Taxable Value</t>
  </si>
  <si>
    <t>GST Amount</t>
  </si>
  <si>
    <t>FBT    @</t>
  </si>
  <si>
    <t>Journals Required for Cashout:</t>
  </si>
  <si>
    <t xml:space="preserve">Stat Formula </t>
  </si>
  <si>
    <t>Log Book</t>
  </si>
  <si>
    <t>Dr  Employee Loan</t>
  </si>
  <si>
    <t>Cr  GST Collected</t>
  </si>
  <si>
    <t>Cr  Employee Contributions Income</t>
  </si>
  <si>
    <t>For the FBT period</t>
  </si>
  <si>
    <t>Closing Value per Movements</t>
  </si>
  <si>
    <t>Account Balances at End of Year</t>
  </si>
  <si>
    <t>Balance per Bank Statements</t>
  </si>
  <si>
    <t>Account No</t>
  </si>
  <si>
    <t xml:space="preserve">  - Sundry stationery</t>
  </si>
  <si>
    <t>#  Original cost INCLUDES non-business accessories, dealer delivery &amp; luxury car tax; EXCLUDES registration &amp; stamp duty.</t>
  </si>
  <si>
    <t>Base Value:</t>
  </si>
  <si>
    <t>Depreciated Value (nil if leased)*</t>
  </si>
  <si>
    <t>Car Expenses (inc GST):</t>
  </si>
  <si>
    <t>Kilometres Travelled:</t>
  </si>
  <si>
    <t>Opening Odometer</t>
  </si>
  <si>
    <t>Annualised Total Kilometres:</t>
  </si>
  <si>
    <t>FBT rate</t>
  </si>
  <si>
    <t>Depreciation rate (post 10-May-2006)</t>
  </si>
  <si>
    <t>Cost $</t>
  </si>
  <si>
    <t>Priv Use %</t>
  </si>
  <si>
    <t>Start Date</t>
  </si>
  <si>
    <t>Years Service</t>
  </si>
  <si>
    <t>Entitlement</t>
  </si>
  <si>
    <t>Hours per week</t>
  </si>
  <si>
    <t>(weeks)</t>
  </si>
  <si>
    <t>(hours)</t>
  </si>
  <si>
    <t>Leave Taken</t>
  </si>
  <si>
    <t>Net Entitlement</t>
  </si>
  <si>
    <t>Liability</t>
  </si>
  <si>
    <t>Probability</t>
  </si>
  <si>
    <t>Nominal Value</t>
  </si>
  <si>
    <t>Salary Rise</t>
  </si>
  <si>
    <t>Bond Rate</t>
  </si>
  <si>
    <t>Present Value</t>
  </si>
  <si>
    <t>Oncost Calculation</t>
  </si>
  <si>
    <t>Payroll Tax</t>
  </si>
  <si>
    <t>Superannuation</t>
  </si>
  <si>
    <t>Workcover</t>
  </si>
  <si>
    <t>Long Service Leave</t>
  </si>
  <si>
    <t>Display employees</t>
  </si>
  <si>
    <t>Annualised Business Kilometres:</t>
  </si>
  <si>
    <t>Original Cost including GST#</t>
  </si>
  <si>
    <t>Net Employee Contributions:</t>
  </si>
  <si>
    <t>Lease charges (inc GST):</t>
  </si>
  <si>
    <t>Adjustment for Rates and Taxes</t>
  </si>
  <si>
    <t>Yes</t>
  </si>
  <si>
    <t>No</t>
  </si>
  <si>
    <t>This worksheet will enable you to record the net consideration received from the sale of a business or property and to prepare the journal entry required.</t>
  </si>
  <si>
    <t>WORKCOVER:</t>
  </si>
  <si>
    <t>Gross salaries as per financial statements</t>
  </si>
  <si>
    <t>Add:  Directors Salaries (if not recorded above)</t>
  </si>
  <si>
    <t>Other Adjustments</t>
  </si>
  <si>
    <t>Superannuation (if applicable in the State)</t>
  </si>
  <si>
    <t>PRIMARY PRODUCER:</t>
  </si>
  <si>
    <t>Maximum kilometres allowed</t>
  </si>
  <si>
    <t>Total Cost Base</t>
  </si>
  <si>
    <t>Shares Retained</t>
  </si>
  <si>
    <t>Does 50%</t>
  </si>
  <si>
    <t>Discount</t>
  </si>
  <si>
    <t>Capital</t>
  </si>
  <si>
    <t>Gain</t>
  </si>
  <si>
    <t>Apply?(Y/N)</t>
  </si>
  <si>
    <t>Total Cost Base Still Held</t>
  </si>
  <si>
    <t>Less items sold</t>
  </si>
  <si>
    <t>Shares &amp; Securities</t>
  </si>
  <si>
    <t>Company</t>
  </si>
  <si>
    <t>Number</t>
  </si>
  <si>
    <t>Retained</t>
  </si>
  <si>
    <t>Per Share</t>
  </si>
  <si>
    <t>YES</t>
  </si>
  <si>
    <t>Asset Depreciation Schedule</t>
  </si>
  <si>
    <t>Original Loan Amount</t>
  </si>
  <si>
    <t>Interest Rate</t>
  </si>
  <si>
    <t>Telephone</t>
  </si>
  <si>
    <t>Opening Stock</t>
  </si>
  <si>
    <t>Natural Increase</t>
  </si>
  <si>
    <t>Sales</t>
  </si>
  <si>
    <t>Deaths</t>
  </si>
  <si>
    <t>Rations</t>
  </si>
  <si>
    <t>Closing Stock</t>
  </si>
  <si>
    <t xml:space="preserve">      </t>
  </si>
  <si>
    <t xml:space="preserve">Description </t>
  </si>
  <si>
    <t>Calc (km x  L/100km  x  C/litre)</t>
  </si>
  <si>
    <t>Drought Write-Off (section 385-105)</t>
  </si>
  <si>
    <t>Drought Write-Off (section 385-110)</t>
  </si>
  <si>
    <t>SECTION 385-105   DEFERRAL OF PROFIT FROM FORCED DISPOSAL OF LIVESTOCK</t>
  </si>
  <si>
    <t>(PREVIOUSLY SECTION 36 OF ITAA 1936)</t>
  </si>
  <si>
    <t>Profit on Disposal of Livestock:</t>
  </si>
  <si>
    <t>Proceeds of Sale</t>
  </si>
  <si>
    <t>Cost of Livestock Purchased</t>
  </si>
  <si>
    <t>Average Cost Per Head</t>
  </si>
  <si>
    <t>Total Cost of Forced Sale</t>
  </si>
  <si>
    <t>Profit from Forced Sale</t>
  </si>
  <si>
    <t>Profit per Head of Forced Sale</t>
  </si>
  <si>
    <t>Less private use</t>
  </si>
  <si>
    <t>Net Claim</t>
  </si>
  <si>
    <t>State Based Rates:</t>
  </si>
  <si>
    <t>WORKPAPER FILE INDEX</t>
  </si>
  <si>
    <t>STANDARD RATES - INTERNAL USE</t>
  </si>
  <si>
    <t>Division 7A Loan Repayment Calculations</t>
  </si>
  <si>
    <t>Contract Work</t>
  </si>
  <si>
    <t>Less Private Use</t>
  </si>
  <si>
    <t>Fuel &amp; Oil</t>
  </si>
  <si>
    <t>General Expenses</t>
  </si>
  <si>
    <t>Hire of Plant &amp; Equipment</t>
  </si>
  <si>
    <t>Hire Purchase Charges</t>
  </si>
  <si>
    <t>Interest Paid</t>
  </si>
  <si>
    <t>Legal Costs</t>
  </si>
  <si>
    <t>Livestock Expenses</t>
  </si>
  <si>
    <t>Low Value Assets Deducted</t>
  </si>
  <si>
    <t>Motor Vehicle Expenses</t>
  </si>
  <si>
    <t>Advertising</t>
  </si>
  <si>
    <t>Protective Clothing</t>
  </si>
  <si>
    <t>Profit</t>
  </si>
  <si>
    <t>Account Number:</t>
  </si>
  <si>
    <t>Account Type:</t>
  </si>
  <si>
    <t>Opening Ledger Balance:</t>
  </si>
  <si>
    <t>add deposits</t>
  </si>
  <si>
    <t>less withdrawals</t>
  </si>
  <si>
    <t>Per P&amp;L</t>
  </si>
  <si>
    <t>Primary</t>
  </si>
  <si>
    <t>Non</t>
  </si>
  <si>
    <t>OTHER INCOME</t>
  </si>
  <si>
    <t>Profit (Loss) on Livestock</t>
  </si>
  <si>
    <t>Trading</t>
  </si>
  <si>
    <t>Withholding Tax</t>
  </si>
  <si>
    <t>- Withholding Tax</t>
  </si>
  <si>
    <t xml:space="preserve">Purchases </t>
  </si>
  <si>
    <t>Cost of Sales</t>
  </si>
  <si>
    <t>Costs attributable to getting stock to current condition</t>
  </si>
  <si>
    <t>Full</t>
  </si>
  <si>
    <t xml:space="preserve">Absorption </t>
  </si>
  <si>
    <t>(see PS LA 2003/13)</t>
  </si>
  <si>
    <t>Costing</t>
  </si>
  <si>
    <t>Salary and wages</t>
  </si>
  <si>
    <t>Light and power</t>
  </si>
  <si>
    <t>Security</t>
  </si>
  <si>
    <t>Freight</t>
  </si>
  <si>
    <t>Rates and taxes</t>
  </si>
  <si>
    <t>Lease costs</t>
  </si>
  <si>
    <t>Damaged stock</t>
  </si>
  <si>
    <t>Workcare premiums</t>
  </si>
  <si>
    <t>Other administration costs</t>
  </si>
  <si>
    <t>Absorption Costing</t>
  </si>
  <si>
    <t>Tax Closing Stock</t>
  </si>
  <si>
    <t>Contracting</t>
  </si>
  <si>
    <t>Canola</t>
  </si>
  <si>
    <t>Total Payments</t>
  </si>
  <si>
    <t>Provision for Income Tax</t>
  </si>
  <si>
    <t>Purchases / Transfer</t>
  </si>
  <si>
    <t>From</t>
  </si>
  <si>
    <t>To</t>
  </si>
  <si>
    <t>E</t>
  </si>
  <si>
    <t>DESCRIPTION</t>
  </si>
  <si>
    <t>DEBIT</t>
  </si>
  <si>
    <t>CREDIT</t>
  </si>
  <si>
    <t>NO</t>
  </si>
  <si>
    <t>Code</t>
  </si>
  <si>
    <t>Revenue</t>
  </si>
  <si>
    <t>Capital Gain</t>
  </si>
  <si>
    <t>FBT</t>
  </si>
  <si>
    <t>ENTIAL?</t>
  </si>
  <si>
    <t>IND.ACT.?</t>
  </si>
  <si>
    <t>Water Improvements Write-Off (farm)</t>
  </si>
  <si>
    <t>Building Write-Off</t>
  </si>
  <si>
    <t>Mains Electricity Write-Off (farm)</t>
  </si>
  <si>
    <t>Prepayments</t>
  </si>
  <si>
    <t>Description of Expenditure</t>
  </si>
  <si>
    <t>Period Coverage</t>
  </si>
  <si>
    <t>- Internal Use Only -</t>
  </si>
  <si>
    <t>TAX PLANNING TOOLKIT REF</t>
  </si>
  <si>
    <t>Non SBE</t>
  </si>
  <si>
    <t>Primary Producer</t>
  </si>
  <si>
    <t>GST REGISTERED</t>
  </si>
  <si>
    <t>Exclude the following items …</t>
  </si>
  <si>
    <t>Information required to enable year end planning</t>
  </si>
  <si>
    <t>Have the tax, correspondence and legal files been reviewed for any relevant events arising during the year?</t>
  </si>
  <si>
    <t>Do you have prior year financial statements?</t>
  </si>
  <si>
    <t>Do you have the details of the PAYG instalments paid year to date?</t>
  </si>
  <si>
    <t>If a company, do you have the balance of the franking account?</t>
  </si>
  <si>
    <t>x</t>
  </si>
  <si>
    <t>Income derivation</t>
  </si>
  <si>
    <t>If on cash basis, is this still appropriate?</t>
  </si>
  <si>
    <t>4.1.1</t>
  </si>
  <si>
    <t>Any income types that can be deferred to following year?</t>
  </si>
  <si>
    <t>2.2.1</t>
  </si>
  <si>
    <t>Sales?</t>
  </si>
  <si>
    <t>2.2.2</t>
  </si>
  <si>
    <t>Assessable gains realisation?</t>
  </si>
  <si>
    <t>2.2.3</t>
  </si>
  <si>
    <t>Foreign exchange gains?</t>
  </si>
  <si>
    <t>2.2.4</t>
  </si>
  <si>
    <t>Insurance and other recoveries?</t>
  </si>
  <si>
    <t>Does the client have trading stock?</t>
  </si>
  <si>
    <t>4.1.2</t>
  </si>
  <si>
    <t>2.3.1</t>
  </si>
  <si>
    <t>Does basis for stock valuation need to be reviewed? (consider cost, market value or replacement value)</t>
  </si>
  <si>
    <t>2.3.2</t>
  </si>
  <si>
    <t>Is revaluation of stock appropriate?</t>
  </si>
  <si>
    <t>2.3.3</t>
  </si>
  <si>
    <t>Is the client proposing to pay (or has paid) a dividend?</t>
  </si>
  <si>
    <t>4.1.3</t>
  </si>
  <si>
    <t>2.4.1</t>
  </si>
  <si>
    <t>Will dividends paid be absorbed by losses?  If so, consider consolidation to overcome dividend traps</t>
  </si>
  <si>
    <t>2.4.2</t>
  </si>
  <si>
    <t>Have you considered and discussed timing and methods of payment with the client?</t>
  </si>
  <si>
    <t>2.4.3</t>
  </si>
  <si>
    <t>Do the benchmark rules apply to the client?</t>
  </si>
  <si>
    <t>Expenditure</t>
  </si>
  <si>
    <t>Timing of deductions</t>
  </si>
  <si>
    <t>3.1.1</t>
  </si>
  <si>
    <t>Do donations exceed $5,000 in value? If so, consider whether deductions should be spread over 5 years.</t>
  </si>
  <si>
    <t>4.2.1</t>
  </si>
  <si>
    <t>3.1.2</t>
  </si>
  <si>
    <t>Has there been any business establishment costs?  If so, can these be deducted over 5 years?</t>
  </si>
  <si>
    <t>4.2.1 and 4.6.6</t>
  </si>
  <si>
    <t>3.1.3</t>
  </si>
  <si>
    <t>Item
Ref
Financier</t>
  </si>
  <si>
    <t>Has all expenditure been ‘incurred’ for tax purposes?</t>
  </si>
  <si>
    <t>3.1.3.1</t>
  </si>
  <si>
    <t>Are employee bonuses committed to prior to 30 June?</t>
  </si>
  <si>
    <t>3.1.3.2</t>
  </si>
  <si>
    <t>Are management fees commercial and documented?</t>
  </si>
  <si>
    <t>Does the client have debtors?</t>
  </si>
  <si>
    <t>3.2.1</t>
  </si>
  <si>
    <t>Are there any bad debts? Please identify</t>
  </si>
  <si>
    <t>4.2.2</t>
  </si>
  <si>
    <t>3.2.2</t>
  </si>
  <si>
    <t>Have they been written off in books of accounts prior to year end?</t>
  </si>
  <si>
    <t>3.2.3</t>
  </si>
  <si>
    <t>Have you reviewed for deductibility if substantial change in ‘continuity of ownership’?</t>
  </si>
  <si>
    <t>Has client incurred any business travel expenses?</t>
  </si>
  <si>
    <t>4.2.3</t>
  </si>
  <si>
    <t>3.3.1</t>
  </si>
  <si>
    <t>Do they meet the substantiation requirements?</t>
  </si>
  <si>
    <t>3.3.2</t>
  </si>
  <si>
    <t>Do they have a valid travel diary?</t>
  </si>
  <si>
    <t>Were any superannuation contributions made during the year or is the client contemplating any?</t>
  </si>
  <si>
    <t>3.4.1</t>
  </si>
  <si>
    <t>3.4.2</t>
  </si>
  <si>
    <t>Has the client met its SG compliance obligations for the year?</t>
  </si>
  <si>
    <t>3.4.3</t>
  </si>
  <si>
    <t>Have ‘SG statements’ been completed where the contribution has not been paid on time?</t>
  </si>
  <si>
    <t>3.4.4</t>
  </si>
  <si>
    <t>Were contributions made to a complying superannuation fund?</t>
  </si>
  <si>
    <t>3.4.5</t>
  </si>
  <si>
    <t>3.4.6</t>
  </si>
  <si>
    <t>4.2.4.1</t>
  </si>
  <si>
    <t>3.4.7</t>
  </si>
  <si>
    <t>Has the employer paid any expenses on behalf of a SMSF?</t>
  </si>
  <si>
    <t>4.2.4.3</t>
  </si>
  <si>
    <t>3.4.8</t>
  </si>
  <si>
    <t>Is the client eligible for the Superannuation co-contribution scheme?</t>
  </si>
  <si>
    <t>4.2.4.6</t>
  </si>
  <si>
    <t>3.4.9</t>
  </si>
  <si>
    <t>Does the client need to locate lost accounts?  If yes, utilise SuperMatch or Lost member Register</t>
  </si>
  <si>
    <t>4.2.4.7 and 4.2.4.8</t>
  </si>
  <si>
    <t>3.4.10</t>
  </si>
  <si>
    <t>Is contribution splitting an appropriate strategy for this client?</t>
  </si>
  <si>
    <t>4.2.4.9</t>
  </si>
  <si>
    <t>3.4.11</t>
  </si>
  <si>
    <t>Are effective salary sacrifice arrangements in place?</t>
  </si>
  <si>
    <t>3.4.12</t>
  </si>
  <si>
    <t>Has business real property been transferred in-specie into a superannuation fund?</t>
  </si>
  <si>
    <t>Have the tax consequences been considered (CGT, GST and stamp duty)?</t>
  </si>
  <si>
    <t>Have you read the fund deed to ensure that the fund can accept in specie contributions?</t>
  </si>
  <si>
    <t>3.4.13</t>
  </si>
  <si>
    <t>0.1.</t>
  </si>
  <si>
    <t>0.2.</t>
  </si>
  <si>
    <t>1.0.</t>
  </si>
  <si>
    <t>2.1.</t>
  </si>
  <si>
    <t>2.3.1.</t>
  </si>
  <si>
    <t>2.6.</t>
  </si>
  <si>
    <t>2.7.</t>
  </si>
  <si>
    <t>2.8.</t>
  </si>
  <si>
    <t>2.9.</t>
  </si>
  <si>
    <t>2.10.</t>
  </si>
  <si>
    <t>4.1.</t>
  </si>
  <si>
    <t>YEAR END PLANNING CHECKLIST</t>
  </si>
  <si>
    <t>August</t>
  </si>
  <si>
    <t>September</t>
  </si>
  <si>
    <t>October</t>
  </si>
  <si>
    <t>November</t>
  </si>
  <si>
    <t>December</t>
  </si>
  <si>
    <t>January</t>
  </si>
  <si>
    <t>February</t>
  </si>
  <si>
    <t>March</t>
  </si>
  <si>
    <t>April</t>
  </si>
  <si>
    <t>July</t>
  </si>
  <si>
    <t>If the client will be claiming a deduction for personal contributions to superannuation, have you provided the client with the required s290-170 election form?</t>
  </si>
  <si>
    <t>Has the client incurred interest deductions?</t>
  </si>
  <si>
    <t>3.5.1</t>
  </si>
  <si>
    <t>Is there sufficient nexus between interest expense and income yielding venture financed by the loan?</t>
  </si>
  <si>
    <t>4.2.5</t>
  </si>
  <si>
    <t>3.5.2</t>
  </si>
  <si>
    <t>If a loan is refinanced, after reviewing the initial loan character, is interest deductible?</t>
  </si>
  <si>
    <t>3.5.3</t>
  </si>
  <si>
    <t>Does the client have any split loan or line of credit facilities?</t>
  </si>
  <si>
    <t>4.2.5.2</t>
  </si>
  <si>
    <t>Has partnership of individuals paid any salaries?</t>
  </si>
  <si>
    <t>4.2.8</t>
  </si>
  <si>
    <t>3.6.1</t>
  </si>
  <si>
    <t>Is the partnership salary permitted under the Partnership Agreement?</t>
  </si>
  <si>
    <t>Has client prepaid any expenditure?</t>
  </si>
  <si>
    <t>3.7.1</t>
  </si>
  <si>
    <t>Is it deductible for small business entity clients?</t>
  </si>
  <si>
    <t>4.3.1</t>
  </si>
  <si>
    <t>3.7.2</t>
  </si>
  <si>
    <t>Is it deductible for small, medium and large business clients?</t>
  </si>
  <si>
    <t>4.3.2</t>
  </si>
  <si>
    <t>3.7.3</t>
  </si>
  <si>
    <t>Is it deductible for the client where the amount is less than $1,000?</t>
  </si>
  <si>
    <t>4.3.3</t>
  </si>
  <si>
    <t>3.7.4</t>
  </si>
  <si>
    <t>Were prepayments under contract of service?</t>
  </si>
  <si>
    <t>3.7.5</t>
  </si>
  <si>
    <t>Is it deductible for payments required by law?</t>
  </si>
  <si>
    <t>Is entity income attributable to the underlying individual pursuant to PSI tests?</t>
  </si>
  <si>
    <t>Does the client have any depreciable assets?</t>
  </si>
  <si>
    <t>3.9.1</t>
  </si>
  <si>
    <t>Have you reviewed depreciation schedules and written off obsolete items?</t>
  </si>
  <si>
    <t>3.9.2</t>
  </si>
  <si>
    <t>3.9.3</t>
  </si>
  <si>
    <t>3.9.4</t>
  </si>
  <si>
    <t>Have you reviewed balancing adjustments?</t>
  </si>
  <si>
    <t>3.9.5</t>
  </si>
  <si>
    <t>Have you reviewed the ‘low value pool’ to check the costs?</t>
  </si>
  <si>
    <t>3.9.6</t>
  </si>
  <si>
    <t>Can you write off specific post 30 June 2002 capital expenditure under UCA regime?</t>
  </si>
  <si>
    <t>Is there any expenditure that could be considered research and development?</t>
  </si>
  <si>
    <t>4.6.5</t>
  </si>
  <si>
    <t>Tax havens and tax effective investments</t>
  </si>
  <si>
    <t>Does client have any dealings with tax havens?</t>
  </si>
  <si>
    <t>Does the client have any ‘tax effective’ investments?</t>
  </si>
  <si>
    <t>If so, is there a Product Ruling in place?</t>
  </si>
  <si>
    <t>Do any taxpayer alerts have application to the client?</t>
  </si>
  <si>
    <t>Structural tax issues</t>
  </si>
  <si>
    <t>Consider whether any of the following primary production concessions apply to the client</t>
  </si>
  <si>
    <t>4.6.3</t>
  </si>
  <si>
    <t>5.1.1</t>
  </si>
  <si>
    <t>Does telephone line write-off apply?</t>
  </si>
  <si>
    <t>5.1.2</t>
  </si>
  <si>
    <t>Do concessions apply to horticultural plants?</t>
  </si>
  <si>
    <t>5.1.3</t>
  </si>
  <si>
    <t>Has the client established grapevines?</t>
  </si>
  <si>
    <t>5.1.4</t>
  </si>
  <si>
    <t>Water facilities?</t>
  </si>
  <si>
    <t>5.1.5</t>
  </si>
  <si>
    <t>Landcare operations?</t>
  </si>
  <si>
    <t>5.1.6</t>
  </si>
  <si>
    <t>Timber depletion?</t>
  </si>
  <si>
    <t>5.1.7</t>
  </si>
  <si>
    <t>Double wool clips?</t>
  </si>
  <si>
    <t>5.1.8</t>
  </si>
  <si>
    <t>Do averaging strategies apply?</t>
  </si>
  <si>
    <t>5.1.9</t>
  </si>
  <si>
    <t>Does the client want to consider making a Farm Management Deposit?</t>
  </si>
  <si>
    <t>5.1.10</t>
  </si>
  <si>
    <t>Are Non-Commercial Loss requirements applicable?</t>
  </si>
  <si>
    <t>Capital Gains Tax (CGT)</t>
  </si>
  <si>
    <t>Has the client disposed of assets during the year or planning to dispose of assets before year end?</t>
  </si>
  <si>
    <t>6.1.1</t>
  </si>
  <si>
    <t xml:space="preserve">Have you reviewed the proposed contract dates and considered the appropriateness of deferring entering into contracts of sale until after the year end? </t>
  </si>
  <si>
    <t>6.1.2</t>
  </si>
  <si>
    <t>Have you considered the increase in the net asset threshold ($6m from 1 July 2007) or will your client meet the criteria for the small business entity turnover test of $2m for the purposes of accessing the CGT small business concessions?</t>
  </si>
  <si>
    <t>6.5.1</t>
  </si>
  <si>
    <t>6.1.3</t>
  </si>
  <si>
    <t>Are you aware of how all of the changes to the CGT small business concessions apply to the client’s circumstances? Generally a tax specialist will need to sign off on such advice</t>
  </si>
  <si>
    <t>Does the value shifting regime apply to the client?</t>
  </si>
  <si>
    <t>Is the client group a candidate for the tax consolidations regime? If so consider potential consolidation advantages. Alternatively, consider implications if a group does not consolidate</t>
  </si>
  <si>
    <t>Does the client hold shares in companies in voluntary administration?</t>
  </si>
  <si>
    <t>6.5.3</t>
  </si>
  <si>
    <t>6.4.1</t>
  </si>
  <si>
    <t>Can the client claim a capital loss by making a declaration of trust?  
Refer TD 2004/13.</t>
  </si>
  <si>
    <t>Has a liquidator/administrator declared company shares held by the client as worthless?</t>
  </si>
  <si>
    <t>6.5.4</t>
  </si>
  <si>
    <t>Does client have any debit loans?</t>
  </si>
  <si>
    <t>6.6.2</t>
  </si>
  <si>
    <t>Is there a documented intention to repay pre 1997 company loans (s108 loans) ie debt acknowledgement?</t>
  </si>
  <si>
    <t>6.6.3</t>
  </si>
  <si>
    <t>Have pre 1997 loans been increased or had terms varied so as to fall under Division 7A?</t>
  </si>
  <si>
    <t>6.6.4</t>
  </si>
  <si>
    <t>Are there loan agreements in place for post 1997 loans?</t>
  </si>
  <si>
    <t>6.6.5</t>
  </si>
  <si>
    <t>Are there loan agreements in place pursuant to Subdiv EA?</t>
  </si>
  <si>
    <t>6.6.6</t>
  </si>
  <si>
    <t>Have any statute barred loans been written off?</t>
  </si>
  <si>
    <t>Does the client have any credit loans?</t>
  </si>
  <si>
    <t>6.7.1</t>
  </si>
  <si>
    <t>Should the loan be classified as debt or equity interest?</t>
  </si>
  <si>
    <t>6.7.2</t>
  </si>
  <si>
    <t>Do you have appropriate documentation if the loan has been classified as debt interest?</t>
  </si>
  <si>
    <t>6.7.3</t>
  </si>
  <si>
    <t>Have you established a share capital account if the loan has been classified as equity interest?</t>
  </si>
  <si>
    <t>6.7.4</t>
  </si>
  <si>
    <t>Is the client a trust?</t>
  </si>
  <si>
    <t>6.8.1</t>
  </si>
  <si>
    <t>Do you need to lodge FTE or IEE?</t>
  </si>
  <si>
    <t>6.8.2</t>
  </si>
  <si>
    <t>Are trust loss rules applicable?</t>
  </si>
  <si>
    <t>7.3.5</t>
  </si>
  <si>
    <t>6.8.3</t>
  </si>
  <si>
    <t>Are company tracing rules applicable?</t>
  </si>
  <si>
    <t>7.3.6</t>
  </si>
  <si>
    <t>Have you read and understood the deed?</t>
  </si>
  <si>
    <t>7.1.2</t>
  </si>
  <si>
    <t>Is the deed lost?</t>
  </si>
  <si>
    <t>7.1.3</t>
  </si>
  <si>
    <t>Have there been any events that could constitute a resettlement?</t>
  </si>
  <si>
    <t>7.1.4</t>
  </si>
  <si>
    <t>Is the trust in deficiency?</t>
  </si>
  <si>
    <t>7.1.5</t>
  </si>
  <si>
    <t>Does the trust need to borrow to pay distributions?</t>
  </si>
  <si>
    <t>7.3.1</t>
  </si>
  <si>
    <t>Are there reimbursement agreements in place?</t>
  </si>
  <si>
    <t>7.3.3</t>
  </si>
  <si>
    <t xml:space="preserve">Are there asset protection issues? </t>
  </si>
  <si>
    <t>International tax issues</t>
  </si>
  <si>
    <t>Does client have international dealings?</t>
  </si>
  <si>
    <t>7.1.1</t>
  </si>
  <si>
    <t>Has your client correctly accounted for foreign currency gains and losses?</t>
  </si>
  <si>
    <t>Will thin capitalisation rules will limit deductibility of interest?</t>
  </si>
  <si>
    <t>9.1.4</t>
  </si>
  <si>
    <t>7.2.3</t>
  </si>
  <si>
    <t>Do related party transactions need to be reviewed for application of Transfer Pricing Rules?</t>
  </si>
  <si>
    <t>9.1.5</t>
  </si>
  <si>
    <t>Does the client have any income left offshore (bank accounts)?</t>
  </si>
  <si>
    <t>Is your client (a company) in receipt of conduit foreign income?</t>
  </si>
  <si>
    <t>9.1.3</t>
  </si>
  <si>
    <t>7.1.6</t>
  </si>
  <si>
    <t>Is the client a temporary resident visa holder?</t>
  </si>
  <si>
    <t>9.2.1</t>
  </si>
  <si>
    <t>7.1.6.1</t>
  </si>
  <si>
    <t>If so are they eligible for temporary resident concessions?</t>
  </si>
  <si>
    <t>GST - is the client registered?</t>
  </si>
  <si>
    <t>Has creditable purpose underlying prior period acquisitions changed and is there a need to amend BAS or make an adjustment under Division 129?</t>
  </si>
  <si>
    <t>Has the client exceeded the financial acquisitions threshold?</t>
  </si>
  <si>
    <t>Has the client received or paid any security deposits?</t>
  </si>
  <si>
    <t>Does the client transact with related parties?</t>
  </si>
  <si>
    <t>ATO audits</t>
  </si>
  <si>
    <t xml:space="preserve">Is the client likely to be targeted for an ATO review? </t>
  </si>
  <si>
    <t>9.1.1</t>
  </si>
  <si>
    <t>9.1.2</t>
  </si>
  <si>
    <t>Have you discussed them with the client?</t>
  </si>
  <si>
    <t>Emerging issues</t>
  </si>
  <si>
    <t>Do any of the emerging issues have application to your client?</t>
  </si>
  <si>
    <t>Planning Notes</t>
  </si>
  <si>
    <t>Projected Income and Expenses</t>
  </si>
  <si>
    <t>Actual profit, year to date to:</t>
  </si>
  <si>
    <t>Income category 1</t>
  </si>
  <si>
    <t>Income category 2</t>
  </si>
  <si>
    <t>Income category 3</t>
  </si>
  <si>
    <t>Income category 4</t>
  </si>
  <si>
    <t>Income category 5</t>
  </si>
  <si>
    <t>Income category 6</t>
  </si>
  <si>
    <t>Income category 7</t>
  </si>
  <si>
    <t>Gross profit from livestock</t>
  </si>
  <si>
    <t>Accounting fees</t>
  </si>
  <si>
    <t>Bad debts</t>
  </si>
  <si>
    <t>Bank charges</t>
  </si>
  <si>
    <t>Donations</t>
  </si>
  <si>
    <t>Employee bonuses</t>
  </si>
  <si>
    <t>Farm Management Deposits</t>
  </si>
  <si>
    <t>Motor vehicle expenses</t>
  </si>
  <si>
    <t>Prepaid interest</t>
  </si>
  <si>
    <t>Printing and stationery</t>
  </si>
  <si>
    <t>Rent</t>
  </si>
  <si>
    <t>Repairs and maintenance</t>
  </si>
  <si>
    <t>Superannuation contribution - employee 1</t>
  </si>
  <si>
    <t>Superannuation contribution - employee 2</t>
  </si>
  <si>
    <t>Travel expenses</t>
  </si>
  <si>
    <t>Other 1</t>
  </si>
  <si>
    <t>Other 2</t>
  </si>
  <si>
    <t>Other 3</t>
  </si>
  <si>
    <t>Other 4</t>
  </si>
  <si>
    <t>Other 5</t>
  </si>
  <si>
    <t>Other 6</t>
  </si>
  <si>
    <t>Other 7</t>
  </si>
  <si>
    <t>Other 8</t>
  </si>
  <si>
    <t>Total Gross Profit From Livestock</t>
  </si>
  <si>
    <t>PROJECTED AT 30 JUNE</t>
  </si>
  <si>
    <t>Net Current Liability</t>
  </si>
  <si>
    <t>Net Liability</t>
  </si>
  <si>
    <t>Is there stock that is obsolete?</t>
  </si>
  <si>
    <t>Has the shareholders or an associate privately used company assets for less than market value rate?</t>
  </si>
  <si>
    <t>6.9.1</t>
  </si>
  <si>
    <t>6.9.2</t>
  </si>
  <si>
    <t>6.9.3</t>
  </si>
  <si>
    <t>6.9.4</t>
  </si>
  <si>
    <t>6.9.5</t>
  </si>
  <si>
    <t>6.9.6</t>
  </si>
  <si>
    <t>6.9.7</t>
  </si>
  <si>
    <t>6.9.8</t>
  </si>
  <si>
    <t>6.9.9</t>
  </si>
  <si>
    <t>6.9.10</t>
  </si>
  <si>
    <t>6.9.11</t>
  </si>
  <si>
    <t>5.1.11</t>
  </si>
  <si>
    <t>Is it likely that a the trust will make a loss this year?</t>
  </si>
  <si>
    <t>5.1.11.1</t>
  </si>
  <si>
    <t>Have you considered the withdrawal of TR 95/29 on averaging and FMD's?</t>
  </si>
  <si>
    <t>Recommendations</t>
  </si>
  <si>
    <t>Summary of Position</t>
  </si>
  <si>
    <t>Summary of Estimated Tax Liabilities</t>
  </si>
  <si>
    <t>Scenarios</t>
  </si>
  <si>
    <t>TAX SAVING</t>
  </si>
  <si>
    <t>Scenario 1</t>
  </si>
  <si>
    <t>Do nothing</t>
  </si>
  <si>
    <t>Scenario 2</t>
  </si>
  <si>
    <t>Insert main changes</t>
  </si>
  <si>
    <t>Scenario 3</t>
  </si>
  <si>
    <t>Additional contributions to super</t>
  </si>
  <si>
    <t>How are we doing?</t>
  </si>
  <si>
    <t>ITEMS FOR DISCUSSION</t>
  </si>
  <si>
    <t>ACTION REQUIRED</t>
  </si>
  <si>
    <t>How can we better service you?</t>
  </si>
  <si>
    <t>     </t>
  </si>
  <si>
    <t>How do you feel about our services?</t>
  </si>
  <si>
    <t>Do you know anyone else that we could help?</t>
  </si>
  <si>
    <t>COMMENTS</t>
  </si>
  <si>
    <t>Next Meeting:</t>
  </si>
  <si>
    <t>000100000000000000000000000000100`|000000000^</t>
  </si>
  <si>
    <t>000000000000000000000000000000100`|000000000^</t>
  </si>
  <si>
    <t>000000000010000000000000000000100`|000000000^</t>
  </si>
  <si>
    <t>Settings for 'Input Info' sheet options</t>
  </si>
  <si>
    <t>ANNUAL ACCOUNTS</t>
  </si>
  <si>
    <t>1.     CHECKLISTS</t>
  </si>
  <si>
    <t>Livestock Est</t>
  </si>
  <si>
    <t>Standard Rates</t>
  </si>
  <si>
    <t>Standard Thresholds</t>
  </si>
  <si>
    <t>Year end planning checklist</t>
  </si>
  <si>
    <t>Projected Income &amp; Expenses</t>
  </si>
  <si>
    <t>Recommendations &amp; Ideas</t>
  </si>
  <si>
    <t>s290-170 super election</t>
  </si>
  <si>
    <t>How are we doing? Client feedback</t>
  </si>
  <si>
    <t>Client cover sheet</t>
  </si>
  <si>
    <t>Tax Reconciliation - Accounts</t>
  </si>
  <si>
    <t>WORKBOOK PURPOSE:</t>
  </si>
  <si>
    <t>PURPOSE:</t>
  </si>
  <si>
    <t>PURPOSE LEVEL:</t>
  </si>
  <si>
    <t>SIMPLE</t>
  </si>
  <si>
    <t>DETAILED</t>
  </si>
  <si>
    <t>WORKSHEET</t>
  </si>
  <si>
    <t>SOURCE</t>
  </si>
  <si>
    <t>Days Prepaid</t>
  </si>
  <si>
    <t>Prepayment</t>
  </si>
  <si>
    <t>NET PROFIT</t>
  </si>
  <si>
    <t>YEARS</t>
  </si>
  <si>
    <t>ENTITIES TO BE GROUPED (if applicable)</t>
  </si>
  <si>
    <t>TOTAL P&amp;L TURNOVER</t>
  </si>
  <si>
    <t>ADJUSTMENTS TO INCLUDE:</t>
  </si>
  <si>
    <t>Interest on Business Account</t>
  </si>
  <si>
    <t>Livestock Sales</t>
  </si>
  <si>
    <t>Subtotal</t>
  </si>
  <si>
    <t>CLIENT CODE:</t>
  </si>
  <si>
    <t>Date Paid</t>
  </si>
  <si>
    <t>CLIENT NAME:</t>
  </si>
  <si>
    <t>PERIOD END:</t>
  </si>
  <si>
    <t>PERIOD START:</t>
  </si>
  <si>
    <t xml:space="preserve">PERIOD END: </t>
  </si>
  <si>
    <t>Trade Debtors - Debtors Summary</t>
  </si>
  <si>
    <t>Cash at Bank - Bank Reconciliation</t>
  </si>
  <si>
    <t>Farm Income - Split into Primary and Non-Primary Income</t>
  </si>
  <si>
    <t>PRINCIPAL</t>
  </si>
  <si>
    <t>C/BAL</t>
  </si>
  <si>
    <t>GST adjustments</t>
  </si>
  <si>
    <t>Date Purchased</t>
  </si>
  <si>
    <t>CALCS</t>
  </si>
  <si>
    <t>Balance unabsorbed at 30 June</t>
  </si>
  <si>
    <t>Financial Statements:</t>
  </si>
  <si>
    <t>Year</t>
  </si>
  <si>
    <t>Completion date</t>
  </si>
  <si>
    <t>Amount</t>
  </si>
  <si>
    <t>May</t>
  </si>
  <si>
    <t>Other Rental Income</t>
  </si>
  <si>
    <t>Pest Control</t>
  </si>
  <si>
    <t>Council Rates</t>
  </si>
  <si>
    <t>Water Charges</t>
  </si>
  <si>
    <t>Net Rental Profit (Loss)</t>
  </si>
  <si>
    <t>Aug</t>
  </si>
  <si>
    <t>Sept</t>
  </si>
  <si>
    <t>Nov</t>
  </si>
  <si>
    <t>$</t>
  </si>
  <si>
    <t>(DIVISION 40-F SECTION 40-515 to 40-575)</t>
  </si>
  <si>
    <t>Body Corp (Maint) Levy</t>
  </si>
  <si>
    <t>Amount to be included as assessable income</t>
  </si>
  <si>
    <t>Compulsory Third Party (CTP)</t>
  </si>
  <si>
    <t>Kms</t>
  </si>
  <si>
    <t>Dividend Summary</t>
  </si>
  <si>
    <t>Share</t>
  </si>
  <si>
    <t>Dividend</t>
  </si>
  <si>
    <t>Outstanding Cheques</t>
  </si>
  <si>
    <t>Chq #</t>
  </si>
  <si>
    <t>Outstanding Deposits</t>
  </si>
  <si>
    <t>Debtor</t>
  </si>
  <si>
    <t>Expense</t>
  </si>
  <si>
    <t>CREDITOR SUMMARY</t>
  </si>
  <si>
    <t>Stock line</t>
  </si>
  <si>
    <t>Opening Balances</t>
  </si>
  <si>
    <t>Withdrawals This Year</t>
  </si>
  <si>
    <t>Deposits This Year</t>
  </si>
  <si>
    <t>RESID-</t>
  </si>
  <si>
    <t>ELIGIBLE</t>
  </si>
  <si>
    <t>PURCHASE</t>
  </si>
  <si>
    <t>WRITE OFF</t>
  </si>
  <si>
    <t>OPENING</t>
  </si>
  <si>
    <t>CLAIM</t>
  </si>
  <si>
    <t>CLOSING</t>
  </si>
  <si>
    <t>CONSTRUCTION</t>
  </si>
  <si>
    <t>COMMENCEMENT</t>
  </si>
  <si>
    <t>W.D.V.</t>
  </si>
  <si>
    <t>(Y/N)</t>
  </si>
  <si>
    <t>COMMENCED</t>
  </si>
  <si>
    <t>RATE OF DEDUCTION APPLICABLE</t>
  </si>
  <si>
    <t>at 1B</t>
  </si>
  <si>
    <t>(Other)</t>
  </si>
  <si>
    <t>or</t>
  </si>
  <si>
    <t>Annual</t>
  </si>
  <si>
    <t>Explanation</t>
  </si>
  <si>
    <t>Adjustments</t>
  </si>
  <si>
    <t>1.  BAS Summary: As Lodged With The ATO</t>
  </si>
  <si>
    <t>Net</t>
  </si>
  <si>
    <t>PAYG</t>
  </si>
  <si>
    <t>Wool</t>
  </si>
  <si>
    <t>Woolstock</t>
  </si>
  <si>
    <t>Interest Received</t>
  </si>
  <si>
    <t>Profit (Loss) on Rental</t>
  </si>
  <si>
    <t>Operations</t>
  </si>
  <si>
    <t>EXPENDITURE</t>
  </si>
  <si>
    <t>Accountancy Fees</t>
  </si>
  <si>
    <t>Bank Charges &amp; Govt Duty</t>
  </si>
  <si>
    <t>RECONCILE BAS LODGED TO CLIENT DATA</t>
  </si>
  <si>
    <t>4.  Explanations of Variances where required</t>
  </si>
  <si>
    <t>Item</t>
  </si>
  <si>
    <t>RECONCILE ACCOUNTS TO JUNE BAS</t>
  </si>
  <si>
    <t>GST on Debtors</t>
  </si>
  <si>
    <t>GST on Creditors</t>
  </si>
  <si>
    <t>(Must agree with the accounts)</t>
  </si>
  <si>
    <t>Original Cost</t>
  </si>
  <si>
    <t>Number days this year</t>
  </si>
  <si>
    <t>This year depreciation</t>
  </si>
  <si>
    <t>Depreciation rate this year</t>
  </si>
  <si>
    <t>Write Off %</t>
  </si>
  <si>
    <t>Residential:</t>
  </si>
  <si>
    <t>18/7/85 - 15/9/87</t>
  </si>
  <si>
    <t>Back to Workpaper Index</t>
  </si>
  <si>
    <t>VIC</t>
  </si>
  <si>
    <t>INCURRED</t>
  </si>
  <si>
    <t>NOTES</t>
  </si>
  <si>
    <t xml:space="preserve">     CHECK ADD:</t>
  </si>
  <si>
    <t>ORIGINAL</t>
  </si>
  <si>
    <t>TOTAL CLAIMED:</t>
  </si>
  <si>
    <t>Wages</t>
  </si>
  <si>
    <t>%</t>
  </si>
  <si>
    <t>@ 37.5%</t>
  </si>
  <si>
    <t>@ 18.75%</t>
  </si>
  <si>
    <t>Current Total</t>
  </si>
  <si>
    <t>Cattle</t>
  </si>
  <si>
    <t>Horses</t>
  </si>
  <si>
    <t>Deer</t>
  </si>
  <si>
    <t>Pigs</t>
  </si>
  <si>
    <t>Emus</t>
  </si>
  <si>
    <t>Goats</t>
  </si>
  <si>
    <t>Sheep</t>
  </si>
  <si>
    <t>Poultry</t>
  </si>
  <si>
    <t>Advertising for tenants</t>
  </si>
  <si>
    <t>No.</t>
  </si>
  <si>
    <t>Credits</t>
  </si>
  <si>
    <t>CURRENT ASSETS</t>
  </si>
  <si>
    <t>Livestock</t>
  </si>
  <si>
    <t>Creditors Summary</t>
  </si>
  <si>
    <t>NON-CURRENT ASSETS</t>
  </si>
  <si>
    <t>CURRENT LIABILITIES</t>
  </si>
  <si>
    <t>NON-CURRENT LIABILITIES</t>
  </si>
  <si>
    <t>PROFIT &amp; LOSS ITEMS</t>
  </si>
  <si>
    <t>Average value</t>
  </si>
  <si>
    <t>DATE PREPARED:</t>
  </si>
  <si>
    <t>Registered Mortgage?</t>
  </si>
  <si>
    <t>Foreign Exempt Income</t>
  </si>
  <si>
    <t>Hourly Rate</t>
  </si>
  <si>
    <t>This worksheet is only to be used for basic loans. For all other schedules please use your firm software.</t>
  </si>
  <si>
    <t>Rental Property Summary</t>
  </si>
  <si>
    <t>DATE OF</t>
  </si>
  <si>
    <t>PAYMENT</t>
  </si>
  <si>
    <t>INTEREST</t>
  </si>
  <si>
    <t>AMOUNT</t>
  </si>
  <si>
    <t>O/BAL</t>
  </si>
  <si>
    <t>EXPENSE</t>
  </si>
  <si>
    <t>WP</t>
  </si>
  <si>
    <t xml:space="preserve">Number </t>
  </si>
  <si>
    <t>Entries available</t>
  </si>
  <si>
    <t>REDUCTION</t>
  </si>
  <si>
    <t>TOTALS</t>
  </si>
  <si>
    <t>DETAILS</t>
  </si>
  <si>
    <t>Motor Vehicle Substantiation Workpaper</t>
  </si>
  <si>
    <t>Borrowed</t>
  </si>
  <si>
    <t>Banked</t>
  </si>
  <si>
    <t>Total Private Adjustment</t>
  </si>
  <si>
    <t xml:space="preserve">Private Use       </t>
  </si>
  <si>
    <t>Total Other Income</t>
  </si>
  <si>
    <t>Total Expenditure</t>
  </si>
  <si>
    <t>Percent</t>
  </si>
  <si>
    <t>TOTAL</t>
  </si>
  <si>
    <t>Add: Interest Charged</t>
  </si>
  <si>
    <t>Less: Loyalty Discount</t>
  </si>
  <si>
    <t>GST</t>
  </si>
  <si>
    <t>Deduct</t>
  </si>
  <si>
    <t>AWB LOAN PREVIOUS YEAR</t>
  </si>
  <si>
    <t>Less: Distribution</t>
  </si>
  <si>
    <t>Closing Balance</t>
  </si>
  <si>
    <t>Add Distn to  Acct</t>
  </si>
  <si>
    <t>Jul</t>
  </si>
  <si>
    <t>Oct</t>
  </si>
  <si>
    <t>Apr</t>
  </si>
  <si>
    <t>Jan</t>
  </si>
  <si>
    <t>GST Exc</t>
  </si>
  <si>
    <t>Totals</t>
  </si>
  <si>
    <t>GST Inc</t>
  </si>
  <si>
    <t>C/litre</t>
  </si>
  <si>
    <t>POOL YEAR</t>
  </si>
  <si>
    <t>Rent Received</t>
  </si>
  <si>
    <t>Depreciation</t>
  </si>
  <si>
    <t>Name:</t>
  </si>
  <si>
    <t>Property Address:</t>
  </si>
  <si>
    <t>Repairs &amp; Maintenance</t>
  </si>
  <si>
    <t>Electricity</t>
  </si>
  <si>
    <t>Opening Pool Balance</t>
  </si>
  <si>
    <t>Assets purchased</t>
  </si>
  <si>
    <t>Total Depreciation</t>
  </si>
  <si>
    <t>Assets sold</t>
  </si>
  <si>
    <t>Closing Pool Balance</t>
  </si>
  <si>
    <t>Assets Purchased</t>
  </si>
  <si>
    <t>Assets Sold</t>
  </si>
  <si>
    <t>Description</t>
  </si>
  <si>
    <t>Value</t>
  </si>
  <si>
    <t>Total</t>
  </si>
  <si>
    <t>Depreciation Calculation</t>
  </si>
  <si>
    <t>Private Use Adjustments</t>
  </si>
  <si>
    <t>Total Expense</t>
  </si>
  <si>
    <t>Franking</t>
  </si>
  <si>
    <t>Withholding</t>
  </si>
  <si>
    <t>Imputation</t>
  </si>
  <si>
    <t>holding</t>
  </si>
  <si>
    <t>Paid</t>
  </si>
  <si>
    <t>per Share</t>
  </si>
  <si>
    <t>Tax Deducted</t>
  </si>
  <si>
    <t>TOTAL:</t>
  </si>
  <si>
    <t>Wages Reconciliation</t>
  </si>
  <si>
    <t>Salary &amp; wages per Financial Statements:</t>
  </si>
  <si>
    <t>Add Outstanding Deposits</t>
  </si>
  <si>
    <t>Projected Bank Balance</t>
  </si>
  <si>
    <t>Accounting</t>
  </si>
  <si>
    <t>Salary &amp; wages as declared per PAYG Annual Payment Summary:</t>
  </si>
  <si>
    <t>VARIANCES:</t>
  </si>
  <si>
    <t>Financial Statements vs. Activity Statements:</t>
  </si>
  <si>
    <t>( A - B )</t>
  </si>
  <si>
    <t>Financial Statements vs. PAYG Annual Summary:</t>
  </si>
  <si>
    <t>( A - C )</t>
  </si>
  <si>
    <t>Activity Statements vs. PAYG Annual Summary:</t>
  </si>
  <si>
    <t>( B - C )</t>
  </si>
  <si>
    <t>Account</t>
  </si>
  <si>
    <t>Comments:</t>
  </si>
  <si>
    <t>Interest on loan</t>
  </si>
  <si>
    <t>Construction Commenced</t>
  </si>
  <si>
    <t>Unfranked</t>
  </si>
  <si>
    <t>PP</t>
  </si>
  <si>
    <t>NPP</t>
  </si>
  <si>
    <t>Underwriting</t>
  </si>
  <si>
    <t>Fees Calc</t>
  </si>
  <si>
    <t>Name</t>
  </si>
  <si>
    <t>Less</t>
  </si>
  <si>
    <t>Real Estate</t>
  </si>
  <si>
    <t>Property Address</t>
  </si>
  <si>
    <t>Purchased</t>
  </si>
  <si>
    <t>Cost Base</t>
  </si>
  <si>
    <t>Sold</t>
  </si>
  <si>
    <t>Net Sale</t>
  </si>
  <si>
    <t>Borrowing Costs</t>
  </si>
  <si>
    <t>Commission Paid</t>
  </si>
  <si>
    <t>Total Income</t>
  </si>
  <si>
    <t>Franked</t>
  </si>
  <si>
    <t>Hay</t>
  </si>
  <si>
    <t>Lupins</t>
  </si>
  <si>
    <t>Faba Beans</t>
  </si>
  <si>
    <t>Peas</t>
  </si>
  <si>
    <t>Rebates &amp; Subsidies</t>
  </si>
  <si>
    <t>Clearing Sale Proceeds</t>
  </si>
  <si>
    <t>Triticale</t>
  </si>
  <si>
    <t>Wheat</t>
  </si>
  <si>
    <t>Bank transactions</t>
  </si>
  <si>
    <t>Investment Drawdown</t>
  </si>
  <si>
    <t>Private Drawdown</t>
  </si>
  <si>
    <t>TAX PLANNING - SIMPLE</t>
  </si>
  <si>
    <t>TAX PLANNING - DETAILED</t>
  </si>
  <si>
    <t>3.4.13.1</t>
  </si>
  <si>
    <t>3.4.13.2</t>
  </si>
  <si>
    <t>3.4.14</t>
  </si>
  <si>
    <t>Investment Deduction</t>
  </si>
  <si>
    <t>Bank Charges</t>
  </si>
  <si>
    <t>Investment Repayment</t>
  </si>
  <si>
    <t>Running Balance</t>
  </si>
  <si>
    <t>Investment</t>
  </si>
  <si>
    <t>Non-Investment</t>
  </si>
  <si>
    <t>ENTITY TYPE:</t>
  </si>
  <si>
    <t>C - COMPANY</t>
  </si>
  <si>
    <t>T - TRUST</t>
  </si>
  <si>
    <t>P - PARTNERSHIP</t>
  </si>
  <si>
    <t>I - INDIVIDUAL BUSINESS</t>
  </si>
  <si>
    <t>Balance</t>
  </si>
  <si>
    <t>Bank One</t>
  </si>
  <si>
    <t>Bank Two</t>
  </si>
  <si>
    <t>Imp</t>
  </si>
  <si>
    <t>Partnership Income</t>
  </si>
  <si>
    <t>Deductions</t>
  </si>
  <si>
    <t>WHT</t>
  </si>
  <si>
    <t>Partnership One</t>
  </si>
  <si>
    <t>Partnership Two</t>
  </si>
  <si>
    <t>Foreign</t>
  </si>
  <si>
    <t>Trust Income</t>
  </si>
  <si>
    <t>Income</t>
  </si>
  <si>
    <t>Tax Credits</t>
  </si>
  <si>
    <t>Trust One</t>
  </si>
  <si>
    <t>Trust Two</t>
  </si>
  <si>
    <t>Assessable</t>
  </si>
  <si>
    <t>2.  Per Client: Cashbook / General Ledger / Account Summary Report</t>
  </si>
  <si>
    <t>3.  Variance</t>
  </si>
  <si>
    <t>Cr / (Dr)</t>
  </si>
  <si>
    <t>Balance per Ledger Account</t>
  </si>
  <si>
    <t>LEDGER</t>
  </si>
  <si>
    <t>BANK</t>
  </si>
  <si>
    <t>Balance as per Bank</t>
  </si>
  <si>
    <t>Less Outstanding Cheques</t>
  </si>
  <si>
    <t>TOTAL GROUP TURNOVER</t>
  </si>
  <si>
    <t>Deposits</t>
  </si>
  <si>
    <t>Withdrawals</t>
  </si>
  <si>
    <t>* Depreciated value equals the closing WDV for FBT purposes last year. This WILL be different to the depreciation schedule.
  Deemed depreciation is to be calculated on the GST inclusive purchase price.</t>
  </si>
  <si>
    <t>Current Year Issues</t>
  </si>
  <si>
    <t>Net Movement for Year</t>
  </si>
  <si>
    <t>BALANCE</t>
  </si>
  <si>
    <t>Less Distribution</t>
  </si>
  <si>
    <t>Natural Increase Rate</t>
  </si>
  <si>
    <t>Selling Expenses</t>
  </si>
  <si>
    <t>Shearing &amp; Crutching</t>
  </si>
  <si>
    <t>Shearing Requisites</t>
  </si>
  <si>
    <t>Less: Private Use</t>
  </si>
  <si>
    <t>Investment Income</t>
  </si>
  <si>
    <t>Capital Asset Transaction Register</t>
  </si>
  <si>
    <t>Farm Management Deposit Record</t>
  </si>
  <si>
    <t>Workpaper Name</t>
  </si>
  <si>
    <t>ADJUSTMENTS TO EXCLUDE:</t>
  </si>
  <si>
    <t>Add / (Less): Movement in Accrued Wages</t>
  </si>
  <si>
    <t>A.</t>
  </si>
  <si>
    <t>Adjusted Salary &amp; Wages per Financial Statements:</t>
  </si>
  <si>
    <t>B.</t>
  </si>
  <si>
    <t>Salary &amp; wages as declared per Activity Statements:</t>
  </si>
  <si>
    <t>C.</t>
  </si>
  <si>
    <t>16/9/87 onwards</t>
  </si>
  <si>
    <t>Non-Residential:</t>
  </si>
  <si>
    <t>19/7/82 - 21/8/84</t>
  </si>
  <si>
    <t>Taxable Income Reconciliation Statement</t>
  </si>
  <si>
    <t xml:space="preserve">     $</t>
  </si>
  <si>
    <t>Operating profit (loss) as per accounts</t>
  </si>
  <si>
    <t xml:space="preserve">TAXABLE INCOME (LOSS) </t>
  </si>
  <si>
    <t>22/8/84 - 15/9/87</t>
  </si>
  <si>
    <t>Structural Improvements:</t>
  </si>
  <si>
    <t>26/2/92 onwards</t>
  </si>
  <si>
    <t>Eligible Industrial Activities:</t>
  </si>
  <si>
    <t>LOAN PURPOSE</t>
  </si>
  <si>
    <t>Date</t>
  </si>
  <si>
    <t>VEHICLE</t>
  </si>
  <si>
    <t>BUSINESS USE %</t>
  </si>
  <si>
    <t>VEHICLE COST</t>
  </si>
  <si>
    <t>DATE PURCHASED</t>
  </si>
  <si>
    <t>OPERATING COST METHOD</t>
  </si>
  <si>
    <t>Fuel - Actual Amount</t>
  </si>
  <si>
    <t>CTP</t>
  </si>
  <si>
    <t>Insurance</t>
  </si>
  <si>
    <t>Repairs</t>
  </si>
  <si>
    <t>Interest</t>
  </si>
  <si>
    <t>Leasing</t>
  </si>
  <si>
    <t>Other</t>
  </si>
  <si>
    <t>Total Operating Costs</t>
  </si>
  <si>
    <t>Business Use</t>
  </si>
  <si>
    <t>Add Depreciation Bus Use</t>
  </si>
  <si>
    <t>Total Operating Cost Method</t>
  </si>
  <si>
    <t>Dec</t>
  </si>
  <si>
    <t>Feb</t>
  </si>
  <si>
    <t>Mar</t>
  </si>
  <si>
    <t>Jun</t>
  </si>
  <si>
    <t>Low Value Plant Added to Pool</t>
  </si>
  <si>
    <t>PREPARED BY:</t>
  </si>
  <si>
    <t>REF COLUMN?</t>
  </si>
  <si>
    <t>REF</t>
  </si>
  <si>
    <t>RENTAL DETAILS</t>
  </si>
  <si>
    <t>Rates</t>
  </si>
  <si>
    <t>Average Debt</t>
  </si>
  <si>
    <t>GST on Private Use</t>
  </si>
  <si>
    <t>Private GST</t>
  </si>
  <si>
    <t>Fuel</t>
  </si>
  <si>
    <t>Other/NRMA</t>
  </si>
  <si>
    <t>YEAR END</t>
  </si>
  <si>
    <t>DATE SOLD</t>
  </si>
  <si>
    <t>Opening Balance</t>
  </si>
  <si>
    <t>SECTION 385-110   DEFERRAL OF PROFIT FROM FORCED DISPOSAL OF LIVESTOCK</t>
  </si>
  <si>
    <t>(PREVIOUSLY SECTION 36AAA OF ITAA 1936)</t>
  </si>
  <si>
    <t>Livestock purchase price per head (used in calculations below)</t>
  </si>
  <si>
    <t>Total Absorbed In Current Year</t>
  </si>
  <si>
    <t>L/100 Km</t>
  </si>
  <si>
    <t>Opening WDV</t>
  </si>
  <si>
    <t>Closing WDV</t>
  </si>
  <si>
    <t>Km Method</t>
  </si>
  <si>
    <t>Vehicle Km Rate</t>
  </si>
  <si>
    <t>Road Service</t>
  </si>
  <si>
    <t>KM Beginning of year</t>
  </si>
  <si>
    <t>KM End of year</t>
  </si>
  <si>
    <t>KM Travelled</t>
  </si>
  <si>
    <t>LOG BOOK KEPT?</t>
  </si>
  <si>
    <t>Registration</t>
  </si>
  <si>
    <t>ACT</t>
  </si>
  <si>
    <t>NSW</t>
  </si>
  <si>
    <t>NT</t>
  </si>
  <si>
    <t>SA</t>
  </si>
  <si>
    <t>TAS</t>
  </si>
  <si>
    <t>WA</t>
  </si>
  <si>
    <t>QLD</t>
  </si>
  <si>
    <t>Low Value Pool</t>
  </si>
  <si>
    <t>AWB Loan</t>
  </si>
  <si>
    <t>Interest Calculation - Irregular Payments</t>
  </si>
  <si>
    <t>Payable</t>
  </si>
  <si>
    <t>With.</t>
  </si>
  <si>
    <t>Instal.</t>
  </si>
  <si>
    <t>BAS</t>
  </si>
  <si>
    <t>W1</t>
  </si>
  <si>
    <t>Frequency:</t>
  </si>
  <si>
    <t>Quarterly</t>
  </si>
  <si>
    <t>Monthly</t>
  </si>
  <si>
    <t>Net GST</t>
  </si>
  <si>
    <t>at 1A</t>
  </si>
  <si>
    <t>DATE</t>
  </si>
  <si>
    <t>COST</t>
  </si>
  <si>
    <t>AS AT:</t>
  </si>
  <si>
    <t>GST ENTITY?</t>
  </si>
  <si>
    <t>LOAN DETAILS:</t>
  </si>
  <si>
    <t>Payment</t>
  </si>
  <si>
    <t>Principal</t>
  </si>
  <si>
    <t>Variance</t>
  </si>
  <si>
    <t>Actual Paid per financials</t>
  </si>
  <si>
    <t>D.</t>
  </si>
  <si>
    <t>Salary &amp; Wages Summary:</t>
  </si>
  <si>
    <t>E.</t>
  </si>
  <si>
    <t>F.</t>
  </si>
  <si>
    <t>PAYG Withholding per Activity Statements:</t>
  </si>
  <si>
    <t>PAYG Withholding per summary above:</t>
  </si>
  <si>
    <t>Salary &amp; Wages per summary above:</t>
  </si>
  <si>
    <t>S &amp; W per Summary vs. Activity Statements</t>
  </si>
  <si>
    <t xml:space="preserve"> ( D - B )</t>
  </si>
  <si>
    <t xml:space="preserve"> ( E - F )</t>
  </si>
  <si>
    <t>PAYG Withholding per Summary vs. PAYG Withholding on Activity Statements</t>
  </si>
  <si>
    <t>GST Per BAS</t>
  </si>
  <si>
    <t>GST on debtors</t>
  </si>
  <si>
    <t>Adjustment per difference to cash book</t>
  </si>
  <si>
    <t>Additional Adjustments</t>
  </si>
  <si>
    <t>Net GST as per Accounts:</t>
  </si>
  <si>
    <t>ITC Per BAS</t>
  </si>
  <si>
    <t>ITC on Creditors</t>
  </si>
  <si>
    <t>Net ITC as per Accounts:</t>
  </si>
  <si>
    <t>Adjustment per diff to cash book (GST)</t>
  </si>
  <si>
    <t>Adjustment per diff to cash book (ITC)</t>
  </si>
  <si>
    <t>Less Payments/(Refunds) Relating to Prior Year</t>
  </si>
  <si>
    <t>Details</t>
  </si>
  <si>
    <t>Balance of prior year's tax owing</t>
  </si>
  <si>
    <t>Bank - Investment Portion (see TR 2000/2)</t>
  </si>
  <si>
    <t>Bank Statement Details</t>
  </si>
  <si>
    <t>BS No.</t>
  </si>
  <si>
    <t>Opening 
Balance</t>
  </si>
  <si>
    <t>DR</t>
  </si>
  <si>
    <t>CR</t>
  </si>
  <si>
    <t>Bank &amp;
Gov Charges</t>
  </si>
  <si>
    <t>Interest Deductibility</t>
  </si>
  <si>
    <t>Results</t>
  </si>
  <si>
    <t>Loan Principal Amount</t>
  </si>
  <si>
    <t>Term (months)</t>
  </si>
  <si>
    <t>Annual Interest Rate</t>
  </si>
  <si>
    <t>Annual Loan Payments</t>
  </si>
  <si>
    <t>Monthly Repayment Amount</t>
  </si>
  <si>
    <t>Interest over Term of Loan</t>
  </si>
  <si>
    <t>Month / Year of start (eg. Mar 05)</t>
  </si>
  <si>
    <t>Sum of All Payments</t>
  </si>
  <si>
    <t>Beginning</t>
  </si>
  <si>
    <t>Cumulative</t>
  </si>
  <si>
    <t>Ending</t>
  </si>
  <si>
    <t>Payments</t>
  </si>
  <si>
    <t>Principal-Interest-Repay</t>
  </si>
  <si>
    <t>Principal-Interest-Term</t>
  </si>
  <si>
    <t>Principal-Repay-Term</t>
  </si>
  <si>
    <t>Monthly Repayment</t>
  </si>
  <si>
    <t>Principal-Interest-Repayment Inputs</t>
  </si>
  <si>
    <t>Principal-Interest-Term Inputs</t>
  </si>
  <si>
    <t>Principal-Repayment-Term Inputs</t>
  </si>
  <si>
    <t>Total for this year</t>
  </si>
  <si>
    <t>Repayments</t>
  </si>
  <si>
    <t>Select what you are wanting to input:</t>
  </si>
  <si>
    <t>(GST exc)</t>
  </si>
  <si>
    <t>Total Expense (GST exclusive)</t>
  </si>
  <si>
    <t>4.     WORK PAPERS</t>
  </si>
  <si>
    <t>Total Debt Summary</t>
  </si>
  <si>
    <t>ENTITY'S STATE:</t>
  </si>
  <si>
    <t>H</t>
  </si>
  <si>
    <t>Balance of current year tax owing</t>
  </si>
  <si>
    <t>5.     OTHER</t>
  </si>
  <si>
    <t>Less PAYG instalment paid 28 July (June quarter)</t>
  </si>
  <si>
    <t>Total Tax Provision Closing Balance Per Accounts</t>
  </si>
  <si>
    <t>Current Year Interest</t>
  </si>
  <si>
    <t># of Payments</t>
  </si>
  <si>
    <t>per year</t>
  </si>
  <si>
    <t>Basic Repayment Apportionment</t>
  </si>
  <si>
    <t>Open</t>
  </si>
  <si>
    <t>Min Interest</t>
  </si>
  <si>
    <t>Min Repay</t>
  </si>
  <si>
    <t>Max Closing</t>
  </si>
  <si>
    <t>Repayment Apportionment</t>
  </si>
  <si>
    <t>Basic</t>
  </si>
  <si>
    <t>Minimum Payment for the year</t>
  </si>
  <si>
    <t>Interest Portion</t>
  </si>
  <si>
    <t>Principal Portion</t>
  </si>
  <si>
    <t>Additional Mid Year Repayments</t>
  </si>
  <si>
    <t>Div7A Benchmark Interest Rates:</t>
  </si>
  <si>
    <t>Fortnightly</t>
  </si>
  <si>
    <t>Debtor Name</t>
  </si>
  <si>
    <t>Borrowing Costs Amortisation</t>
  </si>
  <si>
    <t>Loan in Years</t>
  </si>
  <si>
    <t>Paid Year</t>
  </si>
  <si>
    <t>1st Year Ending</t>
  </si>
  <si>
    <t>Days in Period 1</t>
  </si>
  <si>
    <t>Prior Year</t>
  </si>
  <si>
    <t>Days in Year 1</t>
  </si>
  <si>
    <t>Final Year</t>
  </si>
  <si>
    <t>First Year Claim</t>
  </si>
  <si>
    <t>Middle Year Claim</t>
  </si>
  <si>
    <t>Final Year Claim</t>
  </si>
  <si>
    <t>New Borrowing</t>
  </si>
  <si>
    <t>Add: New Borrowing Costs this Year</t>
  </si>
  <si>
    <t>Less: Current Year Write Off</t>
  </si>
  <si>
    <t>Select number of employees up to:</t>
  </si>
  <si>
    <t>Divid</t>
  </si>
  <si>
    <t>#</t>
  </si>
  <si>
    <t>Company Name</t>
  </si>
  <si>
    <t>SRN &amp; Other Notes</t>
  </si>
  <si>
    <t>Display number of shares up to:</t>
  </si>
  <si>
    <t>DIVISION 43  WRITE OFF SCHEDULE - INCOME PRODUCING BUILDINGS AND OTHER CAPITAL WORKS (PREVIOUSLY DIVISION 10D OF ITAA 1936)</t>
  </si>
  <si>
    <t>SECTION 387-355 DEDUCTIONS SCHEDULE (PREVIOUSLY SECTION 70A IN ITAA 1936)</t>
  </si>
  <si>
    <t>Annual Minimum Payment</t>
  </si>
  <si>
    <t>Name 1</t>
  </si>
  <si>
    <t>Name 2 (if applicable)</t>
  </si>
  <si>
    <t>Super Guarantee Contribution (SGC) Required</t>
  </si>
  <si>
    <t xml:space="preserve"> Required % of Gross Wages:</t>
  </si>
  <si>
    <t>Super Guarantee Contribution (SGC)</t>
  </si>
  <si>
    <t>Pay at end</t>
  </si>
  <si>
    <t>Pay at start</t>
  </si>
  <si>
    <t>Closing Odometer</t>
  </si>
  <si>
    <t>Petrol</t>
  </si>
  <si>
    <t>Rebate</t>
  </si>
  <si>
    <t xml:space="preserve"> loan, because each year there is a separate amalgamated loan.</t>
  </si>
  <si>
    <t>Please note:  There needs to be a separate Division 7A Loan workpaper for each amalgamated</t>
  </si>
  <si>
    <t>Creditor Name</t>
  </si>
  <si>
    <t>Less Payments</t>
  </si>
  <si>
    <t>STANDARD THRESHOLDS - INTERNAL USE</t>
  </si>
  <si>
    <t>Limit</t>
  </si>
  <si>
    <t>Fixed Tax</t>
  </si>
  <si>
    <t>Tax Above Limit</t>
  </si>
  <si>
    <t>&gt;</t>
  </si>
  <si>
    <t>Medicare Levy Surcharge</t>
  </si>
  <si>
    <t>TOTAL TAX LIABILITY</t>
  </si>
  <si>
    <t>TOTAL CASHFLOWS</t>
  </si>
  <si>
    <t xml:space="preserve"> </t>
  </si>
  <si>
    <t>NAME 2</t>
  </si>
  <si>
    <t>NAME 3</t>
  </si>
  <si>
    <t>NAME 4</t>
  </si>
  <si>
    <t>NAME 5</t>
  </si>
  <si>
    <t>NAME 6</t>
  </si>
  <si>
    <t>NAME 7</t>
  </si>
  <si>
    <t>NAME 8</t>
  </si>
  <si>
    <t>Group Certificate</t>
  </si>
  <si>
    <t>Reportable Fringe Benefits</t>
  </si>
  <si>
    <t>Dividends             - Unfranked</t>
  </si>
  <si>
    <t xml:space="preserve">                      - Franked(net amount)</t>
  </si>
  <si>
    <t xml:space="preserve">                      - Imputation Credits</t>
  </si>
  <si>
    <t xml:space="preserve">INCOME  </t>
  </si>
  <si>
    <t xml:space="preserve">Annual Financial Health Check Up &amp; </t>
  </si>
  <si>
    <t>Net Worth Calculation</t>
  </si>
  <si>
    <t>Client:</t>
  </si>
  <si>
    <t>Date prepared:</t>
  </si>
  <si>
    <t>ASSETS</t>
  </si>
  <si>
    <t>JOINT</t>
  </si>
  <si>
    <t>LIABILITIES</t>
  </si>
  <si>
    <t>Loan name</t>
  </si>
  <si>
    <t>TOTAL ASSETS</t>
  </si>
  <si>
    <t>TOTAL LIABILITIES</t>
  </si>
  <si>
    <t>PRESERVED AMOUNTS (NOT AVAILABLE WHILST ALIVE / NOT RETIRED / DEFERRED)</t>
  </si>
  <si>
    <t>PRESERVED ASSETS</t>
  </si>
  <si>
    <t>Inheritance</t>
  </si>
  <si>
    <t>TOTAL PRESERVED ASSETS</t>
  </si>
  <si>
    <t>Estimated total preserved assets:</t>
  </si>
  <si>
    <t>PERSONAL DETAILS</t>
  </si>
  <si>
    <t>FAMILY GROUP DETAILS</t>
  </si>
  <si>
    <t>INSURANCES</t>
  </si>
  <si>
    <t>AGENT NAME</t>
  </si>
  <si>
    <t>FULL NAME:</t>
  </si>
  <si>
    <t>DATE OF BIRTH</t>
  </si>
  <si>
    <t>AGE TODAY</t>
  </si>
  <si>
    <t>DEPENDENT</t>
  </si>
  <si>
    <t>Motor vehicle insurance</t>
  </si>
  <si>
    <t>Home &amp; contents insurance</t>
  </si>
  <si>
    <t>ACTION ITEMS</t>
  </si>
  <si>
    <t>Action item description:</t>
  </si>
  <si>
    <t>Proposer name:</t>
  </si>
  <si>
    <t>Action item due date:</t>
  </si>
  <si>
    <t>Signed:……………………………………………………..</t>
  </si>
  <si>
    <t>Date:……………………………………………………</t>
  </si>
  <si>
    <t>Investment Property</t>
  </si>
  <si>
    <t>Motor Vehicle</t>
  </si>
  <si>
    <t>[Enter Date]</t>
  </si>
  <si>
    <t>Client 1</t>
  </si>
  <si>
    <t>Client 2</t>
  </si>
  <si>
    <t>Bank</t>
  </si>
  <si>
    <t>For Distribution</t>
  </si>
  <si>
    <t>Remaining</t>
  </si>
  <si>
    <t>Trust/Partnership Income</t>
  </si>
  <si>
    <t>Unfranked Income</t>
  </si>
  <si>
    <t>Fully Franked Income</t>
  </si>
  <si>
    <t>Franking Credits</t>
  </si>
  <si>
    <t>Net Foreign Income</t>
  </si>
  <si>
    <t>Foreign Tax Credits</t>
  </si>
  <si>
    <t>Net Interest Income</t>
  </si>
  <si>
    <t>TFN Tax Credits</t>
  </si>
  <si>
    <t>TOTAL INCOME</t>
  </si>
  <si>
    <t>SUPERANNUATION</t>
  </si>
  <si>
    <t xml:space="preserve">  - Superannuation</t>
  </si>
  <si>
    <t xml:space="preserve">  - Sundry</t>
  </si>
  <si>
    <t xml:space="preserve">Sub-total  </t>
  </si>
  <si>
    <t xml:space="preserve">TAXABLE INCOME   </t>
  </si>
  <si>
    <t xml:space="preserve">Tax payable  </t>
  </si>
  <si>
    <t xml:space="preserve">         - Other rebates</t>
  </si>
  <si>
    <t xml:space="preserve">         - Low income rebate  </t>
  </si>
  <si>
    <t>Options</t>
  </si>
  <si>
    <t>Opening Balance Payable / (Refundable)</t>
  </si>
  <si>
    <t>TAX LIABILITY</t>
  </si>
  <si>
    <t>Hire Purchase Summary</t>
  </si>
  <si>
    <t>Have you checklist this with a tax specialist to determine whether a payment has been created for Division 7a purposes?</t>
  </si>
  <si>
    <t>- penalties &amp; fines</t>
  </si>
  <si>
    <t>Relevant Tax Year</t>
  </si>
  <si>
    <r>
      <t xml:space="preserve">Less casual employee liability </t>
    </r>
    <r>
      <rPr>
        <i/>
        <sz val="10"/>
        <rFont val="Arial"/>
        <family val="2"/>
      </rPr>
      <t>(Casual employee liability not recognised until 7 years of service)</t>
    </r>
  </si>
  <si>
    <r>
      <t>●</t>
    </r>
    <r>
      <rPr>
        <i/>
        <sz val="10"/>
        <rFont val="Century Gothic"/>
        <family val="2"/>
      </rPr>
      <t xml:space="preserve"> Where detailed planning is required, we may need to obtain further or more accurate information.</t>
    </r>
  </si>
  <si>
    <t>Blackhole expenses and intangibles</t>
  </si>
  <si>
    <t xml:space="preserve">         - PAYG Instalments    </t>
  </si>
  <si>
    <t>Credits from trust distributions</t>
  </si>
  <si>
    <t xml:space="preserve">         - Imp. Credits  </t>
  </si>
  <si>
    <t>TAX PAYABLE</t>
  </si>
  <si>
    <t>TAX PAYABLE/(REFUND)</t>
  </si>
  <si>
    <t>Tax Distribution Calculation</t>
  </si>
  <si>
    <t>Taxpayers Name:</t>
  </si>
  <si>
    <t>Prior to distribution:</t>
  </si>
  <si>
    <t>Net Taxable Primary Production Income:</t>
  </si>
  <si>
    <t>Net Taxable Non-Primary Production Income:</t>
  </si>
  <si>
    <t>Net Total Taxable Income for Averaging:</t>
  </si>
  <si>
    <t>Net Taxable Capital Gains Income</t>
  </si>
  <si>
    <t>Reportable Fringe Benefits Amounts:</t>
  </si>
  <si>
    <t>Averaging</t>
  </si>
  <si>
    <t>* If Averaging less than 5 years make sure to type "n" in relevant  years</t>
  </si>
  <si>
    <t>Effective Tax Rate for Beneficiary:</t>
  </si>
  <si>
    <t>AVERAGE INCOME</t>
  </si>
  <si>
    <t>Primary Production</t>
  </si>
  <si>
    <t>Non-primary Production</t>
  </si>
  <si>
    <t>Net Taxable Capital Gains</t>
  </si>
  <si>
    <t>Tax File Number Tax Credits</t>
  </si>
  <si>
    <t>Taxable Primary Production Income:</t>
  </si>
  <si>
    <t>Taxable Non-Primary Production Income:</t>
  </si>
  <si>
    <t>Superannuation attributable to pp income</t>
  </si>
  <si>
    <t>Cost of goods sold</t>
  </si>
  <si>
    <t>Opening stock</t>
  </si>
  <si>
    <t>Purchases</t>
  </si>
  <si>
    <t>Closing stock</t>
  </si>
  <si>
    <t>TOTAL COST OF GOODS SOLD</t>
  </si>
  <si>
    <t>Superannuation attributable to non-pp income</t>
  </si>
  <si>
    <t>Total Taxable Income for Averaging</t>
  </si>
  <si>
    <t>Average income</t>
  </si>
  <si>
    <t>CASHFLOWS</t>
  </si>
  <si>
    <t>Effective Tax Rate :</t>
  </si>
  <si>
    <t>FMD'S</t>
  </si>
  <si>
    <t xml:space="preserve">NOTES </t>
  </si>
  <si>
    <t>Tax payable at Normal Rates</t>
  </si>
  <si>
    <t>Tax at average rates</t>
  </si>
  <si>
    <t>Difference</t>
  </si>
  <si>
    <t>Per accounts</t>
  </si>
  <si>
    <t>Non-Capital</t>
  </si>
  <si>
    <t xml:space="preserve">Description: </t>
  </si>
  <si>
    <t xml:space="preserve">ABN: </t>
  </si>
  <si>
    <t xml:space="preserve">Name: </t>
  </si>
  <si>
    <t>Address:</t>
  </si>
  <si>
    <t>Plus Goods for Own Use</t>
  </si>
  <si>
    <t>Add Opening Stock</t>
  </si>
  <si>
    <t>Less Closing Stock</t>
  </si>
  <si>
    <t>Item 1</t>
  </si>
  <si>
    <t>Item 2</t>
  </si>
  <si>
    <t>Item 3</t>
  </si>
  <si>
    <t>Item 4</t>
  </si>
  <si>
    <t>EXPENSES</t>
  </si>
  <si>
    <t>Bad Debts</t>
  </si>
  <si>
    <t>Bank Fees &amp; Charges</t>
  </si>
  <si>
    <t>Cartage &amp; Freight</t>
  </si>
  <si>
    <t xml:space="preserve">Cleaning &amp; Rubbish </t>
  </si>
  <si>
    <t xml:space="preserve">Depreciation </t>
  </si>
  <si>
    <t>Electricity &amp; Gas</t>
  </si>
  <si>
    <t>Govt, Charges, Fees, etc.</t>
  </si>
  <si>
    <t>Hire &amp; Rent of Equipment</t>
  </si>
  <si>
    <t>Home Office Expenses</t>
  </si>
  <si>
    <t xml:space="preserve">Interest  </t>
  </si>
  <si>
    <t>Materials &amp; Supplies</t>
  </si>
  <si>
    <t>Motor Vehicle Expenses :</t>
  </si>
  <si>
    <t>R &amp; M</t>
  </si>
  <si>
    <t>Regn, &amp; Insurance</t>
  </si>
  <si>
    <t>Postage</t>
  </si>
  <si>
    <t>Printing &amp; Stationery</t>
  </si>
  <si>
    <t>Rates &amp; Land Taxes</t>
  </si>
  <si>
    <t>Rental of Business Premises</t>
  </si>
  <si>
    <t>Royalties</t>
  </si>
  <si>
    <t>Registrations</t>
  </si>
  <si>
    <t>Salaries &amp; Wages</t>
  </si>
  <si>
    <t>Special Building Write-off</t>
  </si>
  <si>
    <t>Subcontractors</t>
  </si>
  <si>
    <t>Subscriptions</t>
  </si>
  <si>
    <t>Sundry Expenses</t>
  </si>
  <si>
    <t xml:space="preserve">Superannuation </t>
  </si>
  <si>
    <t>Travel &amp; Accommodation</t>
  </si>
  <si>
    <t>TOTAL EXPENSES</t>
  </si>
  <si>
    <t>Total Motor Vehicle Expenses</t>
  </si>
  <si>
    <t>INCOME</t>
  </si>
  <si>
    <t>LESS COST OF GOODS SOLD</t>
  </si>
  <si>
    <t>Add Purchases</t>
  </si>
  <si>
    <t>TOTAL COGS</t>
  </si>
  <si>
    <t>GROSS PROFIT</t>
  </si>
  <si>
    <t>Other Income</t>
  </si>
  <si>
    <t>TOTAL OTHER INCOME</t>
  </si>
  <si>
    <t>Profession, Trade or Business Income &amp; Deduction Sch.</t>
  </si>
  <si>
    <t>Estimate of possible Franked Dividends</t>
  </si>
  <si>
    <t>Closely Held Trusts - TFN Reporting Register</t>
  </si>
  <si>
    <t>Beneficiary Full Name</t>
  </si>
  <si>
    <t>TFN</t>
  </si>
  <si>
    <t>Postal Address</t>
  </si>
  <si>
    <t>Business or Residential Address</t>
  </si>
  <si>
    <t>Entity Type</t>
  </si>
  <si>
    <t>ABN</t>
  </si>
  <si>
    <t>Year/Quarter Reported to ATO</t>
  </si>
  <si>
    <t>Tax losses in prior years</t>
  </si>
  <si>
    <t>Discounted</t>
  </si>
  <si>
    <t>Loss</t>
  </si>
  <si>
    <t>Capital Gains Calculations</t>
  </si>
  <si>
    <t>Prior year capital losses</t>
  </si>
  <si>
    <t>Current year capital losses</t>
  </si>
  <si>
    <t>Total capital losses</t>
  </si>
  <si>
    <t>Other current year gains</t>
  </si>
  <si>
    <t>Discounted Gains</t>
  </si>
  <si>
    <t>Gross up</t>
  </si>
  <si>
    <t>Prima facie capital gains / (loss)</t>
  </si>
  <si>
    <t>Apply Discount</t>
  </si>
  <si>
    <t>SBE Concessions (consult tax specialist)</t>
  </si>
  <si>
    <t>Taxable Capital Gains</t>
  </si>
  <si>
    <t>2 yr</t>
  </si>
  <si>
    <t>rollover</t>
  </si>
  <si>
    <t>No. persons</t>
  </si>
  <si>
    <t>Grand Totals</t>
  </si>
  <si>
    <t>Losses Carried Forward</t>
  </si>
  <si>
    <t>Prior year losses brought forward</t>
  </si>
  <si>
    <t>Total losses carried forward</t>
  </si>
  <si>
    <t>Streaming Trust Distributions</t>
  </si>
  <si>
    <t>Step 1 - Apply Div 6 unmodified by Div 6E</t>
  </si>
  <si>
    <t>Present entitlement</t>
  </si>
  <si>
    <t>Div 6 %</t>
  </si>
  <si>
    <t>s97 share of net income</t>
  </si>
  <si>
    <t>Step 2 - Calculate adjusted Div 6 percentage</t>
  </si>
  <si>
    <t>Specifically entitled income</t>
  </si>
  <si>
    <t>Present entitlement to 'adjusted income'</t>
  </si>
  <si>
    <t>Share of 'adjusted income'</t>
  </si>
  <si>
    <t>Step 3 - Apply Subdiv 115-C</t>
  </si>
  <si>
    <t>Total Discount Capital Gains</t>
  </si>
  <si>
    <t>Gross capital gain</t>
  </si>
  <si>
    <t>Less: Capital losses deducted</t>
  </si>
  <si>
    <t>Less: 50% general discount</t>
  </si>
  <si>
    <t>Net capital gain</t>
  </si>
  <si>
    <t>Concept/provision</t>
  </si>
  <si>
    <t>Specific entitlement s115-227(a)</t>
  </si>
  <si>
    <t>Adjusted Div 6 percentage share s 115-227(b)</t>
  </si>
  <si>
    <t>Share of capital gain (amount) s115-227</t>
  </si>
  <si>
    <t>(Total) capital gain</t>
  </si>
  <si>
    <t>Fraction of the gain s115-225(1)(b)</t>
  </si>
  <si>
    <t>Tax related to gain s115-225(1)(a)</t>
  </si>
  <si>
    <t>Attributable gain s115-225(1)</t>
  </si>
  <si>
    <t>Gross up s115-215(3)</t>
  </si>
  <si>
    <t>Extra capital gain s115-215(3)</t>
  </si>
  <si>
    <t>Total Non-discount Capital Gains</t>
  </si>
  <si>
    <t>Step 4 - Apply Subdiv 207-B</t>
  </si>
  <si>
    <t>Specifically Entitled Dividends</t>
  </si>
  <si>
    <t>Total franked dividends</t>
  </si>
  <si>
    <t>Total dividend deductions</t>
  </si>
  <si>
    <t>Net franked dividend</t>
  </si>
  <si>
    <t>Total franking credits</t>
  </si>
  <si>
    <t>Specific entitlement s207-55(4)(a)</t>
  </si>
  <si>
    <t>Dividend deductions</t>
  </si>
  <si>
    <t>Net specific entitlement</t>
  </si>
  <si>
    <t>Presently entitled dividend</t>
  </si>
  <si>
    <t>Adjusted Div 6 percentage share s207-55(4)(b)</t>
  </si>
  <si>
    <t>Attributable franked distribution s207-35(4)(b)(ii)</t>
  </si>
  <si>
    <t>Fraction of the distribution s207-37(1)(b)</t>
  </si>
  <si>
    <t>Franking credit s207-35(4)(b)(i)</t>
  </si>
  <si>
    <t>Step 5 - Recalculate assessable amounts using Div 6E</t>
  </si>
  <si>
    <t>Division 6E present entitlement</t>
  </si>
  <si>
    <t>Share of Division 6E income</t>
  </si>
  <si>
    <t>Section 97 assessable amount</t>
  </si>
  <si>
    <t>Step 6 - Overall result</t>
  </si>
  <si>
    <t>Adjusted s97 assessable amount</t>
  </si>
  <si>
    <t>Net capital gain s102-5</t>
  </si>
  <si>
    <t>Attributable franked distribution s207-37(1)(a)</t>
  </si>
  <si>
    <t>Checks</t>
  </si>
  <si>
    <t>Check to ensure all specifically entitled income has been allocated to each beneficiary</t>
  </si>
  <si>
    <t>Total specifically entitled income (Step 2)</t>
  </si>
  <si>
    <t>Less: Net discount capital gains (Step 3)</t>
  </si>
  <si>
    <t>Less: Net non-discount capital gains (Step 3)</t>
  </si>
  <si>
    <t>Less: Franked dividends (Step 4)</t>
  </si>
  <si>
    <t>Variance (must equal zero)</t>
  </si>
  <si>
    <t>Is allocated specifically entitled income less than or equal to total:</t>
  </si>
  <si>
    <t>Discount capital gains?</t>
  </si>
  <si>
    <t>Non-discount capital gains?</t>
  </si>
  <si>
    <t>Franked dividends?</t>
  </si>
  <si>
    <t>Is the Division 6E present entitlement (step 5) a positive number?</t>
  </si>
  <si>
    <t>Does total assessable income (step 6) agree to s97 share of net income (step 1)?</t>
  </si>
  <si>
    <t>Does total amount received from the trust (step 6) agree to total present entitlement (step 1)?</t>
  </si>
  <si>
    <t>2.3.2.</t>
  </si>
  <si>
    <t>Double click to open help document.</t>
  </si>
  <si>
    <t>Division 6E taxable income</t>
  </si>
  <si>
    <t>Total assessable income (taxable income)</t>
  </si>
  <si>
    <t>Amount received from the trust (accounting income)</t>
  </si>
  <si>
    <t>EMPLOYEE CONTRIBUTION DECLARATION</t>
  </si>
  <si>
    <t>Signed</t>
  </si>
  <si>
    <t>Dated</t>
  </si>
  <si>
    <t xml:space="preserve">Note: This is a simplified worksheet as a starting point in reconciling wages, however does not account for other factors </t>
  </si>
  <si>
    <t>such as overtime payments, salary sacrifices, etc. Please refer to the ATO guides for further information.</t>
  </si>
  <si>
    <t>CGT discount applied in accounts?</t>
  </si>
  <si>
    <t>Dividends grossed up in accounts?</t>
  </si>
  <si>
    <t>Statutory %</t>
  </si>
  <si>
    <t>Date benefit provided    -      Current</t>
  </si>
  <si>
    <t>-      Previous</t>
  </si>
  <si>
    <t>Old</t>
  </si>
  <si>
    <t>Transitional rates</t>
  </si>
  <si>
    <t>KMs
Travelled</t>
  </si>
  <si>
    <t>Current year stat. rate</t>
  </si>
  <si>
    <t>ATO Benchmarking</t>
  </si>
  <si>
    <t>Industry:</t>
  </si>
  <si>
    <t>ATO Benchmarks</t>
  </si>
  <si>
    <t>Min</t>
  </si>
  <si>
    <t>Max</t>
  </si>
  <si>
    <t>Cost of sales %</t>
  </si>
  <si>
    <t>Total expenses %</t>
  </si>
  <si>
    <t>Wages %</t>
  </si>
  <si>
    <t>Rent %</t>
  </si>
  <si>
    <t>Motor vehicle %</t>
  </si>
  <si>
    <t>Data</t>
  </si>
  <si>
    <t>Cost of sales</t>
  </si>
  <si>
    <t>Total expenses*</t>
  </si>
  <si>
    <t>Ratios</t>
  </si>
  <si>
    <t>Variances</t>
  </si>
  <si>
    <t>*Total expenses is the total expenses reported on the income tax return less payments to associated persons</t>
  </si>
  <si>
    <t>Has there been a trust cloning during the income year?  
If so check date as this is prohibited from 1 November 2008.</t>
  </si>
  <si>
    <t>Total Current Year Capital Gains</t>
  </si>
  <si>
    <t>ITR Fields</t>
  </si>
  <si>
    <t>Notes:</t>
  </si>
  <si>
    <t>Covered by private hospital cover?</t>
  </si>
  <si>
    <t>Number of dependant children</t>
  </si>
  <si>
    <t>Single</t>
  </si>
  <si>
    <t>Spouse?</t>
  </si>
  <si>
    <t>Medicare Levy Surcharge(Questions below)</t>
  </si>
  <si>
    <t>Less DEDUCTIONS :-</t>
  </si>
  <si>
    <t>Reportable Employer Super Contributions</t>
  </si>
  <si>
    <t>SAPTO</t>
  </si>
  <si>
    <t>Payroll tax threshold (super &amp; wages) annual</t>
  </si>
  <si>
    <t>Payroll tax threshold (super &amp; wages) monthly</t>
  </si>
  <si>
    <t>Link Spouse</t>
  </si>
  <si>
    <t>D.O.B</t>
  </si>
  <si>
    <t>Age at FY year end</t>
  </si>
  <si>
    <t>Age at FY year end:</t>
  </si>
  <si>
    <t>Division 7A Loan Balance</t>
  </si>
  <si>
    <t>Division 7A Conversion Date</t>
  </si>
  <si>
    <t>Division 7A Conversion Year?</t>
  </si>
  <si>
    <t>Financial Year Loan Made</t>
  </si>
  <si>
    <t>Taxable Income for surcharge</t>
  </si>
  <si>
    <t>Income for surcharge purposes</t>
  </si>
  <si>
    <t>Tax payable on other income</t>
  </si>
  <si>
    <t>Minors Excepted Income</t>
  </si>
  <si>
    <t>Compulsory HELP Repayment</t>
  </si>
  <si>
    <t>Tax payable on other Income</t>
  </si>
  <si>
    <t>Medicare Levy</t>
  </si>
  <si>
    <t>Hide</t>
  </si>
  <si>
    <t>Show</t>
  </si>
  <si>
    <t>Immediate</t>
  </si>
  <si>
    <t>Write Off</t>
  </si>
  <si>
    <t>Immediate Write Off</t>
  </si>
  <si>
    <t>Taxable Purpose Cost Allocated to Pool</t>
  </si>
  <si>
    <t>Closing Balance of SBE Pool</t>
  </si>
  <si>
    <t>Pool Balance Post Additions and Disposals</t>
  </si>
  <si>
    <t>Balance of SBE Pool</t>
  </si>
  <si>
    <t>Gain on Disposal of Assets</t>
  </si>
  <si>
    <t>EW:</t>
  </si>
  <si>
    <t>Purchase Date, Asset Type, Cost and Private Use are required for Correct Calculation</t>
  </si>
  <si>
    <t>Small Business Entity Depreciation and Average Turnover</t>
  </si>
  <si>
    <t>Have you reviewed for general pools of assets?</t>
  </si>
  <si>
    <t xml:space="preserve">Are there any potential audit issues?
</t>
  </si>
  <si>
    <t>SCHEDULE OF REVENUE LOSSES</t>
  </si>
  <si>
    <t>YEAR</t>
  </si>
  <si>
    <t>LOSS INCURRED</t>
  </si>
  <si>
    <t>LOSS RECOUPED</t>
  </si>
  <si>
    <t>LOSS TRANSFERRED</t>
  </si>
  <si>
    <t>Total Carry Forward Revenue Losses</t>
  </si>
  <si>
    <t>SCHEDULE OF CAPITAL LOSSES</t>
  </si>
  <si>
    <t>Total Carry Forward Capital Losses</t>
  </si>
  <si>
    <t>LOSS TRANSFERRED OUT</t>
  </si>
  <si>
    <t>Share of PP Income</t>
  </si>
  <si>
    <t>Share of NPP Income</t>
  </si>
  <si>
    <t>Share of income of the trust estate</t>
  </si>
  <si>
    <t>Credit for tax withheld - foreign resident withholding</t>
  </si>
  <si>
    <t>Australian franking credits from a New Zealand franking company</t>
  </si>
  <si>
    <t>Franked Distributions</t>
  </si>
  <si>
    <t>TFN amounts withheld</t>
  </si>
  <si>
    <t>Share of credit for TFN amounts withheld from payments from closely held trusts</t>
  </si>
  <si>
    <t xml:space="preserve">Capital Gains
</t>
  </si>
  <si>
    <t>Attributed Foreign Income</t>
  </si>
  <si>
    <t>Other assessable foreign source income</t>
  </si>
  <si>
    <t>Foreign income tax offset</t>
  </si>
  <si>
    <t>Share of NRAS tax offset</t>
  </si>
  <si>
    <t>FBT RATE CHANGES</t>
  </si>
  <si>
    <t>Averaging Calculator</t>
  </si>
  <si>
    <t>Primary Production Averaging Tax Offset Calculation</t>
  </si>
  <si>
    <t>Current year</t>
  </si>
  <si>
    <t>Non primary production income</t>
  </si>
  <si>
    <t>Primary production income</t>
  </si>
  <si>
    <t>Taxable income</t>
  </si>
  <si>
    <t>Less: Net capital gains</t>
  </si>
  <si>
    <t>Less: Certain superannuation lump sums and death benefit termination payments</t>
  </si>
  <si>
    <t>Less: Above-average income of an author, inventor, sportsperson or other special professional</t>
  </si>
  <si>
    <t>Averaging income in prior years</t>
  </si>
  <si>
    <t>N</t>
  </si>
  <si>
    <t>Years in averaging (not including current year)</t>
  </si>
  <si>
    <t>Income tax at basic rates on average income</t>
  </si>
  <si>
    <t>Comparison rate of tax</t>
  </si>
  <si>
    <t>Averaging component</t>
  </si>
  <si>
    <t>Tax payable on basic taxable income at the comparison rate</t>
  </si>
  <si>
    <t>Tax payable on basic taxable income at basic rates</t>
  </si>
  <si>
    <t>Primary production tax offset/(payable)</t>
  </si>
  <si>
    <t>Tax payable</t>
  </si>
  <si>
    <t>Less: Primary production averaging tax offset</t>
  </si>
  <si>
    <t>Net tax payable</t>
  </si>
  <si>
    <t>Disposal Date</t>
  </si>
  <si>
    <t>FIRM NAME:</t>
  </si>
  <si>
    <t>Method:</t>
  </si>
  <si>
    <t>Cash</t>
  </si>
  <si>
    <t>Accrual</t>
  </si>
  <si>
    <t xml:space="preserve">Opening Balance </t>
  </si>
  <si>
    <t>add</t>
  </si>
  <si>
    <t>Superannuation per MYOB/QB Payroll Report</t>
  </si>
  <si>
    <t>less</t>
  </si>
  <si>
    <t>Payments of Superannuation per client ledger:</t>
  </si>
  <si>
    <t>LATE / ON TIME</t>
  </si>
  <si>
    <t>QUARTER</t>
  </si>
  <si>
    <t>DATE DUE</t>
  </si>
  <si>
    <t>DATE PAID</t>
  </si>
  <si>
    <t>LATE</t>
  </si>
  <si>
    <t>prior year overdue amounts if applicable</t>
  </si>
  <si>
    <t>Balance per Balance Sheet</t>
  </si>
  <si>
    <t>SUPER PAID</t>
  </si>
  <si>
    <t>amount to be added back in tax rec as undeductible</t>
  </si>
  <si>
    <t>Superannuation Liability</t>
  </si>
  <si>
    <t>2.11.</t>
  </si>
  <si>
    <t>Summary of Group Tax Position</t>
  </si>
  <si>
    <t>&lt;Fund&gt;</t>
  </si>
  <si>
    <t>&lt;Company&gt;</t>
  </si>
  <si>
    <t>&lt;Trust&gt;</t>
  </si>
  <si>
    <t>&lt;Estate&gt;</t>
  </si>
  <si>
    <t>Payment due 14 days after lodgement of ITR</t>
  </si>
  <si>
    <t>Refund due 14 days after lodgement of ITR</t>
  </si>
  <si>
    <t>On lodgement of return</t>
  </si>
  <si>
    <t>Payable as follows:</t>
  </si>
  <si>
    <t>PAYG Withholding</t>
  </si>
  <si>
    <t xml:space="preserve">Less </t>
  </si>
  <si>
    <t>PAYG Instalments</t>
  </si>
  <si>
    <t>TFN withholding credits</t>
  </si>
  <si>
    <t>Private Health Insurance Offset</t>
  </si>
  <si>
    <t>Senior and Pensioners Tax Offset</t>
  </si>
  <si>
    <t>Spouse superannuation contributions rebate</t>
  </si>
  <si>
    <t>Foreign Income Tax Offset</t>
  </si>
  <si>
    <t>Primary Production averaging rebate</t>
  </si>
  <si>
    <t>Low income rebate</t>
  </si>
  <si>
    <t>Zone rebate</t>
  </si>
  <si>
    <t>Rebates</t>
  </si>
  <si>
    <t>Primary production averaging complementary tax</t>
  </si>
  <si>
    <t>Tax thereon</t>
  </si>
  <si>
    <t>Losses carried forward to future years</t>
  </si>
  <si>
    <t>Add</t>
  </si>
  <si>
    <t>Net Income</t>
  </si>
  <si>
    <t>&lt;P'ship&gt;</t>
  </si>
  <si>
    <t>TAXABLE INCOME</t>
  </si>
  <si>
    <t>TOTAL TAX PAYABLE/REFUNDABLE</t>
  </si>
  <si>
    <t>Post Tax Deductions</t>
  </si>
  <si>
    <t xml:space="preserve">Reportable Employee Super (RESC) </t>
  </si>
  <si>
    <t>Income Tax Reconciliation</t>
  </si>
  <si>
    <t>Net profit as per Profit &amp; Loss Statement</t>
  </si>
  <si>
    <t>Accruals &amp; Provisions at Year End:</t>
  </si>
  <si>
    <t>Accountancy</t>
  </si>
  <si>
    <t>Annual Leave</t>
  </si>
  <si>
    <t>Doubtful Debts</t>
  </si>
  <si>
    <t>Wage Bonus</t>
  </si>
  <si>
    <t>Depreciation as per Accounting Schedule</t>
  </si>
  <si>
    <t>Entertainment - Non Deductible</t>
  </si>
  <si>
    <t>Fines - Non Deductible</t>
  </si>
  <si>
    <t>Goodwill Amortisation</t>
  </si>
  <si>
    <t>Lease Charges - Non Deductible</t>
  </si>
  <si>
    <t>Leased Assets Amortisation - Non Deductible</t>
  </si>
  <si>
    <t>Legal Costs - Non Deductible</t>
  </si>
  <si>
    <t>Loss on Sales Plant as per Accounting Depreciation Schedule</t>
  </si>
  <si>
    <t>Partner Salaries</t>
  </si>
  <si>
    <t>Prepayments - Deductible in Future Year(s)</t>
  </si>
  <si>
    <t>Profit on Sale of Assets as per Tax Depreciation Schedule</t>
  </si>
  <si>
    <t>Stock on Hand Adjustment</t>
  </si>
  <si>
    <t>Superannuation Creditor at Year End - Non Deductible Until Next Year</t>
  </si>
  <si>
    <t>SBE Adjustments:</t>
  </si>
  <si>
    <t>Creditors - at current year end</t>
  </si>
  <si>
    <t>Debtors - adjusted prior year</t>
  </si>
  <si>
    <t>Change in balance of Trading stock - (to review)</t>
  </si>
  <si>
    <t>Depreciation - in accounts non SBE</t>
  </si>
  <si>
    <t>Prepayments - prior year</t>
  </si>
  <si>
    <t>Other Items (Detail):</t>
  </si>
  <si>
    <t>Prior Year June Fuel Tax Credit</t>
  </si>
  <si>
    <t>Total Additions</t>
  </si>
  <si>
    <t>Accruals &amp; Provisions at Beginning of Year:</t>
  </si>
  <si>
    <t>Capital Gain on Sale of Motor Vehicles - Non Assessable</t>
  </si>
  <si>
    <t>Depreciation as per Tax Schedule</t>
  </si>
  <si>
    <t>Goodwill - 50% CGT Exemption</t>
  </si>
  <si>
    <t>Lease Payments - Deductible</t>
  </si>
  <si>
    <t>Loss on Sale of Plant as per Tax Depreciation Schedule</t>
  </si>
  <si>
    <t>Prepayments from Prior Year - now deductible</t>
  </si>
  <si>
    <t>Profit on sale of Plant as per Accounting Depreciation Schedule</t>
  </si>
  <si>
    <t>Temporary Investment Allowance</t>
  </si>
  <si>
    <t>Superannuation Creditor From Prior Year - Now Deductible</t>
  </si>
  <si>
    <t>SBE adjustments:</t>
  </si>
  <si>
    <t>Debtors - end of year</t>
  </si>
  <si>
    <t>Creditors - from last year</t>
  </si>
  <si>
    <t>Depreciation claimable per SBE</t>
  </si>
  <si>
    <t>Prepayments - current year</t>
  </si>
  <si>
    <t>Current Year June Fuel Tax Credit</t>
  </si>
  <si>
    <t>Total Subtractions</t>
  </si>
  <si>
    <t>Taxable Income / (Loss Carried Forward)</t>
  </si>
  <si>
    <t>Less: PAYG Instalments</t>
  </si>
  <si>
    <t>June</t>
  </si>
  <si>
    <t xml:space="preserve">Income Tax Payable/(Refundable) </t>
  </si>
  <si>
    <t>Reconciliation of Accounting Profit to Taxable Income</t>
  </si>
  <si>
    <t>Accounting Profit</t>
  </si>
  <si>
    <t>Proportion</t>
  </si>
  <si>
    <t>Taxable Income</t>
  </si>
  <si>
    <t>Net Profit as per Profit &amp; Loss Statement</t>
  </si>
  <si>
    <t>Distribution to beneficiaries:</t>
  </si>
  <si>
    <t>Beneficiary 1</t>
  </si>
  <si>
    <t>Beneficiary 2</t>
  </si>
  <si>
    <t>Beneficiary 3</t>
  </si>
  <si>
    <t>Beneficiary 4</t>
  </si>
  <si>
    <t>Beneficiary 5</t>
  </si>
  <si>
    <t>Beneficiary 6</t>
  </si>
  <si>
    <t>Beneficiary 7</t>
  </si>
  <si>
    <t>Beneficiary 8</t>
  </si>
  <si>
    <t>Beneficiary 9</t>
  </si>
  <si>
    <t>Beneficiary 10</t>
  </si>
  <si>
    <t>2.3.3.</t>
  </si>
  <si>
    <t>Tax Reconciliation - Comparative</t>
  </si>
  <si>
    <t>HELP Debt Repayment</t>
  </si>
  <si>
    <t>Assets claimed on depreciation schedule</t>
  </si>
  <si>
    <t>2.12.</t>
  </si>
  <si>
    <t>2.13.</t>
  </si>
  <si>
    <t>Stationery/Phone/Postage</t>
  </si>
  <si>
    <t>Enter data in coloured cells</t>
  </si>
  <si>
    <t>Company - normal rate</t>
  </si>
  <si>
    <t>This company</t>
  </si>
  <si>
    <t>Small Business Tax Discount</t>
  </si>
  <si>
    <t>Net small business income</t>
  </si>
  <si>
    <t>Small busines percentage</t>
  </si>
  <si>
    <t>Small business Tax Offset</t>
  </si>
  <si>
    <t xml:space="preserve">         Franking Credits Available at Year End</t>
  </si>
  <si>
    <t>Summary of Tax Position</t>
  </si>
  <si>
    <t>FBT Type 1 (GST Credit Entitlement)</t>
  </si>
  <si>
    <t>FBT Type 2 (Non GST Credit Entitlement)</t>
  </si>
  <si>
    <t>Depreciation rate (from 01/07/02 - 09/05/06)</t>
  </si>
  <si>
    <t>Depreciation rate (Prior 30/06/02)</t>
  </si>
  <si>
    <t>RBA Cash Rate</t>
  </si>
  <si>
    <t>http://www.rba.gov.au/statistics/cash-rate/</t>
  </si>
  <si>
    <t>XPA Code</t>
  </si>
  <si>
    <t>Name I</t>
  </si>
  <si>
    <t>Net Capital Gains Income</t>
  </si>
  <si>
    <t>Early Stage Investors Tax Offset</t>
  </si>
  <si>
    <t>Small Business Tax Offset</t>
  </si>
  <si>
    <t>.</t>
  </si>
  <si>
    <t>Deductible</t>
  </si>
  <si>
    <t>Non-Deductible</t>
  </si>
  <si>
    <t>Non-Assessable</t>
  </si>
  <si>
    <t>Assessable on Withdrawal</t>
  </si>
  <si>
    <t>Non-Assessable on Withdrawal</t>
  </si>
  <si>
    <t xml:space="preserve">PAYG Instalments raised      </t>
  </si>
  <si>
    <t xml:space="preserve">&amp; paid prior to 30 June        </t>
  </si>
  <si>
    <t xml:space="preserve">          </t>
  </si>
  <si>
    <t xml:space="preserve"> Less PAYG instalment</t>
  </si>
  <si>
    <t xml:space="preserve"> Statutory benchmark interest rate - FBT</t>
  </si>
  <si>
    <t>2018/19</t>
  </si>
  <si>
    <t xml:space="preserve">CLIENT NAME:   </t>
  </si>
  <si>
    <t>Agent Statement</t>
  </si>
  <si>
    <t>Client Expenses</t>
  </si>
  <si>
    <t>BASE RATE ENTITY?</t>
  </si>
  <si>
    <t>PAYG Instalment (June)</t>
  </si>
  <si>
    <t>PAYG Instalment (July)</t>
  </si>
  <si>
    <t>PAYG Instalment (August)</t>
  </si>
  <si>
    <t>PAYG Instalment (September)</t>
  </si>
  <si>
    <t>PAYG Instalment (October)</t>
  </si>
  <si>
    <t>PAYG Instalment (November)</t>
  </si>
  <si>
    <t>PAYG Instalment (December)</t>
  </si>
  <si>
    <t>PAYG Instalment (January)</t>
  </si>
  <si>
    <t>PAYG Instalment (February)</t>
  </si>
  <si>
    <t>PAYG Instalment (March)</t>
  </si>
  <si>
    <t>PAYG Instalment (April)</t>
  </si>
  <si>
    <t>PAYG Instalment (May)</t>
  </si>
  <si>
    <t>FINDEX</t>
  </si>
  <si>
    <t>SBE - Proceeds from written off assets</t>
  </si>
  <si>
    <t>Proceeds from previously written off assets (assessable income)</t>
  </si>
  <si>
    <t>Has this asset been previously written off ?</t>
  </si>
  <si>
    <t>Proceeds from disposals of other assets (reduce pool)</t>
  </si>
  <si>
    <t>Tier 1</t>
  </si>
  <si>
    <t>Tier 2</t>
  </si>
  <si>
    <t>Tier 3</t>
  </si>
  <si>
    <t>Standard rate</t>
  </si>
  <si>
    <t>Regional rate</t>
  </si>
  <si>
    <t>Low and Middle income tax offset</t>
  </si>
  <si>
    <t>Resident</t>
  </si>
  <si>
    <t>Non-Resident</t>
  </si>
  <si>
    <t>Low and middle income tax offset</t>
  </si>
  <si>
    <t>Index match code (Date range)</t>
  </si>
  <si>
    <t>Applicable threshold</t>
  </si>
  <si>
    <t>Company - base rate entity (turnover &lt; $50m)</t>
  </si>
  <si>
    <t>https://www.ato.gov.au/Business/Small-business-benchmarks/</t>
  </si>
  <si>
    <t>Turnover &lt; $10m in prior year</t>
  </si>
  <si>
    <r>
      <t xml:space="preserve">If Y for previous year </t>
    </r>
    <r>
      <rPr>
        <u/>
        <sz val="10"/>
        <rFont val="Arial"/>
        <family val="2"/>
      </rPr>
      <t>only</t>
    </r>
    <r>
      <rPr>
        <sz val="10"/>
        <rFont val="Arial"/>
        <family val="2"/>
      </rPr>
      <t xml:space="preserve"> then SBE applies if current year likely to be &lt;$10M</t>
    </r>
  </si>
  <si>
    <r>
      <t xml:space="preserve">If N for both years then current year </t>
    </r>
    <r>
      <rPr>
        <u/>
        <sz val="10"/>
        <rFont val="Arial"/>
        <family val="2"/>
      </rPr>
      <t>actual</t>
    </r>
    <r>
      <rPr>
        <sz val="10"/>
        <rFont val="Arial"/>
        <family val="2"/>
      </rPr>
      <t xml:space="preserve"> turnover at year end must be &lt; $10M</t>
    </r>
  </si>
  <si>
    <t>Bring forward rule</t>
  </si>
  <si>
    <t>Taxable purpose</t>
  </si>
  <si>
    <t>Date installed ready for use</t>
  </si>
  <si>
    <t>Is the asset brand new?</t>
  </si>
  <si>
    <t>Total Taxable Purpose Cost of Assets Acquired</t>
  </si>
  <si>
    <t>Gross Profit Margin %</t>
  </si>
  <si>
    <t>Gross Profit</t>
  </si>
  <si>
    <t>Individual entity drop down</t>
  </si>
  <si>
    <t>Holiday Makers</t>
  </si>
  <si>
    <t>TOTAL TAXES ASSESSED SEPARATELY</t>
  </si>
  <si>
    <t>Division 293</t>
  </si>
  <si>
    <t>Superannuation Contributions</t>
  </si>
  <si>
    <t>Less deductions (Enter as negative)</t>
  </si>
  <si>
    <t>Low income tax offset</t>
  </si>
  <si>
    <t>Small business percentage</t>
  </si>
  <si>
    <t>CHILD 1</t>
  </si>
  <si>
    <t>CHILD 2</t>
  </si>
  <si>
    <t>CHILD 3</t>
  </si>
  <si>
    <t>CHILD 4</t>
  </si>
  <si>
    <t>CHILD 5</t>
  </si>
  <si>
    <t>CHILD 6</t>
  </si>
  <si>
    <t>CHILD 7</t>
  </si>
  <si>
    <t>CHILD 8</t>
  </si>
  <si>
    <t>CHILD 9</t>
  </si>
  <si>
    <t>CHILD 10</t>
  </si>
  <si>
    <t>LITO and LMITO</t>
  </si>
  <si>
    <t>Loss Carry Back Tax Offset Calculator</t>
  </si>
  <si>
    <t>- are an eligible entity (a company that is an SBE where the aggregated turnover threshold is $5 billion)</t>
  </si>
  <si>
    <t>- have a surplus in your franking account at the end of the income year that you are claiming the tax offset</t>
  </si>
  <si>
    <t>- have met your income tax return lodgement obligations</t>
  </si>
  <si>
    <t>2019/20</t>
  </si>
  <si>
    <t>2020/21</t>
  </si>
  <si>
    <t>2021/22</t>
  </si>
  <si>
    <t>Base rate entity?</t>
  </si>
  <si>
    <t>Applicable tax rate</t>
  </si>
  <si>
    <t>Available Unapplied Tax Losses</t>
  </si>
  <si>
    <t>Less: Exempt Income</t>
  </si>
  <si>
    <t>Net Tax Losses</t>
  </si>
  <si>
    <t>Loss Offset</t>
  </si>
  <si>
    <t>Total tax liability</t>
  </si>
  <si>
    <t>Home Office Expense Calculator</t>
  </si>
  <si>
    <t>You can use an alternative method for the period prior to 1 March 2020.</t>
  </si>
  <si>
    <t>Annual hours used for home office</t>
  </si>
  <si>
    <t>Home office rate</t>
  </si>
  <si>
    <t>Home office claim - Shortcut method</t>
  </si>
  <si>
    <t>Do not separately claim the following when using the shortcut method:</t>
  </si>
  <si>
    <t>- Phone expenses;</t>
  </si>
  <si>
    <t>- Internet expenses;</t>
  </si>
  <si>
    <t>- Depreciation on equipment and furniture; and</t>
  </si>
  <si>
    <t>- Electricity and gas for heating, cooling and lighting.</t>
  </si>
  <si>
    <t>ATO Website - Shortcut Method</t>
  </si>
  <si>
    <t>Fixed rate claim</t>
  </si>
  <si>
    <t>Depreciation - equipment (e.g. phones and computers)</t>
  </si>
  <si>
    <t>Equipment leasing costs</t>
  </si>
  <si>
    <t>Home office %</t>
  </si>
  <si>
    <t>Phone</t>
  </si>
  <si>
    <t>Internet</t>
  </si>
  <si>
    <t>Computer consumables and stationery (e.g. ink)</t>
  </si>
  <si>
    <t>Other home office running expenses</t>
  </si>
  <si>
    <t>Home office claim - Fixed rate method</t>
  </si>
  <si>
    <t>Do not separately claim the following under the fixed rate method:</t>
  </si>
  <si>
    <t>- Depreciation on home office furniture and furnishings;</t>
  </si>
  <si>
    <t>- Electricity and gas for heating, cooling and lighting; and</t>
  </si>
  <si>
    <t>- Repairs to home office equipment, furniture and furnishings.</t>
  </si>
  <si>
    <t>ATO Website - Fixed Rate Method</t>
  </si>
  <si>
    <t>Actual Cost Method</t>
  </si>
  <si>
    <t>Gas</t>
  </si>
  <si>
    <t>Actual method</t>
  </si>
  <si>
    <t>Cost per unit</t>
  </si>
  <si>
    <t>Average units used per hour for income producing purposes</t>
  </si>
  <si>
    <t>Hours used for income producing purposes during the year</t>
  </si>
  <si>
    <t>Estimate method</t>
  </si>
  <si>
    <t>Total of bills for period of income producing use</t>
  </si>
  <si>
    <t>% of bills attributable to home office use</t>
  </si>
  <si>
    <t>Depreciation - furniture</t>
  </si>
  <si>
    <t>Depreciation - equipment</t>
  </si>
  <si>
    <t>Repairs to office furniture and equipment</t>
  </si>
  <si>
    <t>Home office claim - Actual method</t>
  </si>
  <si>
    <t>ATO Website - Actual Cost Method</t>
  </si>
  <si>
    <t>Occupancy Expenses</t>
  </si>
  <si>
    <t>You can also claim occupancy expenses if part of the home is used for income producing purposes and has the character of a "place of business"</t>
  </si>
  <si>
    <t>Factors that may indicate that an area has the character of a "place of business" include:</t>
  </si>
  <si>
    <t>- the area is clearly identifiable as a place of business</t>
  </si>
  <si>
    <t>- the area is not readily suitable or adaptable for use for private or domestic purposes in association with the home generally</t>
  </si>
  <si>
    <t>- the area is used exclusively or almost exclusively for carrying on a business</t>
  </si>
  <si>
    <t>- the area is used regularly for visits of clients or customers</t>
  </si>
  <si>
    <t>See TR 93/30 "Income Tax: Deductions for Home Office Expenses"</t>
  </si>
  <si>
    <t>Interest on loans</t>
  </si>
  <si>
    <t>Council rates</t>
  </si>
  <si>
    <t>Water rates</t>
  </si>
  <si>
    <t>Land taxes</t>
  </si>
  <si>
    <t>House insurance premiums</t>
  </si>
  <si>
    <t>Repairs that relate to the house as a whole (not to a specific part of the house)</t>
  </si>
  <si>
    <t>Other occupancy expenses</t>
  </si>
  <si>
    <t>Total occupancy expenses</t>
  </si>
  <si>
    <t>Number of weeks of the year the above expenses relate to</t>
  </si>
  <si>
    <t>Number of weeks during the year your home office was a "place of business"</t>
  </si>
  <si>
    <t>Time apportionment</t>
  </si>
  <si>
    <t>Floor area apportionment</t>
  </si>
  <si>
    <t>Home office claim - Occupancy expenses</t>
  </si>
  <si>
    <t>Yes/No</t>
  </si>
  <si>
    <t>ELIGIBILITY CRITERIA:</t>
  </si>
  <si>
    <t>CALCULATION:</t>
  </si>
  <si>
    <t>REFUNDABLE TAX OFFSET</t>
  </si>
  <si>
    <t>Areas to consider:</t>
  </si>
  <si>
    <t>Cash book vs bank statement reconciliation</t>
  </si>
  <si>
    <t>Bank statement vs XPA Ledger reconciliation</t>
  </si>
  <si>
    <t>Cash book</t>
  </si>
  <si>
    <t>Opening Bank statement balance</t>
  </si>
  <si>
    <t>Bank statement closing balance</t>
  </si>
  <si>
    <t>XPA Ledger closing balance</t>
  </si>
  <si>
    <t>Reconciliation variance</t>
  </si>
  <si>
    <t>Closing cash book balance</t>
  </si>
  <si>
    <t>Bank Statement</t>
  </si>
  <si>
    <t>Closing balance as per bank statement</t>
  </si>
  <si>
    <t>Cash book vs. Bank statement variance</t>
  </si>
  <si>
    <t>Net movement</t>
  </si>
  <si>
    <t>Account code</t>
  </si>
  <si>
    <t>Add inflow</t>
  </si>
  <si>
    <t>Less outflow</t>
  </si>
  <si>
    <t>INFLOW</t>
  </si>
  <si>
    <t>OUTFLOW</t>
  </si>
  <si>
    <t>Inflow</t>
  </si>
  <si>
    <t>Outflow</t>
  </si>
  <si>
    <t>Gross</t>
  </si>
  <si>
    <t>Reportable value</t>
  </si>
  <si>
    <t>RECONCILIATION SUMMARY:</t>
  </si>
  <si>
    <t>CASH BOOK SUMMARY:</t>
  </si>
  <si>
    <r>
      <t xml:space="preserve">You can </t>
    </r>
    <r>
      <rPr>
        <b/>
        <u/>
        <sz val="10"/>
        <color theme="1"/>
        <rFont val="Arial"/>
        <family val="2"/>
      </rPr>
      <t>choose</t>
    </r>
    <r>
      <rPr>
        <b/>
        <sz val="10"/>
        <color theme="1"/>
        <rFont val="Arial"/>
        <family val="2"/>
      </rPr>
      <t xml:space="preserve"> to claim the tax offset if you:</t>
    </r>
  </si>
  <si>
    <t>Eligible/Not eligible?</t>
  </si>
  <si>
    <t>Account name</t>
  </si>
  <si>
    <t>A</t>
  </si>
  <si>
    <t>J</t>
  </si>
  <si>
    <t>Item reference number:</t>
  </si>
  <si>
    <t>Column reference number</t>
  </si>
  <si>
    <t>X</t>
  </si>
  <si>
    <t>Ref0</t>
  </si>
  <si>
    <t>Sense Check</t>
  </si>
  <si>
    <t>FORMULAS</t>
  </si>
  <si>
    <t>GST Drop down:</t>
  </si>
  <si>
    <t>MOV</t>
  </si>
  <si>
    <t>XPA LEDGER JOURNAL IMPORT TEMPLATE:</t>
  </si>
  <si>
    <t>XPA Ledger Journals - Import table</t>
  </si>
  <si>
    <t>Was the asset first held on or after 12 March 2020 and installed ready for use by 30 June 2021?</t>
  </si>
  <si>
    <t>Accelerated depreciation</t>
  </si>
  <si>
    <t>Was the asset installed ready for use by 30 June 2021?</t>
  </si>
  <si>
    <t>Did the asset cost less than $150,000?</t>
  </si>
  <si>
    <t>Was the asset installed ready for use by 31 December 2020?</t>
  </si>
  <si>
    <t>Is aggregated turnover less than $500 million?</t>
  </si>
  <si>
    <t>Instant asset write off</t>
  </si>
  <si>
    <t>Complete the following checklist if the taxpayer is ineligible for temporary full expensing</t>
  </si>
  <si>
    <t>Is the asset located and used in Australia?</t>
  </si>
  <si>
    <t>Was the asset on hand at the end of the income year (i.e. the asset has not been sold)?</t>
  </si>
  <si>
    <t>Is aggregated turnover less than $10 million?</t>
  </si>
  <si>
    <t>Was the asset committed to after 7.30pm AEDT on 6 October 2020?</t>
  </si>
  <si>
    <t>Is aggregated turnover less than $50 million?</t>
  </si>
  <si>
    <t>Did it have more than $100 million invested in tangible depreciating assets in the 2016-17 to 2018-19 years?</t>
  </si>
  <si>
    <t>Did it have less than $5 billion in total statutory and ordinary income excluding NANE in either the 2018-19 or 2019-20 years?</t>
  </si>
  <si>
    <t>Is the taxpayer a corporate tax entity?</t>
  </si>
  <si>
    <t>Is aggregated turnover less than $5 billion?</t>
  </si>
  <si>
    <t>Does the taxpayer carry on a business?</t>
  </si>
  <si>
    <t>Temporary full expensing</t>
  </si>
  <si>
    <r>
      <t xml:space="preserve">The worksheet is designed to assist you in determining whether a business entity is entitled to claim a full depreciation deduction for depreciable assets acquired this year under the </t>
    </r>
    <r>
      <rPr>
        <b/>
        <sz val="11"/>
        <color theme="1"/>
        <rFont val="Calibri"/>
        <family val="2"/>
        <scheme val="minor"/>
      </rPr>
      <t>TEMPORARY FULL EXPENSING</t>
    </r>
    <r>
      <rPr>
        <sz val="10"/>
        <rFont val="Arial"/>
        <family val="2"/>
      </rPr>
      <t xml:space="preserve"> rules, or whether it is entitled to claim a depreciation deduction under the </t>
    </r>
    <r>
      <rPr>
        <b/>
        <sz val="11"/>
        <color theme="1"/>
        <rFont val="Calibri"/>
        <family val="2"/>
        <scheme val="minor"/>
      </rPr>
      <t>TEMPORARY ACCELERATED DEPRECIATION</t>
    </r>
    <r>
      <rPr>
        <sz val="10"/>
        <rFont val="Arial"/>
        <family val="2"/>
      </rPr>
      <t xml:space="preserve"> rules.
The eligibility rules are complex and require careful consideration. This worksheet is a designed only as tool to assist with decision making. You should seek specialist tax advice if you are unsure about the correct application of the rules.</t>
    </r>
  </si>
  <si>
    <r>
      <t>Floor area of your house (m</t>
    </r>
    <r>
      <rPr>
        <vertAlign val="superscript"/>
        <sz val="10"/>
        <color theme="1"/>
        <rFont val="Arial"/>
        <family val="2"/>
      </rPr>
      <t>2</t>
    </r>
    <r>
      <rPr>
        <sz val="10"/>
        <rFont val="Arial"/>
        <family val="2"/>
      </rPr>
      <t>)</t>
    </r>
  </si>
  <si>
    <r>
      <t>Floor area of your home office (m</t>
    </r>
    <r>
      <rPr>
        <vertAlign val="superscript"/>
        <sz val="10"/>
        <color theme="1"/>
        <rFont val="Arial"/>
        <family val="2"/>
      </rPr>
      <t>2</t>
    </r>
    <r>
      <rPr>
        <sz val="10"/>
        <rFont val="Arial"/>
        <family val="2"/>
      </rPr>
      <t>)</t>
    </r>
  </si>
  <si>
    <t>Year end</t>
  </si>
  <si>
    <t>Reduction in company tax rate</t>
  </si>
  <si>
    <t>Gain on Disposal of Assets (not in pool)</t>
  </si>
  <si>
    <t>Depreciation on opening pool balance</t>
  </si>
  <si>
    <t>Threshold date (Date effective, going forward)</t>
  </si>
  <si>
    <t>Instant asset write off threshold</t>
  </si>
  <si>
    <t>Note: This workpaper is only applicable for small business entities with a turnover of &lt;$10M</t>
  </si>
  <si>
    <t>SBE - Gain on negative general pool balance</t>
  </si>
  <si>
    <t>Depreciation at 30% on Opening Balance</t>
  </si>
  <si>
    <t xml:space="preserve">Depreciation at 15% on the additions to the Pool Balance </t>
  </si>
  <si>
    <t>Taxable purpose less Immediate Write off</t>
  </si>
  <si>
    <t>Accelerated Depreciation 
(57.5% &amp; 15%) Check</t>
  </si>
  <si>
    <r>
      <t xml:space="preserve">Accelerated Depreciation at 57.5% on </t>
    </r>
    <r>
      <rPr>
        <b/>
        <u/>
        <sz val="10"/>
        <rFont val="Arial"/>
        <family val="2"/>
      </rPr>
      <t>new</t>
    </r>
    <r>
      <rPr>
        <sz val="10"/>
        <rFont val="Arial"/>
        <family val="2"/>
      </rPr>
      <t xml:space="preserve"> assets (cost &gt; $150k) acquired between 12/3/2020 to 6/10/2020</t>
    </r>
  </si>
  <si>
    <t>Excess Private Health Insurance Rebate</t>
  </si>
  <si>
    <t>Taxable income less Net Capital Gains</t>
  </si>
  <si>
    <t>- Superannuation</t>
  </si>
  <si>
    <t>TOTAL DEDUCTIONS</t>
  </si>
  <si>
    <t>Pool balance write off at end of year</t>
  </si>
  <si>
    <t>2019/20 tax loss carried back</t>
  </si>
  <si>
    <t>2020/21 tax loss carried back</t>
  </si>
  <si>
    <t>2021/22 tax loss carried back</t>
  </si>
  <si>
    <t>Gross tax liability (Rounded down)</t>
  </si>
  <si>
    <t>Loss carry back tax offset</t>
  </si>
  <si>
    <t>Maximum tax losses that can be carried back</t>
  </si>
  <si>
    <t xml:space="preserve">Tax Losses Applied </t>
  </si>
  <si>
    <t>Tax losses utilised from Loss Carry Back Offset</t>
  </si>
  <si>
    <t xml:space="preserve"> SBE - Proceeds from written off assets</t>
  </si>
  <si>
    <t xml:space="preserve"> SBE - Gain on negative general pool balance</t>
  </si>
  <si>
    <t>Each dependent child</t>
  </si>
  <si>
    <t>CGT cap amount</t>
  </si>
  <si>
    <t>Franking credits available at year end</t>
  </si>
  <si>
    <t>Month / Year of start</t>
  </si>
  <si>
    <t>This method only applies from 1 March 2020 to 30 June 2022.</t>
  </si>
  <si>
    <t>Have you written off items costing less than $150,000 that were installed and ready for use by 30 June 2022? Or, if the asset was acquired from 7.30pm AEDT on 6 October 2020, is the asset eligible to be fully written off under the temporary full expensing rules?</t>
  </si>
  <si>
    <t>Base Tax</t>
  </si>
  <si>
    <t>Working Holiday Maker</t>
  </si>
  <si>
    <t>Minors - Residents</t>
  </si>
  <si>
    <t>Minors - Non-Residents</t>
  </si>
  <si>
    <t>Base Rate Entity</t>
  </si>
  <si>
    <t>Tax Rate</t>
  </si>
  <si>
    <t>Repayment Income</t>
  </si>
  <si>
    <t>Repayment Rate</t>
  </si>
  <si>
    <t>Medicare levy</t>
  </si>
  <si>
    <t>Shade-in rate</t>
  </si>
  <si>
    <t>Reduction factor (families)</t>
  </si>
  <si>
    <t>Non-SAPTO</t>
  </si>
  <si>
    <t>Lower Threshold</t>
  </si>
  <si>
    <t>Upper Threshold</t>
  </si>
  <si>
    <t>Families</t>
  </si>
  <si>
    <t>Nil children</t>
  </si>
  <si>
    <t>Income Thresholds</t>
  </si>
  <si>
    <t>Low-income threshold for families</t>
  </si>
  <si>
    <t>Threshold</t>
  </si>
  <si>
    <t>Tier</t>
  </si>
  <si>
    <t>Base Tier</t>
  </si>
  <si>
    <t>Offset</t>
  </si>
  <si>
    <t>Taxpayer Status</t>
  </si>
  <si>
    <t>Maximum Rebate Amount</t>
  </si>
  <si>
    <t>Shade-Out Threshold</t>
  </si>
  <si>
    <t>Cut-Off Threshold</t>
  </si>
  <si>
    <t>Member of a couple (each)</t>
  </si>
  <si>
    <t>Member of a couple separated by illness (each)</t>
  </si>
  <si>
    <t>SAPTO Shade-Out Rate</t>
  </si>
  <si>
    <t>Tax-Free Threshold</t>
  </si>
  <si>
    <t>LITO</t>
  </si>
  <si>
    <t>Lowest Marginal Tax Rate</t>
  </si>
  <si>
    <t>Rate of offset</t>
  </si>
  <si>
    <t>Maximum offset</t>
  </si>
  <si>
    <t>&lt;Notes&gt;</t>
  </si>
  <si>
    <t>Meeting Agenda</t>
  </si>
  <si>
    <t>Date/Time:</t>
  </si>
  <si>
    <t>Attendees:</t>
  </si>
  <si>
    <t>Topic</t>
  </si>
  <si>
    <t xml:space="preserve">Notes: </t>
  </si>
  <si>
    <t>Confirmed Outcome</t>
  </si>
  <si>
    <t>Check</t>
  </si>
  <si>
    <t>DSJ</t>
  </si>
  <si>
    <t>PERSON 1</t>
  </si>
  <si>
    <t>PERSON 2</t>
  </si>
  <si>
    <t>PERSON 3</t>
  </si>
  <si>
    <t>PERSON 4</t>
  </si>
  <si>
    <t>PERSON 5</t>
  </si>
  <si>
    <t>PERSON 6</t>
  </si>
  <si>
    <t>PERSON 7</t>
  </si>
  <si>
    <t>PERSON 8</t>
  </si>
  <si>
    <t>PERSON 9</t>
  </si>
  <si>
    <t>PERSON 10</t>
  </si>
  <si>
    <t>COMPANY 2</t>
  </si>
  <si>
    <t>Data lists</t>
  </si>
  <si>
    <t>Residency</t>
  </si>
  <si>
    <t>Date of birth</t>
  </si>
  <si>
    <t>Age at EOFY</t>
  </si>
  <si>
    <t>Non-resident</t>
  </si>
  <si>
    <t>Client group name</t>
  </si>
  <si>
    <t>Working holiday maker</t>
  </si>
  <si>
    <t>Link spouse</t>
  </si>
  <si>
    <t>Number of dependent children</t>
  </si>
  <si>
    <t>Medicare levy exemption category?</t>
  </si>
  <si>
    <t>Eligible for SAPTO?</t>
  </si>
  <si>
    <t>Spouse separated by illness? (SAPTO)</t>
  </si>
  <si>
    <t>Carried forward tax losses</t>
  </si>
  <si>
    <t>Small business/base rate entity?</t>
  </si>
  <si>
    <t>Income averaging</t>
  </si>
  <si>
    <t>Income test data</t>
  </si>
  <si>
    <t>Reportable fringe benefits</t>
  </si>
  <si>
    <t>Tax-free government pensions</t>
  </si>
  <si>
    <t>Target foreign income</t>
  </si>
  <si>
    <t>Net financial investment loss</t>
  </si>
  <si>
    <t>Net rental property loss</t>
  </si>
  <si>
    <t>Child support payments</t>
  </si>
  <si>
    <t>First home saver super released amount</t>
  </si>
  <si>
    <t>Amounts on which family trust distribution tax has been paid</t>
  </si>
  <si>
    <t>Assessable income</t>
  </si>
  <si>
    <t>Government pensions</t>
  </si>
  <si>
    <t>Unfranked dividends</t>
  </si>
  <si>
    <t>Franked dividends</t>
  </si>
  <si>
    <t>Farm management deposits</t>
  </si>
  <si>
    <t>Net capital gains</t>
  </si>
  <si>
    <t>Net rent</t>
  </si>
  <si>
    <t>Distributions and business income</t>
  </si>
  <si>
    <t>To Distribute</t>
  </si>
  <si>
    <t>Partnership distributions</t>
  </si>
  <si>
    <t>Trust distributions</t>
  </si>
  <si>
    <t>Unfranked income</t>
  </si>
  <si>
    <t>Net franked income</t>
  </si>
  <si>
    <t>Net business income (Non-PP)</t>
  </si>
  <si>
    <t>Foreign income</t>
  </si>
  <si>
    <t>Excepted income (Minors)</t>
  </si>
  <si>
    <t>Superannuation contributions income</t>
  </si>
  <si>
    <t>Total assessable income</t>
  </si>
  <si>
    <t>Car expenses</t>
  </si>
  <si>
    <t>Uniform expenses</t>
  </si>
  <si>
    <t>Self-education expenses</t>
  </si>
  <si>
    <t>Other work-related expenses</t>
  </si>
  <si>
    <t>Interest and dividend deductions</t>
  </si>
  <si>
    <t>Cost of managing tax affairs</t>
  </si>
  <si>
    <t>Excepted income deductions (Minors)</t>
  </si>
  <si>
    <t>Eligible income deductions (Minors)</t>
  </si>
  <si>
    <t>Total deductions</t>
  </si>
  <si>
    <t>Less: Carried forward tax losses</t>
  </si>
  <si>
    <t>Tax on taxable income</t>
  </si>
  <si>
    <t>Tax on eligible income (Minors)</t>
  </si>
  <si>
    <t>Gross tax payable</t>
  </si>
  <si>
    <t>Net excepted income (Minors)</t>
  </si>
  <si>
    <t>Net eligible income (Minors)</t>
  </si>
  <si>
    <t>Less: Non-refundable tax offsets</t>
  </si>
  <si>
    <t>Single or family?</t>
  </si>
  <si>
    <t>Spouse separated by illness?</t>
  </si>
  <si>
    <t>Rebate income</t>
  </si>
  <si>
    <t>SAPTO rebate (singles)</t>
  </si>
  <si>
    <t>Spouse rebate income</t>
  </si>
  <si>
    <t>Combined rebate income</t>
  </si>
  <si>
    <t>Spouse deemed income (half combined rebate income)</t>
  </si>
  <si>
    <t>Applicable couple shade-out threshold</t>
  </si>
  <si>
    <t>Applicable couple cut-off threshold</t>
  </si>
  <si>
    <t>Applicable couple maximum rebate</t>
  </si>
  <si>
    <t>Spouse rebate income below cut-off threshold?</t>
  </si>
  <si>
    <t>Rebate income exceed cut-off threshold?</t>
  </si>
  <si>
    <t>Relevant threshold</t>
  </si>
  <si>
    <t>SAPTO rebate (couples)</t>
  </si>
  <si>
    <t>Small business tax offset</t>
  </si>
  <si>
    <t>Primary production averaging rebate</t>
  </si>
  <si>
    <t>Non-primary production income</t>
  </si>
  <si>
    <t>Primary production tax offset/(complementary tax)</t>
  </si>
  <si>
    <t>Other non-refundable tax offsets</t>
  </si>
  <si>
    <t>Tax payable after non-refundable offsets</t>
  </si>
  <si>
    <t>Medicare levy surcharge</t>
  </si>
  <si>
    <t>Exempt from Medicare levy?</t>
  </si>
  <si>
    <t>Apply SAPTO low-income threshold?</t>
  </si>
  <si>
    <t>Applicable lower-income threshold (singles)</t>
  </si>
  <si>
    <t>Applicable upper-income threshold (singles)</t>
  </si>
  <si>
    <t>Applicable lower-income threshold (families)</t>
  </si>
  <si>
    <t>Applicable upper-income threshold (families)</t>
  </si>
  <si>
    <t>Reduction amount (when one spouse is below lower-income threshold)</t>
  </si>
  <si>
    <t>Reduction amount (when one spouse exceeds upper-income threshold and the other is between the lower and upper-income thresholds)</t>
  </si>
  <si>
    <t>Apportionment of reduction amount</t>
  </si>
  <si>
    <t>Medicare levy otherwise payable</t>
  </si>
  <si>
    <t>Excess reduction amount</t>
  </si>
  <si>
    <t>Net reduction amount</t>
  </si>
  <si>
    <t>Income for Medicare levy purposes</t>
  </si>
  <si>
    <t>Family income</t>
  </si>
  <si>
    <t>Income for Medicare levy surcharge purposes</t>
  </si>
  <si>
    <t>Family income for Medicare levy surcharge</t>
  </si>
  <si>
    <t>HELP/TSL repayment</t>
  </si>
  <si>
    <t>Study and training support loan repayment income</t>
  </si>
  <si>
    <t>Excess private health rebate payable/(refund)</t>
  </si>
  <si>
    <t>Other amounts payable</t>
  </si>
  <si>
    <t>Less: Refundable tax offsets</t>
  </si>
  <si>
    <t>PAYG withholding tax</t>
  </si>
  <si>
    <t>TFN credits</t>
  </si>
  <si>
    <t>Other refundable tax offsets</t>
  </si>
  <si>
    <t>Net tax payable/(refundable)</t>
  </si>
  <si>
    <t>Group summary</t>
  </si>
  <si>
    <t>Group assessable income</t>
  </si>
  <si>
    <t>Group deductions</t>
  </si>
  <si>
    <t>Group taxable income</t>
  </si>
  <si>
    <t>Gross tax liability</t>
  </si>
  <si>
    <t>Comparatives</t>
  </si>
  <si>
    <t>https://jira.findex.com.au/servicedesk/customer/portal/25/group/565</t>
  </si>
  <si>
    <t>2022.04.28</t>
  </si>
  <si>
    <t>Temporary Full Expensing / Temporary Accelerated Depreciation Decision Checklist - 2021 to 2023</t>
  </si>
  <si>
    <t>Did the taxpayer start to hold the asset at or after 7.30pm AEDT on 6 October 2020 and before 1 July 2023?</t>
  </si>
  <si>
    <t>Did the taxpayer start to use the asset, or have it installed ready for use, before 1 July 2023?</t>
  </si>
  <si>
    <t>Is aggregated turnover less than $10 million and has the taxpayer elected to pool their assets under the SBE general pool?</t>
  </si>
  <si>
    <t>COMPARATIVE ANALYSIS</t>
  </si>
  <si>
    <t>INCOME TAX RETURN SUMMARY</t>
  </si>
  <si>
    <t>Ownership Percentage:</t>
  </si>
  <si>
    <t>Owner Name:</t>
  </si>
  <si>
    <t>&lt;Name&gt;</t>
  </si>
  <si>
    <t>MINOR 1</t>
  </si>
  <si>
    <t>MINOR 2</t>
  </si>
  <si>
    <t>MINOR 3</t>
  </si>
  <si>
    <t>MINOR 4</t>
  </si>
  <si>
    <t>Version:</t>
  </si>
  <si>
    <t>Acc Code:</t>
  </si>
  <si>
    <t>VERSION:</t>
  </si>
  <si>
    <t>PREVIOUS VERSION:</t>
  </si>
  <si>
    <t>Revised Fixed Rate Method (From 1 July 2022)</t>
  </si>
  <si>
    <t>Depreciation - office furniture and computer equipment</t>
  </si>
  <si>
    <t>Cleaning (only if you have a dedicated home office area)</t>
  </si>
  <si>
    <t>Exclusions:</t>
  </si>
  <si>
    <t>When using the revised fixed rate method, you cannot separately claim the following expenses:</t>
  </si>
  <si>
    <t>- Electricity and gas</t>
  </si>
  <si>
    <t>- Phone and internet</t>
  </si>
  <si>
    <t>- Stationery</t>
  </si>
  <si>
    <t>- Computer consumables</t>
  </si>
  <si>
    <t>PCG 2023/1</t>
  </si>
  <si>
    <t>Fixed Rate Method (For periods from 1 July 2018 to 30 June 2022)</t>
  </si>
  <si>
    <t>Shortcut Method (COVID-19) (For periods 1 March 2020 to 30 June 2022)</t>
  </si>
  <si>
    <t>This is an all-inclusive rate.</t>
  </si>
  <si>
    <t>2023/04</t>
  </si>
  <si>
    <t>Super Guarantee Rate</t>
  </si>
  <si>
    <t>Motor Vehicle - Cents per k/m rates</t>
  </si>
  <si>
    <t>Superannuation Contribution Caps</t>
  </si>
  <si>
    <t>Non-concessional contribution cap</t>
  </si>
  <si>
    <t>Does the taxpayer have an SBE general pool balance at 30 June 2021, 30 June 2022 and 30 June 2023?</t>
  </si>
  <si>
    <t>Residency status</t>
  </si>
  <si>
    <t>Note: Enter details in coloured boxes on all workpapers and hide all worksheets that are not relevant to the client</t>
  </si>
  <si>
    <t>Net income tax payable/(refundable)</t>
  </si>
  <si>
    <t>Super lump sum taxed elements with a zero tax rate</t>
  </si>
  <si>
    <t>Access Findex Playbook for all available tax planning resources:</t>
  </si>
  <si>
    <t>To suggest improvements to the workpapers please raise a JIRA ticket via the BPAT dashboard:</t>
  </si>
  <si>
    <t>Farm management withdrawals</t>
  </si>
  <si>
    <t>FBT Year End:</t>
  </si>
  <si>
    <t>Reportable employer superannuation</t>
  </si>
  <si>
    <t>Add: Medicare levy and additional taxes</t>
  </si>
  <si>
    <t>Less: PAYG instalments</t>
  </si>
  <si>
    <t>2022/23</t>
  </si>
  <si>
    <t>2021/23 tax loss carried back</t>
  </si>
  <si>
    <t>Franking account balance as at 30/6/2023</t>
  </si>
  <si>
    <t>https://playbook.findex.com.au/value-add/tax-planning-au</t>
  </si>
  <si>
    <t>2023 FBT Rates</t>
  </si>
  <si>
    <t>Main Residence</t>
  </si>
  <si>
    <t>Tax Planning Summary - Avging and Non-Avging</t>
  </si>
  <si>
    <t>Averaging income for current year (2022/23)</t>
  </si>
  <si>
    <t>Low-income thresholds</t>
  </si>
  <si>
    <t>This Company</t>
  </si>
  <si>
    <t>&lt;Deduction 1&gt;</t>
  </si>
  <si>
    <t>Family?</t>
  </si>
  <si>
    <t>&lt;Indiv 1&gt;</t>
  </si>
  <si>
    <t>&lt;Indiv 2&gt;</t>
  </si>
  <si>
    <t>&lt;Indiv 3&gt;</t>
  </si>
  <si>
    <t>&lt;Indiv 4&gt;</t>
  </si>
  <si>
    <t>&lt;Indiv 5&gt;</t>
  </si>
  <si>
    <t>&lt;Indiv 6&gt;</t>
  </si>
  <si>
    <t>HIDE</t>
  </si>
  <si>
    <t>SUM CHECK</t>
  </si>
  <si>
    <t>Input Info</t>
  </si>
  <si>
    <t>TAX PLANNING</t>
  </si>
  <si>
    <t>Tax Planning Summary</t>
  </si>
  <si>
    <t>Livestock Estimate</t>
  </si>
  <si>
    <t>Year End Planning Checklist</t>
  </si>
  <si>
    <t>Recommendations and Ideas</t>
  </si>
  <si>
    <t>Client Cover Sheet</t>
  </si>
  <si>
    <t>TAX</t>
  </si>
  <si>
    <t>Trust Streaming</t>
  </si>
  <si>
    <t>DEPRECIATION</t>
  </si>
  <si>
    <t>SBE Depreciation</t>
  </si>
  <si>
    <t>Temporary Full Expensing Checklist</t>
  </si>
  <si>
    <t>Low Value Pool Depreciation</t>
  </si>
  <si>
    <t>Capital Works Deductions</t>
  </si>
  <si>
    <t>Trade Debtors</t>
  </si>
  <si>
    <t>Bank Reconciliation</t>
  </si>
  <si>
    <t>Trading Stock</t>
  </si>
  <si>
    <t>Division 7A Loan Calculator</t>
  </si>
  <si>
    <t>Trade Creditors</t>
  </si>
  <si>
    <t>Interest Calculation (Irregular Payments)</t>
  </si>
  <si>
    <t>Inter-Entity Loan Matrix</t>
  </si>
  <si>
    <t>Total Debt</t>
  </si>
  <si>
    <t>PRIMARY PRODUCTION</t>
  </si>
  <si>
    <t>Forced Disposal of Livestock (s 385-105)</t>
  </si>
  <si>
    <t>Forced Disposal of Livestock (s 385-110)</t>
  </si>
  <si>
    <t>Water Improvements Write-Off</t>
  </si>
  <si>
    <t>Mains Electricity Write-Off</t>
  </si>
  <si>
    <t>AWB Loans</t>
  </si>
  <si>
    <t>Farm Income - Split into PP and Non-PP Income</t>
  </si>
  <si>
    <t>INCOME AND EXPENSES</t>
  </si>
  <si>
    <t>Cash Book Summary</t>
  </si>
  <si>
    <t>Profession, Trade or Business Income &amp; Deduction Schedule</t>
  </si>
  <si>
    <t>Car FBT</t>
  </si>
  <si>
    <t>OTHER</t>
  </si>
  <si>
    <t>How Are We Doing?</t>
  </si>
  <si>
    <t>Template Workpaper</t>
  </si>
  <si>
    <t>INPUTS AND RATES</t>
  </si>
  <si>
    <t>Wages Reconcilation</t>
  </si>
  <si>
    <t>Hire Purchase Loan Calculator</t>
  </si>
  <si>
    <t>Hire Purchase Summary Schedule (Consolidated)</t>
  </si>
  <si>
    <t>Meeting agenda</t>
  </si>
  <si>
    <t>Loss Carry Back</t>
  </si>
  <si>
    <t>Temp Full Expense Checklist</t>
  </si>
  <si>
    <t>Home office</t>
  </si>
  <si>
    <t>Template workpaper</t>
  </si>
  <si>
    <t>Show (S) / 
Hide (H)</t>
  </si>
  <si>
    <t>Division 7A</t>
  </si>
  <si>
    <t>Back to WP Index</t>
  </si>
  <si>
    <t>Go to WP Index</t>
  </si>
  <si>
    <t>Tax payable after Medicare levy</t>
  </si>
  <si>
    <t>Tax payable after refundable tax offsets</t>
  </si>
  <si>
    <t>TOTAL PROFIT</t>
  </si>
  <si>
    <t>APS</t>
  </si>
  <si>
    <t>Borrowing Costs (Non-Rolling)</t>
  </si>
  <si>
    <t>Blackhole Expenses (Non-Rolling)</t>
  </si>
  <si>
    <t>Capital Asset Schedule (Non-Rolling)</t>
  </si>
  <si>
    <t>Property Name</t>
  </si>
  <si>
    <t>Purchase Price</t>
  </si>
  <si>
    <t>Legals</t>
  </si>
  <si>
    <t>Managed Funds</t>
  </si>
  <si>
    <t xml:space="preserve">Gross Capital Gain </t>
  </si>
  <si>
    <t>As per Managed Fund</t>
  </si>
  <si>
    <t>WORKBOOK VERSION 2023.06</t>
  </si>
  <si>
    <t>Apply? (Y/N)</t>
  </si>
  <si>
    <t>Blackhole Expenses and Intangibles (Non-Rolling)</t>
  </si>
  <si>
    <t>Borrowing Costs Amortisation (Non-Rolling)</t>
  </si>
  <si>
    <t>INPUT INFO</t>
  </si>
  <si>
    <t>Small Business Technology Investment Boost (20%)</t>
  </si>
  <si>
    <t>Small Business Skills and Training Boost (20%)</t>
  </si>
  <si>
    <t>Bonus Deduction (20%)</t>
  </si>
  <si>
    <t>Eligible Expenditure (Max $100k per Year)</t>
  </si>
  <si>
    <t>Business Use %</t>
  </si>
  <si>
    <t>1 July 2022 to 30 June 2023</t>
  </si>
  <si>
    <t>7:30pm AEDT 29 March 2022 to 30 June 2022</t>
  </si>
  <si>
    <t>Expense Type</t>
  </si>
  <si>
    <t>Refer to the ATO website for further details</t>
  </si>
  <si>
    <t>- Expenses that form part of your trading stock costs</t>
  </si>
  <si>
    <t>- Training or education costs</t>
  </si>
  <si>
    <t>- Financing costs</t>
  </si>
  <si>
    <t>- Capital works costs</t>
  </si>
  <si>
    <t>- Salary and wages</t>
  </si>
  <si>
    <t>INELIGIBLE EXPENSES:</t>
  </si>
  <si>
    <t>- Cyber security – cyber security systems, backup management and monitoring services</t>
  </si>
  <si>
    <t>- E-commerce – goods or services supporting digitally ordered or platform-enabled online transactions, portable payment devices, digital inventory management, subscriptions to cloud-based services and advice on digital operations or digitising operations, such as advice about digital tools to support business continuity and growth</t>
  </si>
  <si>
    <t>- Digital media and marketing – audio and visual content that can be created, accessed, stored or viewed on digital devices, including web page design</t>
  </si>
  <si>
    <t>- Digital enabling items – computer and telecommunications hardware and equipment, software, internet costs, systems and services that form and facilitate the use of computer networks</t>
  </si>
  <si>
    <t>ELIGIBLE EXPENSES:</t>
  </si>
  <si>
    <t>- The expenditure must be incurred between 7:30pm AEDT 29 March 2022 and 30 June 2023</t>
  </si>
  <si>
    <t>- If the expenditure if on a depreciating asset, the asset must be first used or installed ready for use for a taxable purpose by 30 June 2023</t>
  </si>
  <si>
    <t>- Expenditure must be deductible for your business under taxation law</t>
  </si>
  <si>
    <t>1 July 2023 to 30 June 2024</t>
  </si>
  <si>
    <t>- Training of non-employee business owners such as sole traders, partners in a partnership or independent contractors</t>
  </si>
  <si>
    <t>- Training expenses can include incidental costs related to the provision of training, provided they are charged by the registered training provider, such as the cost of books or equipment needed for the course.</t>
  </si>
  <si>
    <t>- Expenditure for the provision of training to one or more employees of your business. The training provider must meet certain registration criteria for the bonus deduction.</t>
  </si>
  <si>
    <t>TEQSA National Register</t>
  </si>
  <si>
    <t>Training.gov.au</t>
  </si>
  <si>
    <t>CHECK FOR REGISTERED PROVIDERS:</t>
  </si>
  <si>
    <t>- Where the training is a component of a larger program or course of training, the enrolment or arrangement relating to the relevant expenditure must be made or entered into at or after 7:30pm AEDT 29 March 2022</t>
  </si>
  <si>
    <t>d) incurred between 7:30pm AEDT 29 March 2022 and 30 June 2024</t>
  </si>
  <si>
    <t>c) already deductible for your business under taxation law</t>
  </si>
  <si>
    <t>a) for the provision of training to employees of your business, either in-person in Australia, or online</t>
  </si>
  <si>
    <t>- The expenditure must be:</t>
  </si>
  <si>
    <t>b) charged, directly or indirectly, by a registered external training provider that is not you or an associate of yours</t>
  </si>
  <si>
    <t>- Costs added on an invoice by an intermediary on top of the cost of training, such as commissions or fees, as they are not charged directly or indirectly by the registered training provider</t>
  </si>
  <si>
    <t>- Be a small business entity for the year the expenditure is incurred (i.e. carry on a business and have aggregated turnover &lt; $50 million)</t>
  </si>
  <si>
    <t>Hours per day</t>
  </si>
  <si>
    <t>Days per week</t>
  </si>
  <si>
    <t>Number of weeks</t>
  </si>
  <si>
    <t>Section 100A - Beneficiary Notification of Appointment Letters</t>
  </si>
  <si>
    <r>
      <t xml:space="preserve">One of the requirements for an arrangement to be in the "green zone" for section 100A is that trustees must notify beneficiaries of their entitlement to trust income </t>
    </r>
    <r>
      <rPr>
        <b/>
        <sz val="10"/>
        <color theme="1"/>
        <rFont val="Arial"/>
        <family val="2"/>
      </rPr>
      <t xml:space="preserve">by the earlier of the trustee's due date and actual date of lodgement.
</t>
    </r>
    <r>
      <rPr>
        <sz val="10"/>
        <color theme="1"/>
        <rFont val="Arial"/>
        <family val="2"/>
      </rPr>
      <t xml:space="preserve">
Enter the inputs in the green cells below. Each letter will print on a separate page. If you have more than 5 beneficiaries, you should copy the worksheet.
Signed notifications should be retained on file as contemporaneous evidence of a trustee's notification to beneficiaries of their entitlement to trust income, and a beneficiary's intention of how they want their entitlement to be applied.</t>
    </r>
  </si>
  <si>
    <t>Refer to paragraphs 32(i) and 49-52 of PCG 2022/2</t>
  </si>
  <si>
    <t>Year Ending</t>
  </si>
  <si>
    <t>Hide column</t>
  </si>
  <si>
    <t>Trust</t>
  </si>
  <si>
    <t>Trustee(s)</t>
  </si>
  <si>
    <t>Individual Trustee</t>
  </si>
  <si>
    <t>Trustee Type</t>
  </si>
  <si>
    <t>Corporate Trustee</t>
  </si>
  <si>
    <t>Multiple Trustees</t>
  </si>
  <si>
    <t>Surname 1</t>
  </si>
  <si>
    <t>Accounting Distribution 1</t>
  </si>
  <si>
    <t>Surname 2</t>
  </si>
  <si>
    <t>Accounting Distribution 2</t>
  </si>
  <si>
    <t>Surname 3</t>
  </si>
  <si>
    <t>Accounting Distribution 3</t>
  </si>
  <si>
    <t>Surname 4</t>
  </si>
  <si>
    <t>Accounting Distribution 4</t>
  </si>
  <si>
    <t>Surname 5</t>
  </si>
  <si>
    <t>Accounting Distribution 5</t>
  </si>
  <si>
    <t>Notification of appointment</t>
  </si>
  <si>
    <t>Yours sincerely</t>
  </si>
  <si>
    <t>£</t>
  </si>
  <si>
    <t>Pay me the entirety of the Appointment.</t>
  </si>
  <si>
    <t>Pay me so much of the Appointment as is necessary to fund any income tax liability associated with it and hold and apply the remainder for the benefit of the business/activities of the Trust until I call for payment.</t>
  </si>
  <si>
    <t>Hold the Appointment and apply it for the benefit of the business/activities of the Trust until I call for payment.</t>
  </si>
  <si>
    <t>Date:</t>
  </si>
  <si>
    <t>Signed:</t>
  </si>
  <si>
    <t>Total Acc Distribution</t>
  </si>
  <si>
    <t>Distribution Split:</t>
  </si>
  <si>
    <t>Tax liability recouped via tax offset in 2021 tax return</t>
  </si>
  <si>
    <t>Tax liability recouped via tax offset in 2022 tax return</t>
  </si>
  <si>
    <t>Remaining tax liability</t>
  </si>
  <si>
    <t>- had an income tax liability for the 2018/19, 2019/20, 2020/21 and/or 2021/2022 income years</t>
  </si>
  <si>
    <t>- made tax losses in the 2019/20, 2020/21, 2021/22 and/or 2022/23 income years</t>
  </si>
  <si>
    <t>Net Per Accounting Software</t>
  </si>
  <si>
    <t>VARIANCE</t>
  </si>
  <si>
    <t>Stage 3 Tax Cuts Comparison Calculator</t>
  </si>
  <si>
    <t>Tax Payable</t>
  </si>
  <si>
    <t>Annual
Tax Cut</t>
  </si>
  <si>
    <t>Weekly
Tax Cut</t>
  </si>
  <si>
    <t>2024 Tax Rates</t>
  </si>
  <si>
    <t>- The above calculations apply to resident individual taxpayers only.</t>
  </si>
  <si>
    <t>- The calculations do not factor in the Medicare levy or any tax offsets.</t>
  </si>
  <si>
    <t>Stage 3 Tax Cuts</t>
  </si>
  <si>
    <t>Average Rate of Tax</t>
  </si>
  <si>
    <t>Days covered by private health insurance?</t>
  </si>
  <si>
    <t>Days in Period</t>
  </si>
  <si>
    <t>Days not covered by private health insurance</t>
  </si>
  <si>
    <t>Taxable income + reportable fringe benefits + amount on which family trust distributions tax has been paid</t>
  </si>
  <si>
    <t xml:space="preserve">Stage 3 Tax Cuts </t>
  </si>
  <si>
    <t>Stage 3 Tax Cuts (Original Plan)</t>
  </si>
  <si>
    <t>Benefit/(loss) from changes to stage 3 tax cuts</t>
  </si>
  <si>
    <t>2025 Tax Rates - Stage 3 Tax Cuts</t>
  </si>
  <si>
    <t>2025 Tax Rates - Stage 3 Tax Cuts (Original Plan)</t>
  </si>
  <si>
    <t>2024 Income Tax Rates</t>
  </si>
  <si>
    <t>Household Budget</t>
  </si>
  <si>
    <t>Date Prepared:</t>
  </si>
  <si>
    <t>Report Basis</t>
  </si>
  <si>
    <t>Month</t>
  </si>
  <si>
    <t>Your salary and wages (after-tax)</t>
  </si>
  <si>
    <t>Week</t>
  </si>
  <si>
    <t>Your partner's salary and wages (after-tax)</t>
  </si>
  <si>
    <t>Fortnight</t>
  </si>
  <si>
    <t>Bonuses</t>
  </si>
  <si>
    <t>Centrelink benefits</t>
  </si>
  <si>
    <t>Quarter</t>
  </si>
  <si>
    <t>Commissions</t>
  </si>
  <si>
    <t>Triannual</t>
  </si>
  <si>
    <t>Dividends received</t>
  </si>
  <si>
    <t>Half-year</t>
  </si>
  <si>
    <t>Family tax benefit</t>
  </si>
  <si>
    <t>Interest received</t>
  </si>
  <si>
    <t>Other investment income</t>
  </si>
  <si>
    <t>Superannuation income stream</t>
  </si>
  <si>
    <t>Other income</t>
  </si>
  <si>
    <t>Household Expenses</t>
  </si>
  <si>
    <t>Body corporate fees</t>
  </si>
  <si>
    <t>Furniture and applicances</t>
  </si>
  <si>
    <t>Gardening</t>
  </si>
  <si>
    <t>Groceries</t>
  </si>
  <si>
    <t>Office expenses</t>
  </si>
  <si>
    <t>Mortgage repayments</t>
  </si>
  <si>
    <t>Pay TV and streaming services</t>
  </si>
  <si>
    <t>Ambulance membership</t>
  </si>
  <si>
    <t>Building insurance</t>
  </si>
  <si>
    <t>Car insurance</t>
  </si>
  <si>
    <t>Contents insurance</t>
  </si>
  <si>
    <t>Income protection insurance</t>
  </si>
  <si>
    <t>Life insurance</t>
  </si>
  <si>
    <t>TPD insurance</t>
  </si>
  <si>
    <t>Trauma insurance</t>
  </si>
  <si>
    <t>Financial</t>
  </si>
  <si>
    <t>Bank fees</t>
  </si>
  <si>
    <t>Car loan repayments</t>
  </si>
  <si>
    <t>Credit card interest</t>
  </si>
  <si>
    <t>Personal loan repayments</t>
  </si>
  <si>
    <t>Professional memberships</t>
  </si>
  <si>
    <t>Superannuation contributions</t>
  </si>
  <si>
    <t>Savings and Investments</t>
  </si>
  <si>
    <t>Investment purchases</t>
  </si>
  <si>
    <t>Savings - Emergency</t>
  </si>
  <si>
    <t>Savings - General</t>
  </si>
  <si>
    <t>Savings - Holidays</t>
  </si>
  <si>
    <t>Personal Expenses</t>
  </si>
  <si>
    <t>Clothing and shoes</t>
  </si>
  <si>
    <t>Cosmetics</t>
  </si>
  <si>
    <t>Dry cleaning</t>
  </si>
  <si>
    <t>Education and training</t>
  </si>
  <si>
    <t>Gym membership</t>
  </si>
  <si>
    <t>Hair and beauty</t>
  </si>
  <si>
    <t>Jewellery</t>
  </si>
  <si>
    <t>Pet expenses</t>
  </si>
  <si>
    <t>Sports</t>
  </si>
  <si>
    <t>Tools</t>
  </si>
  <si>
    <t>Veterinary expenses</t>
  </si>
  <si>
    <t>Health</t>
  </si>
  <si>
    <t>Dentist</t>
  </si>
  <si>
    <t>Doctors and general medical</t>
  </si>
  <si>
    <t>Optometrist</t>
  </si>
  <si>
    <t>Pharmacy expenses</t>
  </si>
  <si>
    <t>Physiotherapy</t>
  </si>
  <si>
    <t>Private health insurance premiums</t>
  </si>
  <si>
    <t>Entertainment</t>
  </si>
  <si>
    <t>Alcohol</t>
  </si>
  <si>
    <t>Bars and clubs</t>
  </si>
  <si>
    <t>Books</t>
  </si>
  <si>
    <t>Cigarettes</t>
  </si>
  <si>
    <t>Cinema and theatre</t>
  </si>
  <si>
    <t>Gambling</t>
  </si>
  <si>
    <t>Gifts/presents</t>
  </si>
  <si>
    <t>Hobbies</t>
  </si>
  <si>
    <t>Holidays</t>
  </si>
  <si>
    <t>Lunches</t>
  </si>
  <si>
    <t>Music and concerts</t>
  </si>
  <si>
    <t>Newspapers and magazines</t>
  </si>
  <si>
    <t>Restaurants</t>
  </si>
  <si>
    <t>Take-away food</t>
  </si>
  <si>
    <t>Tea and coffee</t>
  </si>
  <si>
    <t>Transport</t>
  </si>
  <si>
    <t>Air fares</t>
  </si>
  <si>
    <t>Bus fares</t>
  </si>
  <si>
    <t>Ferry fares</t>
  </si>
  <si>
    <t>Fines</t>
  </si>
  <si>
    <t>Licence renewal fees</t>
  </si>
  <si>
    <t>Parking</t>
  </si>
  <si>
    <t>Road tolls</t>
  </si>
  <si>
    <t>Taxi fares</t>
  </si>
  <si>
    <t>Train fares</t>
  </si>
  <si>
    <t>Vehicle registration</t>
  </si>
  <si>
    <t>Children</t>
  </si>
  <si>
    <t>Baby products</t>
  </si>
  <si>
    <t>Babysitting</t>
  </si>
  <si>
    <t>Childcare</t>
  </si>
  <si>
    <t>Excursions</t>
  </si>
  <si>
    <t>School books and stationery</t>
  </si>
  <si>
    <t>School fees</t>
  </si>
  <si>
    <t>School uniforms</t>
  </si>
  <si>
    <t>Sports and activities</t>
  </si>
  <si>
    <t>Toys</t>
  </si>
  <si>
    <t>Household Budget Summary</t>
  </si>
  <si>
    <t>Net available tax losses</t>
  </si>
  <si>
    <t>Tax losses previously claimed</t>
  </si>
  <si>
    <t>Financial year ending</t>
  </si>
  <si>
    <t>2024 HELP/TSL Repayment Thresholds</t>
  </si>
  <si>
    <t>2024 Medicare Levy Thresholds</t>
  </si>
  <si>
    <t>2024 Medicare Levy Surcharge</t>
  </si>
  <si>
    <t>2024 Low Income Tax Offset</t>
  </si>
  <si>
    <t>2024 Seniors and Pensioners Tax Offset</t>
  </si>
  <si>
    <t>2024 Small Business Tax Offset</t>
  </si>
  <si>
    <t>2024/03</t>
  </si>
  <si>
    <t xml:space="preserve">Version: </t>
  </si>
  <si>
    <t>Division 293 income</t>
  </si>
  <si>
    <t>Division 293 super contributions</t>
  </si>
  <si>
    <t>Combined income and super contributions</t>
  </si>
  <si>
    <t>Less Division 293 threshold</t>
  </si>
  <si>
    <t>Amount above threshold</t>
  </si>
  <si>
    <t>Taxable super contributions</t>
  </si>
  <si>
    <t>Division 293 tax estimate</t>
  </si>
  <si>
    <t>Employer super contributions</t>
  </si>
  <si>
    <t>Personal super contributions deducted</t>
  </si>
  <si>
    <t>Effective tax rate (Gross tax)</t>
  </si>
  <si>
    <t>Effective tax rate (Gross tax after Medicare)</t>
  </si>
  <si>
    <t>Note: A log book is required to record hours worked</t>
  </si>
  <si>
    <t>from home. ATO no longer accepts estimates.</t>
  </si>
  <si>
    <t>LEGACY WORKPAPERS</t>
  </si>
  <si>
    <t>Payment Date</t>
  </si>
  <si>
    <t>Total payable / (refundable)</t>
  </si>
  <si>
    <t xml:space="preserve">Dates are approximate. Payment due as advised upon the notice of assessment. </t>
  </si>
  <si>
    <t>TAX TIMETABLE</t>
  </si>
  <si>
    <t xml:space="preserve">Estimated Tax Timetable </t>
  </si>
  <si>
    <t>&lt;Date&gt;</t>
  </si>
  <si>
    <t>&lt;Tax obligation&gt;</t>
  </si>
  <si>
    <t>Estimate</t>
  </si>
  <si>
    <t>Paid/
Not paid</t>
  </si>
  <si>
    <t>Actual/
Estimate</t>
  </si>
  <si>
    <t>Not paid</t>
  </si>
  <si>
    <t>Less PAYG Instalments paid to date:</t>
  </si>
  <si>
    <t>PAYG Instalments top up required to meet GDP notional tax</t>
  </si>
  <si>
    <t>End of month dates</t>
  </si>
  <si>
    <t>Sum Check</t>
  </si>
  <si>
    <t>SUMMARY OF TOTAL TAX PAYMENTS YET TO BE PAID (ACTUAL &amp; ESTIMATE) BY MONTH</t>
  </si>
  <si>
    <t>PAYG INSTALMENT TAX TOP UP CALCULATION</t>
  </si>
  <si>
    <t>*Calculation purposes only - to be manually adjusted via the tax timetable</t>
  </si>
  <si>
    <t>Private Use</t>
  </si>
  <si>
    <t>PRIVATE USE</t>
  </si>
  <si>
    <t>Days available/advertised for rent</t>
  </si>
  <si>
    <t>Days in financial year</t>
  </si>
  <si>
    <t>Private use %</t>
  </si>
  <si>
    <t>Deductible %</t>
  </si>
  <si>
    <t>Owner's contribution/Carry forward amounts</t>
  </si>
  <si>
    <t>Reconcile calculation to net rental statement</t>
  </si>
  <si>
    <t>Tax Timetable</t>
  </si>
  <si>
    <t>NAME</t>
  </si>
  <si>
    <t>Group name:</t>
  </si>
  <si>
    <t>SUMMARY OF TAX PAYMENTS BY RELEVANT TAX YEAR</t>
  </si>
  <si>
    <t>2024/06</t>
  </si>
  <si>
    <t>Small business skills and training boost (20% bonus deduction for 2023 &amp; 2024 only)</t>
  </si>
  <si>
    <t>Small business energy incentive (20% bonus deduction for 2024 only)</t>
  </si>
  <si>
    <t>Account name:</t>
  </si>
  <si>
    <t>BSB:</t>
  </si>
  <si>
    <t>Account number:</t>
  </si>
  <si>
    <t>If requesting cash payment, please provide bank account details.</t>
  </si>
  <si>
    <t>APS Content Synch</t>
  </si>
  <si>
    <t>Client</t>
  </si>
  <si>
    <t>Matter</t>
  </si>
  <si>
    <t>XPA Ledger</t>
  </si>
  <si>
    <t>Project</t>
  </si>
  <si>
    <t>KEJAN TRUST NO 2 @Mildura</t>
  </si>
  <si>
    <t>01. Acc &amp; Tax Comp 2024</t>
  </si>
  <si>
    <t>KEJAN TRUST NO 2</t>
  </si>
  <si>
    <t>Acc &amp; Tax Compliance-2024</t>
  </si>
  <si>
    <t>Project Status</t>
  </si>
  <si>
    <t>Title</t>
  </si>
  <si>
    <t>Acc &amp; Tax Compliance</t>
  </si>
  <si>
    <t>Period End</t>
  </si>
  <si>
    <t>Template</t>
  </si>
  <si>
    <t>Tax Compliance - Business</t>
  </si>
  <si>
    <t>Date Created</t>
  </si>
  <si>
    <t>Created By</t>
  </si>
  <si>
    <t>s-automationworkerbot-callin.bot1</t>
  </si>
  <si>
    <t>Partner</t>
  </si>
  <si>
    <t>Glenn Norton</t>
  </si>
  <si>
    <t>Prepared By</t>
  </si>
  <si>
    <t>Reviewed By</t>
  </si>
  <si>
    <t>Beneficary 1</t>
  </si>
  <si>
    <t>Example Trust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</si>
</sst>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164" formatCode="_(* #,##0_);_(* \(#,##0\);_(* &quot;-&quot;_);_(@_)"/>
    <numFmt numFmtId="165" formatCode="_(&quot;$&quot;* #,##0.00_);_(&quot;$&quot;* \(#,##0.00\);_(&quot;$&quot;* &quot;-&quot;??_);_(@_)"/>
    <numFmt numFmtId="166" formatCode="_(* #,##0.00_);_(* \(#,##0.00\);_(* &quot;-&quot;??_);_(@_)"/>
    <numFmt numFmtId="167" formatCode="&quot;$&quot;#,##0_);[Red]\(&quot;$&quot;#,##0\)"/>
    <numFmt numFmtId="168" formatCode="&quot;$&quot;#,##0.00_);[Red]\(&quot;$&quot;#,##0.00\)"/>
    <numFmt numFmtId="169" formatCode="_(&quot;$&quot;* #,##0_);_(&quot;$&quot;* \(#,##0\);_(&quot;$&quot;* &quot;-&quot;_);_(@_)"/>
    <numFmt numFmtId="170" formatCode="&quot;$&quot;#,##0"/>
    <numFmt numFmtId="171" formatCode="yyyy"/>
    <numFmt numFmtId="172" formatCode="&quot;$&quot;#,##0.00_ ;\(&quot;$&quot;#,##0.00\)\ ;&quot;-&quot;__\ ;@"/>
    <numFmt numFmtId="173" formatCode="[$-C09]dd\-mmm\-yy;@"/>
    <numFmt numFmtId="174" formatCode="[$-C09]dd\-mmm\-yyyy;@"/>
    <numFmt numFmtId="175" formatCode="dd\-mmm\-yyyy"/>
    <numFmt numFmtId="176" formatCode="0_)"/>
    <numFmt numFmtId="177" formatCode="0.0%"/>
    <numFmt numFmtId="178" formatCode="_(* #,##0_);_(* \(#,##0\);_(* &quot;-&quot;??_);_(@_)"/>
    <numFmt numFmtId="179" formatCode="&quot;$&quot;#,##0.00;\(&quot;$&quot;#,##0.00\)"/>
    <numFmt numFmtId="180" formatCode="#,##0;\(#,##0\)"/>
    <numFmt numFmtId="181" formatCode="#,##0;\(#,##0\)\ "/>
    <numFmt numFmtId="182" formatCode="#,##0.00;\(#,##0.00\)"/>
    <numFmt numFmtId="183" formatCode="0_ ;\-0\ "/>
    <numFmt numFmtId="184" formatCode="d\-mmm\-yyyy"/>
    <numFmt numFmtId="185" formatCode="&quot;$&quot;#,##0.00"/>
    <numFmt numFmtId="186" formatCode="_-* #,##0_-;\-* #,##0_-;_-* &quot;-&quot;??_-;_-@_-"/>
    <numFmt numFmtId="187" formatCode="mmm\ yy"/>
    <numFmt numFmtId="188" formatCode="_-* #,##0.00_-;* \(#,##0.00\)_-;_-* &quot;-&quot;??_-;_-@_-"/>
    <numFmt numFmtId="189" formatCode="General_)"/>
    <numFmt numFmtId="190" formatCode="d/m/yyyy"/>
    <numFmt numFmtId="191" formatCode="_(&quot;$&quot;* #,##0_);_(&quot;$&quot;* \(#,##0\);_(&quot;$&quot;* &quot;-&quot;??_);_(@_)"/>
    <numFmt numFmtId="192" formatCode="0.0000"/>
    <numFmt numFmtId="193" formatCode="0.000"/>
    <numFmt numFmtId="194" formatCode="_(* #,##0.00_);_(* \(#,##0.00\);_(* &quot;-&quot;_);_(@_)"/>
    <numFmt numFmtId="195" formatCode="#,##0;\(#,##0\);\-"/>
    <numFmt numFmtId="196" formatCode="[$-C09]d\ mmmm\ yyyy;@"/>
    <numFmt numFmtId="197" formatCode="d/mm/yyyy;@"/>
    <numFmt numFmtId="198" formatCode="0.0"/>
    <numFmt numFmtId="199" formatCode="#,##0.00_-;\(#,##0.00\);_-* &quot;-&quot;??_-;_-@_-"/>
    <numFmt numFmtId="200" formatCode="mmm\ \ yyyy"/>
    <numFmt numFmtId="201" formatCode="#,##0_-;\(#,##0\);_-* &quot;-&quot;??_-;_-@_-"/>
    <numFmt numFmtId="202" formatCode="&quot;$&quot;0.00\ ;\(&quot;$&quot;0.00\)"/>
    <numFmt numFmtId="203" formatCode="&quot;$&quot;0\ ;\(&quot;$&quot;0\)"/>
    <numFmt numFmtId="204" formatCode="#,##0_);\(#,##0\);"/>
    <numFmt numFmtId="205" formatCode="#,##0.00_);\(#,##0.00\);\-\ \ ;&quot;Omicom&quot;"/>
    <numFmt numFmtId="206" formatCode="#,##0.00_);\(#,##0.00\);\-\ \ ;"/>
    <numFmt numFmtId="207" formatCode="#,##0;\(#,##0\);\-\ \ ;"/>
    <numFmt numFmtId="208" formatCode=";;;"/>
    <numFmt numFmtId="209" formatCode="#,##0.00_);[Red]\(#,##0.00\);\-\ \ ;&quot;Omicom&quot;"/>
    <numFmt numFmtId="210" formatCode="dd/mm/yy;;"/>
    <numFmt numFmtId="211" formatCode="#,##0_);[Red]\(#,##0\);\-\ \ "/>
    <numFmt numFmtId="212" formatCode="#,##0_);\(#,##0\);\-\ \ ;&quot;Omicom&quot;"/>
    <numFmt numFmtId="213" formatCode="#,##0;\(#,##0\);\-\ \ ;&quot;Error&quot;"/>
    <numFmt numFmtId="214" formatCode="#,##0;\(#,##0\);\-\ \ ;&quot;Omicom&quot;"/>
    <numFmt numFmtId="215" formatCode="\-\ #0\ \-"/>
    <numFmt numFmtId="216" formatCode="d/mm/yy;@"/>
    <numFmt numFmtId="217" formatCode="_-&quot;$&quot;* #,##0_-;\-&quot;$&quot;* #,##0_-;_-&quot;$&quot;* &quot;-&quot;??_-;_-@_-"/>
    <numFmt numFmtId="218" formatCode="0.00%\ \ ;\(\ 0.00%\ \);_-* &quot;-&quot;??_-"/>
    <numFmt numFmtId="219" formatCode="#,##0.00_);[Red]\(#,##0.00\);\-\ \ "/>
    <numFmt numFmtId="220" formatCode="0.0#"/>
    <numFmt numFmtId="221" formatCode="mmmm"/>
    <numFmt numFmtId="222" formatCode="[$-C09]dddd\,\ d\ mmmm\ yyyy;@"/>
    <numFmt numFmtId="223" formatCode="#,##0;\(#,##0\);_-* &quot;-&quot;??_-;_-@_-"/>
    <numFmt numFmtId="224" formatCode="d\ mmm\ yyyy"/>
    <numFmt numFmtId="225" formatCode="###\ ###\ ###\ ###"/>
    <numFmt numFmtId="226" formatCode="###\ ###\ ###"/>
    <numFmt numFmtId="227" formatCode="##\ ###\ ###\ ###"/>
    <numFmt numFmtId="228" formatCode="0_-"/>
    <numFmt numFmtId="229" formatCode="dd\ mmm\ yyyy"/>
    <numFmt numFmtId="230" formatCode="&quot;Rates&quot;"/>
    <numFmt numFmtId="231" formatCode="0000&quot;FY&quot;"/>
    <numFmt numFmtId="232" formatCode="_-* #,##0_-;\(#,##0\);_-* &quot;-&quot;_-;_-@_-"/>
    <numFmt numFmtId="233" formatCode="_-* #,##0.0000_-;\-* #,##0.0000_-;_-* &quot;-&quot;??_-;_-@_-"/>
    <numFmt numFmtId="234" formatCode="_-* #,##0_-;\(#,##0\);_-* &quot;-&quot;??_-;_-@_-"/>
    <numFmt numFmtId="235" formatCode="#,##0.00;\(#,##0.00\);\ \-"/>
    <numFmt numFmtId="236" formatCode="_ * #,##0_ ;_ * \-#,##0_ ;_ * &quot;-&quot;_ ;_ @_ "/>
    <numFmt numFmtId="237" formatCode="_(* #,##0.0_);_(* \(#,##0.0\);_(* &quot;-&quot;??_);_(@_)"/>
    <numFmt numFmtId="238" formatCode="_-* #,##0.0_-;\-* #,##0.0_-;_-* &quot;-&quot;??_-;_-@_-"/>
    <numFmt numFmtId="239" formatCode="_-* #,##0.00_-;\(#,##0.00\);_-* &quot;-&quot;??_-;_-@_-"/>
    <numFmt numFmtId="240" formatCode="_-* #,##0_-;* \(#,##0\)_-;_-* &quot;-&quot;??_-;_-@_-"/>
    <numFmt numFmtId="241" formatCode="d\ mmmm\ yyyy"/>
    <numFmt numFmtId="242" formatCode="_-* #,##0_-;* \(#,##0\)_-;_-* &quot;-&quot;?_-;_-@_-"/>
    <numFmt numFmtId="243" formatCode="_(* ###0_);_(* \(#,##0\);_(* &quot;-&quot;??_);_(@_)"/>
    <numFmt numFmtId="244" formatCode="dd/mm/yyyy\ hh:mm"/>
    <numFmt numFmtId="245" formatCode="#"/>
  </numFmts>
  <fonts count="20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u/>
      <sz val="10"/>
      <name val="Arial"/>
      <family val="2"/>
    </font>
    <font>
      <u/>
      <sz val="10"/>
      <name val="Arial"/>
      <family val="2"/>
    </font>
    <font>
      <sz val="14"/>
      <name val="Arial"/>
      <family val="2"/>
    </font>
    <font>
      <b/>
      <sz val="14"/>
      <name val="Arial"/>
      <family val="2"/>
    </font>
    <font>
      <b/>
      <sz val="12"/>
      <name val="Arial"/>
      <family val="2"/>
    </font>
    <font>
      <sz val="10"/>
      <name val="Arial"/>
      <family val="2"/>
    </font>
    <font>
      <sz val="10"/>
      <color indexed="9"/>
      <name val="Arial"/>
      <family val="2"/>
    </font>
    <font>
      <sz val="6"/>
      <name val="Arial"/>
      <family val="2"/>
    </font>
    <font>
      <sz val="8"/>
      <name val="Arial"/>
      <family val="2"/>
    </font>
    <font>
      <sz val="9"/>
      <name val="Arial"/>
      <family val="2"/>
    </font>
    <font>
      <i/>
      <sz val="10"/>
      <name val="Arial"/>
      <family val="2"/>
    </font>
    <font>
      <sz val="4"/>
      <name val="Arial"/>
      <family val="2"/>
    </font>
    <font>
      <sz val="8"/>
      <name val="Arial"/>
      <family val="2"/>
    </font>
    <font>
      <u/>
      <sz val="10"/>
      <color indexed="12"/>
      <name val="Arial"/>
      <family val="2"/>
    </font>
    <font>
      <b/>
      <i/>
      <sz val="12"/>
      <name val="Arial"/>
      <family val="2"/>
    </font>
    <font>
      <b/>
      <u/>
      <sz val="10"/>
      <color indexed="12"/>
      <name val="Arial"/>
      <family val="2"/>
    </font>
    <font>
      <sz val="10"/>
      <name val="Courier"/>
      <family val="3"/>
    </font>
    <font>
      <b/>
      <sz val="9"/>
      <name val="Arial"/>
      <family val="2"/>
    </font>
    <font>
      <b/>
      <u/>
      <sz val="9"/>
      <name val="Arial"/>
      <family val="2"/>
    </font>
    <font>
      <b/>
      <i/>
      <sz val="10"/>
      <name val="Arial"/>
      <family val="2"/>
    </font>
    <font>
      <sz val="10"/>
      <color indexed="18"/>
      <name val="Arial"/>
      <family val="2"/>
    </font>
    <font>
      <sz val="10"/>
      <color indexed="10"/>
      <name val="Arial"/>
      <family val="2"/>
    </font>
    <font>
      <b/>
      <sz val="12"/>
      <color indexed="12"/>
      <name val="Arial"/>
      <family val="2"/>
    </font>
    <font>
      <i/>
      <u/>
      <sz val="10"/>
      <name val="Arial"/>
      <family val="2"/>
    </font>
    <font>
      <sz val="8"/>
      <name val="Courier"/>
      <family val="3"/>
    </font>
    <font>
      <sz val="10"/>
      <color indexed="12"/>
      <name val="Arial"/>
      <family val="2"/>
    </font>
    <font>
      <sz val="20"/>
      <name val="Arial"/>
      <family val="2"/>
    </font>
    <font>
      <sz val="20"/>
      <color indexed="12"/>
      <name val="Arial"/>
      <family val="2"/>
    </font>
    <font>
      <b/>
      <sz val="12"/>
      <color indexed="53"/>
      <name val="Arial"/>
      <family val="2"/>
    </font>
    <font>
      <b/>
      <sz val="10"/>
      <color indexed="12"/>
      <name val="Arial"/>
      <family val="2"/>
    </font>
    <font>
      <b/>
      <i/>
      <u/>
      <sz val="10"/>
      <name val="Arial"/>
      <family val="2"/>
    </font>
    <font>
      <b/>
      <sz val="8"/>
      <name val="Arial"/>
      <family val="2"/>
    </font>
    <font>
      <b/>
      <i/>
      <sz val="9"/>
      <name val="Arial"/>
      <family val="2"/>
    </font>
    <font>
      <b/>
      <i/>
      <u/>
      <sz val="8"/>
      <name val="Arial"/>
      <family val="2"/>
    </font>
    <font>
      <b/>
      <u/>
      <sz val="8"/>
      <name val="Arial"/>
      <family val="2"/>
    </font>
    <font>
      <b/>
      <sz val="10"/>
      <color indexed="10"/>
      <name val="Arial"/>
      <family val="2"/>
    </font>
    <font>
      <b/>
      <u/>
      <sz val="14"/>
      <name val="Arial"/>
      <family val="2"/>
    </font>
    <font>
      <sz val="12"/>
      <name val="Arial"/>
      <family val="2"/>
    </font>
    <font>
      <b/>
      <sz val="11"/>
      <name val="Arial"/>
      <family val="2"/>
    </font>
    <font>
      <b/>
      <sz val="10"/>
      <name val="Arial"/>
      <family val="2"/>
    </font>
    <font>
      <b/>
      <u/>
      <sz val="12"/>
      <name val="Arial"/>
      <family val="2"/>
    </font>
    <font>
      <u/>
      <sz val="14"/>
      <name val="Arial"/>
      <family val="2"/>
    </font>
    <font>
      <sz val="10"/>
      <name val="Times New Roman"/>
      <family val="1"/>
    </font>
    <font>
      <sz val="10"/>
      <name val="Book Antiqua"/>
      <family val="1"/>
    </font>
    <font>
      <b/>
      <sz val="10"/>
      <name val="Book Antiqua"/>
      <family val="1"/>
    </font>
    <font>
      <b/>
      <i/>
      <sz val="10"/>
      <color indexed="10"/>
      <name val="Arial"/>
      <family val="2"/>
    </font>
    <font>
      <b/>
      <sz val="11"/>
      <name val="Arial"/>
      <family val="2"/>
    </font>
    <font>
      <b/>
      <sz val="9"/>
      <color indexed="9"/>
      <name val="Arial"/>
      <family val="2"/>
    </font>
    <font>
      <b/>
      <sz val="10"/>
      <color indexed="9"/>
      <name val="Arial"/>
      <family val="2"/>
    </font>
    <font>
      <sz val="10"/>
      <name val="Geneva"/>
    </font>
    <font>
      <sz val="9"/>
      <name val="Geneva"/>
    </font>
    <font>
      <sz val="8"/>
      <name val="Geneva"/>
    </font>
    <font>
      <sz val="9"/>
      <name val="Arial"/>
      <family val="2"/>
    </font>
    <font>
      <i/>
      <sz val="8"/>
      <name val="Arial"/>
      <family val="2"/>
    </font>
    <font>
      <sz val="10"/>
      <name val="Arial Narrow"/>
      <family val="2"/>
    </font>
    <font>
      <sz val="16"/>
      <color indexed="30"/>
      <name val="Arial"/>
      <family val="2"/>
    </font>
    <font>
      <sz val="20"/>
      <color indexed="30"/>
      <name val="Arial"/>
      <family val="2"/>
    </font>
    <font>
      <sz val="12"/>
      <color indexed="31"/>
      <name val="Arial"/>
      <family val="2"/>
    </font>
    <font>
      <b/>
      <i/>
      <sz val="8"/>
      <name val="Arial"/>
      <family val="2"/>
    </font>
    <font>
      <sz val="8"/>
      <color indexed="9"/>
      <name val="Arial"/>
      <family val="2"/>
    </font>
    <font>
      <sz val="8"/>
      <name val="Arial Narrow"/>
      <family val="2"/>
    </font>
    <font>
      <b/>
      <sz val="10"/>
      <color indexed="30"/>
      <name val="Arial"/>
      <family val="2"/>
    </font>
    <font>
      <i/>
      <sz val="6.5"/>
      <name val="Arial"/>
      <family val="2"/>
    </font>
    <font>
      <sz val="10"/>
      <color indexed="29"/>
      <name val="Arial"/>
      <family val="2"/>
    </font>
    <font>
      <i/>
      <sz val="6"/>
      <name val="Times"/>
      <family val="1"/>
    </font>
    <font>
      <i/>
      <sz val="9"/>
      <color indexed="30"/>
      <name val="Times"/>
      <family val="1"/>
    </font>
    <font>
      <i/>
      <sz val="6"/>
      <color indexed="30"/>
      <name val="Arial"/>
      <family val="2"/>
    </font>
    <font>
      <b/>
      <sz val="12"/>
      <color indexed="29"/>
      <name val="Arial"/>
      <family val="2"/>
    </font>
    <font>
      <b/>
      <sz val="9"/>
      <color indexed="31"/>
      <name val="Arial"/>
      <family val="2"/>
    </font>
    <font>
      <b/>
      <sz val="10"/>
      <name val="Arial Narrow"/>
      <family val="2"/>
    </font>
    <font>
      <b/>
      <sz val="7"/>
      <color indexed="29"/>
      <name val="Arial"/>
      <family val="2"/>
    </font>
    <font>
      <b/>
      <sz val="11"/>
      <name val="Arial Narrow"/>
      <family val="2"/>
    </font>
    <font>
      <b/>
      <i/>
      <sz val="10"/>
      <color indexed="61"/>
      <name val="Arial"/>
      <family val="2"/>
    </font>
    <font>
      <b/>
      <sz val="14"/>
      <name val="Arial Narrow"/>
      <family val="2"/>
    </font>
    <font>
      <sz val="9"/>
      <color indexed="30"/>
      <name val="Arial"/>
      <family val="2"/>
    </font>
    <font>
      <b/>
      <sz val="8"/>
      <name val="Arial Narrow"/>
      <family val="2"/>
    </font>
    <font>
      <b/>
      <sz val="8"/>
      <color indexed="30"/>
      <name val="Arial"/>
      <family val="2"/>
    </font>
    <font>
      <b/>
      <sz val="12"/>
      <color indexed="9"/>
      <name val="Arial Narrow"/>
      <family val="2"/>
    </font>
    <font>
      <sz val="10"/>
      <color indexed="30"/>
      <name val="Arial"/>
      <family val="2"/>
    </font>
    <font>
      <b/>
      <sz val="11"/>
      <color indexed="63"/>
      <name val="Arial"/>
      <family val="2"/>
    </font>
    <font>
      <b/>
      <sz val="9"/>
      <color indexed="10"/>
      <name val="Arial"/>
      <family val="2"/>
    </font>
    <font>
      <sz val="10"/>
      <name val="Wingdings"/>
      <charset val="2"/>
    </font>
    <font>
      <sz val="10"/>
      <color indexed="16"/>
      <name val="Arial"/>
      <family val="2"/>
    </font>
    <font>
      <b/>
      <u/>
      <sz val="10"/>
      <color indexed="10"/>
      <name val="Arial"/>
      <family val="2"/>
    </font>
    <font>
      <sz val="11"/>
      <color indexed="8"/>
      <name val="Calibri"/>
      <family val="2"/>
    </font>
    <font>
      <sz val="11"/>
      <color indexed="9"/>
      <name val="Calibri"/>
      <family val="2"/>
    </font>
    <font>
      <b/>
      <sz val="9"/>
      <color indexed="26"/>
      <name val="Arial"/>
      <family val="2"/>
    </font>
    <font>
      <b/>
      <sz val="7.5"/>
      <color indexed="9"/>
      <name val="Arial"/>
      <family val="2"/>
    </font>
    <font>
      <sz val="11"/>
      <color indexed="20"/>
      <name val="Calibri"/>
      <family val="2"/>
    </font>
    <font>
      <b/>
      <sz val="11"/>
      <color indexed="52"/>
      <name val="Calibri"/>
      <family val="2"/>
    </font>
    <font>
      <b/>
      <sz val="11"/>
      <color indexed="9"/>
      <name val="Calibri"/>
      <family val="2"/>
    </font>
    <font>
      <sz val="14"/>
      <color indexed="24"/>
      <name val="Arial"/>
      <family val="2"/>
    </font>
    <font>
      <sz val="16"/>
      <color indexed="26"/>
      <name val="Arial"/>
      <family val="2"/>
    </font>
    <font>
      <i/>
      <sz val="11"/>
      <color indexed="23"/>
      <name val="Calibri"/>
      <family val="2"/>
    </font>
    <font>
      <sz val="9"/>
      <color indexed="26"/>
      <name val="Arial"/>
      <family val="2"/>
    </font>
    <font>
      <sz val="11"/>
      <color indexed="17"/>
      <name val="Calibri"/>
      <family val="2"/>
    </font>
    <font>
      <sz val="16"/>
      <color indexed="24"/>
      <name val="Arial"/>
      <family val="2"/>
    </font>
    <font>
      <sz val="9"/>
      <color indexed="24"/>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0"/>
      <color indexed="60"/>
      <name val="Arial"/>
      <family val="2"/>
    </font>
    <font>
      <sz val="11"/>
      <name val="Arial"/>
      <family val="2"/>
    </font>
    <font>
      <sz val="11"/>
      <name val="Wingdings"/>
      <charset val="2"/>
    </font>
    <font>
      <u/>
      <sz val="11"/>
      <color indexed="12"/>
      <name val="Wingdings"/>
      <charset val="2"/>
    </font>
    <font>
      <sz val="10"/>
      <name val="Comic Sans MS"/>
      <family val="4"/>
    </font>
    <font>
      <b/>
      <sz val="10"/>
      <color indexed="63"/>
      <name val="Arial"/>
      <family val="2"/>
    </font>
    <font>
      <sz val="10"/>
      <color indexed="63"/>
      <name val="Arial"/>
      <family val="2"/>
    </font>
    <font>
      <sz val="11"/>
      <name val="Times New Roman"/>
      <family val="1"/>
    </font>
    <font>
      <b/>
      <sz val="10"/>
      <color indexed="48"/>
      <name val="Arial Narrow"/>
      <family val="2"/>
    </font>
    <font>
      <sz val="11"/>
      <color indexed="16"/>
      <name val="Times New Roman"/>
      <family val="1"/>
    </font>
    <font>
      <sz val="11"/>
      <color indexed="18"/>
      <name val="Times New Roman"/>
      <family val="1"/>
    </font>
    <font>
      <sz val="18"/>
      <name val="Times New Roman"/>
      <family val="1"/>
    </font>
    <font>
      <sz val="9"/>
      <color indexed="10"/>
      <name val="Arial"/>
      <family val="2"/>
    </font>
    <font>
      <b/>
      <sz val="16"/>
      <name val="Century Gothic"/>
      <family val="2"/>
    </font>
    <font>
      <sz val="10"/>
      <name val="Century Gothic"/>
      <family val="2"/>
    </font>
    <font>
      <b/>
      <sz val="18"/>
      <name val="Century Gothic"/>
      <family val="2"/>
    </font>
    <font>
      <b/>
      <i/>
      <sz val="10"/>
      <name val="Century Gothic"/>
      <family val="2"/>
    </font>
    <font>
      <b/>
      <sz val="10"/>
      <name val="Century Gothic"/>
      <family val="2"/>
    </font>
    <font>
      <i/>
      <sz val="10"/>
      <name val="Century Gothic"/>
      <family val="2"/>
    </font>
    <font>
      <sz val="9"/>
      <name val="Century Gothic"/>
      <family val="2"/>
    </font>
    <font>
      <i/>
      <sz val="9"/>
      <name val="Century Gothic"/>
      <family val="2"/>
    </font>
    <font>
      <b/>
      <sz val="10"/>
      <color indexed="9"/>
      <name val="Century Gothic"/>
      <family val="2"/>
    </font>
    <font>
      <b/>
      <sz val="9"/>
      <name val="Century Gothic"/>
      <family val="2"/>
    </font>
    <font>
      <b/>
      <sz val="24"/>
      <name val="Century Gothic"/>
      <family val="2"/>
    </font>
    <font>
      <b/>
      <i/>
      <sz val="16"/>
      <name val="Century Gothic"/>
      <family val="2"/>
    </font>
    <font>
      <b/>
      <sz val="9"/>
      <color indexed="9"/>
      <name val="Century Gothic"/>
      <family val="2"/>
    </font>
    <font>
      <sz val="8"/>
      <name val="Gill Sans MT"/>
      <family val="2"/>
    </font>
    <font>
      <u/>
      <sz val="10"/>
      <color indexed="12"/>
      <name val="Arial"/>
      <family val="2"/>
    </font>
    <font>
      <b/>
      <i/>
      <sz val="10"/>
      <color indexed="61"/>
      <name val="Arial"/>
      <family val="2"/>
    </font>
    <font>
      <b/>
      <u val="singleAccounting"/>
      <sz val="10"/>
      <name val="Arial"/>
      <family val="2"/>
    </font>
    <font>
      <sz val="14"/>
      <color indexed="62"/>
      <name val="Calibri"/>
      <family val="2"/>
    </font>
    <font>
      <sz val="8"/>
      <color theme="0"/>
      <name val="Arial"/>
      <family val="2"/>
    </font>
    <font>
      <b/>
      <sz val="12"/>
      <color theme="1"/>
      <name val="Calibri"/>
      <family val="2"/>
      <scheme val="minor"/>
    </font>
    <font>
      <b/>
      <sz val="11"/>
      <color theme="1"/>
      <name val="Calibri"/>
      <family val="2"/>
      <scheme val="minor"/>
    </font>
    <font>
      <b/>
      <sz val="11"/>
      <name val="Calibri"/>
      <family val="2"/>
      <scheme val="minor"/>
    </font>
    <font>
      <sz val="11"/>
      <name val="Calibri"/>
      <family val="2"/>
      <scheme val="minor"/>
    </font>
    <font>
      <i/>
      <sz val="10"/>
      <color rgb="FFFF0000"/>
      <name val="Arial"/>
      <family val="2"/>
    </font>
    <font>
      <sz val="10"/>
      <color theme="1"/>
      <name val="Arial"/>
      <family val="2"/>
    </font>
    <font>
      <sz val="10"/>
      <color rgb="FFFF0000"/>
      <name val="Arial"/>
      <family val="2"/>
    </font>
    <font>
      <b/>
      <sz val="10"/>
      <color rgb="FFFF0000"/>
      <name val="Arial"/>
      <family val="2"/>
    </font>
    <font>
      <sz val="10"/>
      <color rgb="FF000000"/>
      <name val="Arial"/>
      <family val="2"/>
    </font>
    <font>
      <sz val="8"/>
      <color rgb="FF000000"/>
      <name val="Tahoma"/>
      <family val="2"/>
    </font>
    <font>
      <b/>
      <sz val="8"/>
      <color rgb="FF000000"/>
      <name val="Arial"/>
      <family val="2"/>
    </font>
    <font>
      <b/>
      <sz val="10"/>
      <color theme="1"/>
      <name val="Arial"/>
      <family val="2"/>
    </font>
    <font>
      <sz val="10"/>
      <color rgb="FF00204E"/>
      <name val="Arial"/>
      <family val="2"/>
    </font>
    <font>
      <sz val="16"/>
      <color rgb="FF00204E"/>
      <name val="Arial"/>
      <family val="2"/>
    </font>
    <font>
      <sz val="9"/>
      <color rgb="FF0000FF"/>
      <name val="Arial Narrow"/>
      <family val="2"/>
    </font>
    <font>
      <sz val="9"/>
      <color rgb="FF993300"/>
      <name val="Arial Narrow"/>
      <family val="2"/>
    </font>
    <font>
      <sz val="9"/>
      <color theme="1"/>
      <name val="Calibri"/>
      <family val="2"/>
      <scheme val="minor"/>
    </font>
    <font>
      <sz val="9"/>
      <name val="Times New Roman"/>
      <family val="1"/>
    </font>
    <font>
      <sz val="9"/>
      <color indexed="81"/>
      <name val="Tahoma"/>
      <family val="2"/>
    </font>
    <font>
      <b/>
      <i/>
      <sz val="9"/>
      <color indexed="81"/>
      <name val="Tahoma"/>
      <family val="2"/>
    </font>
    <font>
      <i/>
      <sz val="9"/>
      <color indexed="81"/>
      <name val="Tahoma"/>
      <family val="2"/>
    </font>
    <font>
      <sz val="10"/>
      <color rgb="FFFF00FF"/>
      <name val="Arial"/>
      <family val="2"/>
    </font>
    <font>
      <sz val="8"/>
      <color indexed="81"/>
      <name val="Tahoma"/>
      <family val="2"/>
    </font>
    <font>
      <sz val="16"/>
      <color rgb="FF1B1F22"/>
      <name val="Arial"/>
      <family val="2"/>
    </font>
    <font>
      <sz val="10"/>
      <color rgb="FF1B1F22"/>
      <name val="Arial"/>
      <family val="2"/>
    </font>
    <font>
      <sz val="16"/>
      <color theme="1"/>
      <name val="Arial"/>
      <family val="2"/>
    </font>
    <font>
      <sz val="9"/>
      <color rgb="FF1B1F22"/>
      <name val="Arial"/>
      <family val="2"/>
    </font>
    <font>
      <sz val="20"/>
      <color rgb="FF1B1F22"/>
      <name val="Arial"/>
      <family val="2"/>
    </font>
    <font>
      <b/>
      <sz val="9"/>
      <color indexed="81"/>
      <name val="Tahoma"/>
      <family val="2"/>
    </font>
    <font>
      <u/>
      <sz val="11"/>
      <color rgb="FFFF0000"/>
      <name val="Calibri"/>
      <family val="2"/>
      <scheme val="minor"/>
    </font>
    <font>
      <sz val="16"/>
      <name val="Arial"/>
      <family val="2"/>
    </font>
    <font>
      <b/>
      <u/>
      <sz val="11"/>
      <color theme="1"/>
      <name val="Calibri"/>
      <family val="2"/>
      <scheme val="minor"/>
    </font>
    <font>
      <u/>
      <sz val="11"/>
      <color theme="10"/>
      <name val="Calibri"/>
      <family val="2"/>
      <scheme val="minor"/>
    </font>
    <font>
      <sz val="10"/>
      <color theme="0"/>
      <name val="Arial"/>
      <family val="2"/>
    </font>
    <font>
      <b/>
      <sz val="10"/>
      <color indexed="81"/>
      <name val="Tahoma"/>
      <family val="2"/>
    </font>
    <font>
      <b/>
      <u/>
      <sz val="10"/>
      <color theme="1"/>
      <name val="Arial"/>
      <family val="2"/>
    </font>
    <font>
      <sz val="10"/>
      <color theme="1"/>
      <name val="Calibri"/>
      <family val="2"/>
      <scheme val="minor"/>
    </font>
    <font>
      <sz val="10"/>
      <color indexed="81"/>
      <name val="Tahoma"/>
      <family val="2"/>
    </font>
    <font>
      <sz val="11"/>
      <color theme="1"/>
      <name val="Arial"/>
      <family val="2"/>
    </font>
    <font>
      <b/>
      <sz val="12"/>
      <color theme="1"/>
      <name val="Arial"/>
      <family val="2"/>
    </font>
    <font>
      <u/>
      <sz val="10"/>
      <color theme="10"/>
      <name val="Arial"/>
      <family val="2"/>
    </font>
    <font>
      <vertAlign val="superscript"/>
      <sz val="10"/>
      <color theme="1"/>
      <name val="Arial"/>
      <family val="2"/>
    </font>
    <font>
      <sz val="16"/>
      <color indexed="63"/>
      <name val="Arial"/>
      <family val="2"/>
    </font>
    <font>
      <b/>
      <sz val="10"/>
      <color rgb="FF00B050"/>
      <name val="Arial"/>
      <family val="2"/>
    </font>
    <font>
      <b/>
      <i/>
      <sz val="14"/>
      <name val="Arial"/>
      <family val="2"/>
    </font>
    <font>
      <b/>
      <i/>
      <sz val="14"/>
      <color rgb="FFDA0000"/>
      <name val="Arial"/>
      <family val="2"/>
    </font>
    <font>
      <b/>
      <sz val="11"/>
      <color theme="1"/>
      <name val="Arial"/>
      <family val="2"/>
    </font>
    <font>
      <sz val="20"/>
      <color theme="1"/>
      <name val="Wingdings 2"/>
      <family val="1"/>
      <charset val="2"/>
    </font>
    <font>
      <b/>
      <sz val="18"/>
      <color theme="1"/>
      <name val="Calibri"/>
      <family val="2"/>
      <scheme val="minor"/>
    </font>
    <font>
      <b/>
      <sz val="14"/>
      <color theme="1"/>
      <name val="Calibri"/>
      <family val="2"/>
      <scheme val="minor"/>
    </font>
    <font>
      <sz val="12"/>
      <color theme="1"/>
      <name val="Calibri"/>
      <family val="2"/>
      <scheme val="minor"/>
    </font>
    <font>
      <b/>
      <i/>
      <sz val="10"/>
      <color rgb="FFFF0000"/>
      <name val="Arial"/>
      <family val="2"/>
    </font>
    <font>
      <b/>
      <sz val="10"/>
      <color theme="0"/>
      <name val="Arial"/>
      <family val="2"/>
    </font>
    <font>
      <sz val="10"/>
      <color rgb="FF040C28"/>
      <name val="Arial"/>
      <family val="2"/>
    </font>
    <font>
      <i/>
      <sz val="10"/>
      <color indexed="23"/>
      <name val="Arial"/>
      <family val="2"/>
    </font>
  </fonts>
  <fills count="7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4"/>
        <bgColor indexed="22"/>
      </patternFill>
    </fill>
    <fill>
      <patternFill patternType="solid">
        <fgColor indexed="22"/>
      </patternFill>
    </fill>
    <fill>
      <patternFill patternType="solid">
        <fgColor indexed="55"/>
      </patternFill>
    </fill>
    <fill>
      <patternFill patternType="solid">
        <fgColor indexed="30"/>
        <bgColor indexed="22"/>
      </patternFill>
    </fill>
    <fill>
      <patternFill patternType="solid">
        <fgColor indexed="44"/>
        <bgColor indexed="64"/>
      </patternFill>
    </fill>
    <fill>
      <patternFill patternType="solid">
        <fgColor indexed="22"/>
        <bgColor indexed="64"/>
      </patternFill>
    </fill>
    <fill>
      <patternFill patternType="solid">
        <fgColor indexed="25"/>
        <bgColor indexed="22"/>
      </patternFill>
    </fill>
    <fill>
      <patternFill patternType="mediumGray">
        <fgColor indexed="45"/>
        <bgColor indexed="45"/>
      </patternFill>
    </fill>
    <fill>
      <patternFill patternType="solid">
        <fgColor indexed="8"/>
        <bgColor indexed="64"/>
      </patternFill>
    </fill>
    <fill>
      <patternFill patternType="solid">
        <fgColor indexed="43"/>
      </patternFill>
    </fill>
    <fill>
      <patternFill patternType="solid">
        <fgColor indexed="26"/>
      </patternFill>
    </fill>
    <fill>
      <patternFill patternType="lightGray">
        <fgColor indexed="8"/>
        <bgColor indexed="9"/>
      </patternFill>
    </fill>
    <fill>
      <patternFill patternType="lightGray">
        <fgColor indexed="31"/>
        <bgColor indexed="22"/>
      </patternFill>
    </fill>
    <fill>
      <patternFill patternType="solid">
        <fgColor indexed="10"/>
        <bgColor indexed="64"/>
      </patternFill>
    </fill>
    <fill>
      <patternFill patternType="solid">
        <fgColor indexed="6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11"/>
        <bgColor indexed="64"/>
      </patternFill>
    </fill>
    <fill>
      <patternFill patternType="solid">
        <fgColor indexed="55"/>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0FF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8" tint="0.59996337778862885"/>
        <bgColor indexed="64"/>
      </patternFill>
    </fill>
    <fill>
      <patternFill patternType="solid">
        <fgColor rgb="FF92D050"/>
        <bgColor indexed="64"/>
      </patternFill>
    </fill>
    <fill>
      <patternFill patternType="solid">
        <fgColor rgb="FFFFCC99"/>
        <bgColor indexed="64"/>
      </patternFill>
    </fill>
    <fill>
      <patternFill patternType="solid">
        <fgColor rgb="FFCCCCFF"/>
        <bgColor indexed="64"/>
      </patternFill>
    </fill>
    <fill>
      <patternFill patternType="solid">
        <fgColor rgb="FFFF8080"/>
        <bgColor indexed="64"/>
      </patternFill>
    </fill>
    <fill>
      <patternFill patternType="solid">
        <fgColor rgb="FFFF0000"/>
        <bgColor indexed="64"/>
      </patternFill>
    </fill>
    <fill>
      <patternFill patternType="solid">
        <fgColor rgb="FFBAC3C7"/>
        <bgColor indexed="64"/>
      </patternFill>
    </fill>
    <fill>
      <patternFill patternType="solid">
        <fgColor rgb="FF252A30"/>
        <bgColor indexed="64"/>
      </patternFill>
    </fill>
    <fill>
      <patternFill patternType="solid">
        <fgColor rgb="FF252A30"/>
        <bgColor indexed="22"/>
      </patternFill>
    </fill>
    <fill>
      <patternFill patternType="solid">
        <fgColor rgb="FFCCFFCC"/>
        <bgColor indexed="64"/>
      </patternFill>
    </fill>
    <fill>
      <patternFill patternType="solid">
        <fgColor rgb="FF5F6E78"/>
        <bgColor indexed="64"/>
      </patternFill>
    </fill>
    <fill>
      <patternFill patternType="solid">
        <fgColor rgb="FF5F6E78"/>
        <bgColor indexed="22"/>
      </patternFill>
    </fill>
    <fill>
      <patternFill patternType="solid">
        <fgColor rgb="FF99CCFF"/>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DE9D9"/>
        <bgColor indexed="64"/>
      </patternFill>
    </fill>
    <fill>
      <patternFill patternType="solid">
        <fgColor theme="9" tint="0.79998168889431442"/>
        <bgColor indexed="64"/>
      </patternFill>
    </fill>
    <fill>
      <patternFill patternType="solid">
        <fgColor rgb="FFE0E0E0"/>
        <bgColor indexed="64"/>
      </patternFill>
    </fill>
    <fill>
      <patternFill patternType="solid">
        <fgColor rgb="FF2E3C49"/>
        <bgColor indexed="64"/>
      </patternFill>
    </fill>
    <fill>
      <patternFill patternType="solid">
        <fgColor theme="1"/>
        <bgColor indexed="64"/>
      </patternFill>
    </fill>
  </fills>
  <borders count="313">
    <border>
      <left/>
      <right/>
      <top/>
      <bottom/>
      <diagonal/>
    </border>
    <border>
      <left/>
      <right/>
      <top style="thin">
        <color indexed="30"/>
      </top>
      <bottom/>
      <diagonal/>
    </border>
    <border>
      <left/>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style="thin">
        <color indexed="64"/>
      </top>
      <bottom style="double">
        <color indexed="64"/>
      </bottom>
      <diagonal/>
    </border>
    <border>
      <left/>
      <right/>
      <top style="thin">
        <color indexed="64"/>
      </top>
      <bottom style="double">
        <color indexed="64"/>
      </bottom>
      <diagonal/>
    </border>
    <border>
      <left/>
      <right/>
      <top/>
      <bottom style="medium">
        <color indexed="29"/>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right/>
      <top style="thin">
        <color indexed="64"/>
      </top>
      <bottom/>
      <diagonal/>
    </border>
    <border>
      <left/>
      <right/>
      <top/>
      <bottom style="thin">
        <color indexed="29"/>
      </bottom>
      <diagonal/>
    </border>
    <border>
      <left/>
      <right/>
      <top/>
      <bottom style="thin">
        <color indexed="64"/>
      </bottom>
      <diagonal/>
    </border>
    <border>
      <left/>
      <right/>
      <top style="thin">
        <color indexed="62"/>
      </top>
      <bottom style="double">
        <color indexed="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double">
        <color indexed="64"/>
      </right>
      <top/>
      <bottom/>
      <diagonal/>
    </border>
    <border>
      <left style="thin">
        <color indexed="64"/>
      </left>
      <right style="thin">
        <color indexed="64"/>
      </right>
      <top style="thin">
        <color indexed="64"/>
      </top>
      <bottom style="double">
        <color indexed="64"/>
      </bottom>
      <diagonal/>
    </border>
    <border>
      <left/>
      <right style="double">
        <color indexed="64"/>
      </right>
      <top/>
      <bottom style="double">
        <color indexed="64"/>
      </bottom>
      <diagonal/>
    </border>
    <border>
      <left style="double">
        <color indexed="64"/>
      </left>
      <right/>
      <top/>
      <bottom style="double">
        <color indexed="64"/>
      </bottom>
      <diagonal/>
    </border>
    <border>
      <left style="double">
        <color indexed="64"/>
      </left>
      <right/>
      <top/>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hair">
        <color indexed="64"/>
      </left>
      <right style="thin">
        <color indexed="64"/>
      </right>
      <top style="hair">
        <color indexed="64"/>
      </top>
      <bottom style="hair">
        <color indexed="64"/>
      </bottom>
      <diagonal/>
    </border>
    <border>
      <left/>
      <right style="thin">
        <color indexed="64"/>
      </right>
      <top style="thin">
        <color indexed="64"/>
      </top>
      <bottom style="double">
        <color indexed="64"/>
      </bottom>
      <diagonal/>
    </border>
    <border>
      <left style="medium">
        <color indexed="64"/>
      </left>
      <right/>
      <top/>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double">
        <color indexed="64"/>
      </bottom>
      <diagonal/>
    </border>
    <border>
      <left style="thin">
        <color indexed="64"/>
      </left>
      <right/>
      <top style="thin">
        <color indexed="64"/>
      </top>
      <bottom style="double">
        <color indexed="64"/>
      </bottom>
      <diagonal/>
    </border>
    <border>
      <left style="medium">
        <color indexed="64"/>
      </left>
      <right/>
      <top style="medium">
        <color indexed="64"/>
      </top>
      <bottom/>
      <diagonal/>
    </border>
    <border>
      <left style="medium">
        <color indexed="64"/>
      </left>
      <right/>
      <top style="medium">
        <color indexed="64"/>
      </top>
      <bottom style="hair">
        <color indexed="22"/>
      </bottom>
      <diagonal/>
    </border>
    <border>
      <left style="medium">
        <color indexed="64"/>
      </left>
      <right/>
      <top style="hair">
        <color indexed="22"/>
      </top>
      <bottom style="hair">
        <color indexed="22"/>
      </bottom>
      <diagonal/>
    </border>
    <border>
      <left/>
      <right style="medium">
        <color indexed="64"/>
      </right>
      <top style="medium">
        <color indexed="64"/>
      </top>
      <bottom style="hair">
        <color indexed="22"/>
      </bottom>
      <diagonal/>
    </border>
    <border>
      <left/>
      <right style="medium">
        <color indexed="64"/>
      </right>
      <top style="hair">
        <color indexed="22"/>
      </top>
      <bottom style="hair">
        <color indexed="22"/>
      </bottom>
      <diagonal/>
    </border>
    <border>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style="thin">
        <color indexed="22"/>
      </bottom>
      <diagonal/>
    </border>
    <border>
      <left/>
      <right style="medium">
        <color indexed="64"/>
      </right>
      <top/>
      <bottom style="thin">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style="thin">
        <color indexed="64"/>
      </right>
      <top/>
      <bottom style="thin">
        <color indexed="22"/>
      </bottom>
      <diagonal/>
    </border>
    <border>
      <left style="thin">
        <color indexed="64"/>
      </left>
      <right/>
      <top/>
      <bottom style="thin">
        <color indexed="22"/>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style="thin">
        <color indexed="64"/>
      </top>
      <bottom style="hair">
        <color indexed="64"/>
      </bottom>
      <diagonal/>
    </border>
    <border>
      <left/>
      <right style="medium">
        <color indexed="64"/>
      </right>
      <top style="thin">
        <color indexed="64"/>
      </top>
      <bottom style="medium">
        <color indexed="64"/>
      </bottom>
      <diagonal/>
    </border>
    <border>
      <left style="thin">
        <color indexed="64"/>
      </left>
      <right/>
      <top/>
      <bottom style="double">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style="thin">
        <color indexed="55"/>
      </top>
      <bottom style="thin">
        <color indexed="64"/>
      </bottom>
      <diagonal/>
    </border>
    <border>
      <left/>
      <right style="thin">
        <color indexed="55"/>
      </right>
      <top style="thin">
        <color indexed="64"/>
      </top>
      <bottom style="thin">
        <color indexed="55"/>
      </bottom>
      <diagonal/>
    </border>
    <border>
      <left/>
      <right/>
      <top style="thin">
        <color indexed="64"/>
      </top>
      <bottom style="thin">
        <color indexed="23"/>
      </bottom>
      <diagonal/>
    </border>
    <border>
      <left/>
      <right style="thin">
        <color indexed="64"/>
      </right>
      <top style="thin">
        <color indexed="64"/>
      </top>
      <bottom style="thin">
        <color indexed="23"/>
      </bottom>
      <diagonal/>
    </border>
    <border>
      <left style="thin">
        <color indexed="64"/>
      </left>
      <right style="thin">
        <color indexed="64"/>
      </right>
      <top style="thin">
        <color indexed="64"/>
      </top>
      <bottom style="thin">
        <color indexed="23"/>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hair">
        <color indexed="64"/>
      </bottom>
      <diagonal/>
    </border>
    <border>
      <left style="thin">
        <color indexed="64"/>
      </left>
      <right/>
      <top style="hair">
        <color indexed="64"/>
      </top>
      <bottom style="thin">
        <color indexed="64"/>
      </bottom>
      <diagonal/>
    </border>
    <border>
      <left/>
      <right/>
      <top/>
      <bottom style="medium">
        <color indexed="8"/>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thin">
        <color indexed="22"/>
      </bottom>
      <diagonal/>
    </border>
    <border>
      <left/>
      <right style="medium">
        <color indexed="64"/>
      </right>
      <top style="thin">
        <color indexed="22"/>
      </top>
      <bottom style="thin">
        <color indexed="64"/>
      </bottom>
      <diagonal/>
    </border>
    <border>
      <left style="thin">
        <color indexed="64"/>
      </left>
      <right style="thin">
        <color indexed="64"/>
      </right>
      <top style="thin">
        <color indexed="22"/>
      </top>
      <bottom style="thin">
        <color indexed="64"/>
      </bottom>
      <diagonal/>
    </border>
    <border>
      <left style="hair">
        <color indexed="64"/>
      </left>
      <right style="hair">
        <color indexed="64"/>
      </right>
      <top style="thin">
        <color indexed="64"/>
      </top>
      <bottom style="hair">
        <color indexed="64"/>
      </bottom>
      <diagonal/>
    </border>
    <border>
      <left/>
      <right style="medium">
        <color indexed="64"/>
      </right>
      <top style="thin">
        <color indexed="64"/>
      </top>
      <bottom style="double">
        <color indexed="64"/>
      </bottom>
      <diagonal/>
    </border>
    <border>
      <left style="thin">
        <color indexed="55"/>
      </left>
      <right/>
      <top style="hair">
        <color indexed="22"/>
      </top>
      <bottom style="hair">
        <color indexed="22"/>
      </bottom>
      <diagonal/>
    </border>
    <border>
      <left/>
      <right/>
      <top style="hair">
        <color indexed="22"/>
      </top>
      <bottom style="hair">
        <color indexed="22"/>
      </bottom>
      <diagonal/>
    </border>
    <border>
      <left style="thin">
        <color indexed="55"/>
      </left>
      <right/>
      <top/>
      <bottom/>
      <diagonal/>
    </border>
    <border>
      <left style="thin">
        <color indexed="55"/>
      </left>
      <right/>
      <top style="hair">
        <color indexed="22"/>
      </top>
      <bottom/>
      <diagonal/>
    </border>
    <border>
      <left style="thin">
        <color indexed="22"/>
      </left>
      <right style="thin">
        <color indexed="22"/>
      </right>
      <top style="hair">
        <color indexed="22"/>
      </top>
      <bottom style="hair">
        <color indexed="22"/>
      </bottom>
      <diagonal/>
    </border>
    <border>
      <left style="thin">
        <color indexed="55"/>
      </left>
      <right style="thin">
        <color indexed="55"/>
      </right>
      <top/>
      <bottom/>
      <diagonal/>
    </border>
    <border>
      <left style="thin">
        <color indexed="55"/>
      </left>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55"/>
      </left>
      <right/>
      <top/>
      <bottom style="thin">
        <color indexed="55"/>
      </bottom>
      <diagonal/>
    </border>
    <border>
      <left/>
      <right/>
      <top/>
      <bottom style="thin">
        <color indexed="55"/>
      </bottom>
      <diagonal/>
    </border>
    <border>
      <left/>
      <right style="thin">
        <color indexed="55"/>
      </right>
      <top style="thin">
        <color indexed="55"/>
      </top>
      <bottom style="thin">
        <color indexed="55"/>
      </bottom>
      <diagonal/>
    </border>
    <border>
      <left/>
      <right style="thin">
        <color indexed="55"/>
      </right>
      <top style="thin">
        <color indexed="55"/>
      </top>
      <bottom/>
      <diagonal/>
    </border>
    <border>
      <left/>
      <right style="thin">
        <color indexed="55"/>
      </right>
      <top/>
      <bottom/>
      <diagonal/>
    </border>
    <border>
      <left/>
      <right style="thin">
        <color indexed="55"/>
      </right>
      <top style="hair">
        <color indexed="22"/>
      </top>
      <bottom style="hair">
        <color indexed="22"/>
      </bottom>
      <diagonal/>
    </border>
    <border>
      <left style="thin">
        <color indexed="55"/>
      </left>
      <right/>
      <top style="hair">
        <color indexed="22"/>
      </top>
      <bottom style="thin">
        <color indexed="55"/>
      </bottom>
      <diagonal/>
    </border>
    <border>
      <left/>
      <right style="thin">
        <color indexed="55"/>
      </right>
      <top style="hair">
        <color indexed="22"/>
      </top>
      <bottom style="thin">
        <color indexed="55"/>
      </bottom>
      <diagonal/>
    </border>
    <border>
      <left/>
      <right/>
      <top/>
      <bottom style="hair">
        <color indexed="22"/>
      </bottom>
      <diagonal/>
    </border>
    <border>
      <left style="thin">
        <color indexed="55"/>
      </left>
      <right/>
      <top/>
      <bottom style="hair">
        <color indexed="22"/>
      </bottom>
      <diagonal/>
    </border>
    <border>
      <left style="thin">
        <color indexed="22"/>
      </left>
      <right style="thin">
        <color indexed="22"/>
      </right>
      <top/>
      <bottom style="hair">
        <color indexed="22"/>
      </bottom>
      <diagonal/>
    </border>
    <border>
      <left style="thin">
        <color indexed="64"/>
      </left>
      <right style="medium">
        <color indexed="64"/>
      </right>
      <top style="medium">
        <color indexed="64"/>
      </top>
      <bottom/>
      <diagonal/>
    </border>
    <border>
      <left style="thin">
        <color indexed="64"/>
      </left>
      <right style="medium">
        <color indexed="64"/>
      </right>
      <top style="hair">
        <color indexed="64"/>
      </top>
      <bottom style="hair">
        <color indexed="64"/>
      </bottom>
      <diagonal/>
    </border>
    <border>
      <left/>
      <right/>
      <top/>
      <bottom style="hair">
        <color indexed="18"/>
      </bottom>
      <diagonal/>
    </border>
    <border>
      <left/>
      <right/>
      <top style="hair">
        <color indexed="18"/>
      </top>
      <bottom/>
      <diagonal/>
    </border>
    <border>
      <left style="thin">
        <color indexed="64"/>
      </left>
      <right style="hair">
        <color indexed="64"/>
      </right>
      <top style="thin">
        <color indexed="64"/>
      </top>
      <bottom style="thin">
        <color indexed="64"/>
      </bottom>
      <diagonal/>
    </border>
    <border>
      <left style="thin">
        <color indexed="64"/>
      </left>
      <right style="thin">
        <color indexed="64"/>
      </right>
      <top style="hair">
        <color indexed="64"/>
      </top>
      <bottom/>
      <diagonal/>
    </border>
    <border>
      <left/>
      <right style="thin">
        <color indexed="64"/>
      </right>
      <top style="double">
        <color indexed="64"/>
      </top>
      <bottom style="thin">
        <color indexed="64"/>
      </bottom>
      <diagonal/>
    </border>
    <border>
      <left style="thin">
        <color indexed="55"/>
      </left>
      <right style="thin">
        <color indexed="55"/>
      </right>
      <top style="hair">
        <color indexed="22"/>
      </top>
      <bottom style="hair">
        <color indexed="22"/>
      </bottom>
      <diagonal/>
    </border>
    <border>
      <left style="thin">
        <color indexed="55"/>
      </left>
      <right style="thin">
        <color indexed="55"/>
      </right>
      <top style="hair">
        <color indexed="22"/>
      </top>
      <bottom/>
      <diagonal/>
    </border>
    <border>
      <left style="thin">
        <color indexed="22"/>
      </left>
      <right/>
      <top style="hair">
        <color indexed="22"/>
      </top>
      <bottom style="hair">
        <color indexed="22"/>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double">
        <color indexed="64"/>
      </top>
      <bottom/>
      <diagonal/>
    </border>
    <border>
      <left style="thin">
        <color indexed="64"/>
      </left>
      <right style="medium">
        <color indexed="64"/>
      </right>
      <top/>
      <bottom style="double">
        <color indexed="64"/>
      </bottom>
      <diagonal/>
    </border>
    <border>
      <left style="thin">
        <color indexed="64"/>
      </left>
      <right style="medium">
        <color indexed="64"/>
      </right>
      <top style="double">
        <color indexed="64"/>
      </top>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hair">
        <color indexed="64"/>
      </top>
      <bottom/>
      <diagonal/>
    </border>
    <border>
      <left style="double">
        <color indexed="64"/>
      </left>
      <right/>
      <top style="thin">
        <color indexed="64"/>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style="thin">
        <color indexed="23"/>
      </bottom>
      <diagonal/>
    </border>
    <border>
      <left/>
      <right/>
      <top style="thin">
        <color indexed="55"/>
      </top>
      <bottom style="thin">
        <color indexed="55"/>
      </bottom>
      <diagonal/>
    </border>
    <border>
      <left style="thin">
        <color indexed="55"/>
      </left>
      <right/>
      <top style="thin">
        <color indexed="55"/>
      </top>
      <bottom style="hair">
        <color indexed="22"/>
      </bottom>
      <diagonal/>
    </border>
    <border>
      <left/>
      <right/>
      <top style="thin">
        <color indexed="55"/>
      </top>
      <bottom style="hair">
        <color indexed="22"/>
      </bottom>
      <diagonal/>
    </border>
    <border>
      <left/>
      <right style="thin">
        <color indexed="55"/>
      </right>
      <top style="thin">
        <color indexed="55"/>
      </top>
      <bottom style="hair">
        <color indexed="22"/>
      </bottom>
      <diagonal/>
    </border>
    <border>
      <left style="thin">
        <color indexed="22"/>
      </left>
      <right/>
      <top/>
      <bottom/>
      <diagonal/>
    </border>
    <border>
      <left style="thin">
        <color indexed="64"/>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indexed="64"/>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thin">
        <color indexed="64"/>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hair">
        <color indexed="64"/>
      </right>
      <top style="thin">
        <color indexed="64"/>
      </top>
      <bottom style="dashed">
        <color indexed="64"/>
      </bottom>
      <diagonal/>
    </border>
    <border>
      <left style="hair">
        <color indexed="64"/>
      </left>
      <right style="hair">
        <color indexed="64"/>
      </right>
      <top style="thin">
        <color indexed="64"/>
      </top>
      <bottom style="dashed">
        <color indexed="64"/>
      </bottom>
      <diagonal/>
    </border>
    <border>
      <left style="hair">
        <color indexed="64"/>
      </left>
      <right style="thin">
        <color indexed="64"/>
      </right>
      <top style="thin">
        <color indexed="64"/>
      </top>
      <bottom style="dashed">
        <color indexed="64"/>
      </bottom>
      <diagonal/>
    </border>
    <border>
      <left style="thin">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style="thin">
        <color indexed="64"/>
      </right>
      <top style="dashed">
        <color indexed="64"/>
      </top>
      <bottom style="dashed">
        <color indexed="64"/>
      </bottom>
      <diagonal/>
    </border>
    <border>
      <left style="thin">
        <color indexed="64"/>
      </left>
      <right style="hair">
        <color indexed="64"/>
      </right>
      <top style="dashed">
        <color indexed="64"/>
      </top>
      <bottom style="thin">
        <color indexed="64"/>
      </bottom>
      <diagonal/>
    </border>
    <border>
      <left style="hair">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dashed">
        <color indexed="64"/>
      </left>
      <right style="thin">
        <color indexed="64"/>
      </right>
      <top style="dashed">
        <color indexed="64"/>
      </top>
      <bottom style="dashed">
        <color indexed="64"/>
      </bottom>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dashed">
        <color indexed="64"/>
      </left>
      <right style="dashed">
        <color indexed="64"/>
      </right>
      <top style="dashed">
        <color indexed="64"/>
      </top>
      <bottom/>
      <diagonal/>
    </border>
    <border>
      <left style="dashed">
        <color indexed="64"/>
      </left>
      <right style="dashed">
        <color indexed="64"/>
      </right>
      <top style="thin">
        <color indexed="64"/>
      </top>
      <bottom style="dashed">
        <color indexed="64"/>
      </bottom>
      <diagonal/>
    </border>
    <border>
      <left style="thin">
        <color indexed="64"/>
      </left>
      <right style="thin">
        <color indexed="64"/>
      </right>
      <top/>
      <bottom style="dashed">
        <color indexed="64"/>
      </bottom>
      <diagonal/>
    </border>
    <border>
      <left style="dashed">
        <color indexed="64"/>
      </left>
      <right style="dashed">
        <color indexed="64"/>
      </right>
      <top style="dashed">
        <color indexed="64"/>
      </top>
      <bottom style="double">
        <color indexed="64"/>
      </bottom>
      <diagonal/>
    </border>
    <border>
      <left style="dashed">
        <color indexed="64"/>
      </left>
      <right style="dashed">
        <color indexed="64"/>
      </right>
      <top style="thin">
        <color indexed="64"/>
      </top>
      <bottom style="double">
        <color indexed="64"/>
      </bottom>
      <diagonal/>
    </border>
    <border>
      <left style="dashed">
        <color indexed="64"/>
      </left>
      <right style="dashed">
        <color indexed="64"/>
      </right>
      <top/>
      <bottom style="dashed">
        <color indexed="64"/>
      </bottom>
      <diagonal/>
    </border>
    <border>
      <left style="dashed">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hair">
        <color indexed="64"/>
      </right>
      <top style="thin">
        <color indexed="64"/>
      </top>
      <bottom style="dashed">
        <color indexed="64"/>
      </bottom>
      <diagonal/>
    </border>
    <border>
      <left style="dashed">
        <color indexed="64"/>
      </left>
      <right style="hair">
        <color indexed="64"/>
      </right>
      <top style="dashed">
        <color indexed="64"/>
      </top>
      <bottom style="dashed">
        <color indexed="64"/>
      </bottom>
      <diagonal/>
    </border>
    <border>
      <left style="hair">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diagonal/>
    </border>
    <border>
      <left style="thin">
        <color indexed="64"/>
      </left>
      <right/>
      <top style="dashed">
        <color indexed="64"/>
      </top>
      <bottom/>
      <diagonal/>
    </border>
    <border>
      <left/>
      <right style="thin">
        <color indexed="64"/>
      </right>
      <top style="dashed">
        <color indexed="64"/>
      </top>
      <bottom/>
      <diagonal/>
    </border>
    <border>
      <left style="thin">
        <color indexed="64"/>
      </left>
      <right/>
      <top/>
      <bottom style="dashed">
        <color indexed="64"/>
      </bottom>
      <diagonal/>
    </border>
    <border>
      <left/>
      <right style="thin">
        <color indexed="64"/>
      </right>
      <top/>
      <bottom style="dashed">
        <color indexed="64"/>
      </bottom>
      <diagonal/>
    </border>
    <border>
      <left style="dashed">
        <color indexed="64"/>
      </left>
      <right style="dashed">
        <color indexed="64"/>
      </right>
      <top style="thin">
        <color indexed="64"/>
      </top>
      <bottom style="thin">
        <color indexed="64"/>
      </bottom>
      <diagonal/>
    </border>
    <border>
      <left/>
      <right style="hair">
        <color indexed="64"/>
      </right>
      <top style="thin">
        <color indexed="64"/>
      </top>
      <bottom style="thin">
        <color indexed="64"/>
      </bottom>
      <diagonal/>
    </border>
    <border>
      <left/>
      <right style="dashed">
        <color indexed="64"/>
      </right>
      <top style="thin">
        <color indexed="64"/>
      </top>
      <bottom style="double">
        <color indexed="64"/>
      </bottom>
      <diagonal/>
    </border>
    <border>
      <left style="thin">
        <color auto="1"/>
      </left>
      <right/>
      <top/>
      <bottom/>
      <diagonal/>
    </border>
    <border>
      <left style="thin">
        <color indexed="64"/>
      </left>
      <right style="medium">
        <color indexed="64"/>
      </right>
      <top style="dashed">
        <color indexed="64"/>
      </top>
      <bottom style="dashed">
        <color indexed="64"/>
      </bottom>
      <diagonal/>
    </border>
    <border>
      <left/>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indexed="64"/>
      </left>
      <right/>
      <top style="medium">
        <color indexed="64"/>
      </top>
      <bottom/>
      <diagonal/>
    </border>
    <border>
      <left/>
      <right/>
      <top style="medium">
        <color indexed="64"/>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hair">
        <color indexed="64"/>
      </bottom>
      <diagonal/>
    </border>
    <border>
      <left/>
      <right style="dotted">
        <color indexed="64"/>
      </right>
      <top/>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style="thin">
        <color indexed="64"/>
      </right>
      <top style="thin">
        <color indexed="64"/>
      </top>
      <bottom/>
      <diagonal/>
    </border>
    <border>
      <left/>
      <right style="dotted">
        <color indexed="64"/>
      </right>
      <top style="dashed">
        <color indexed="64"/>
      </top>
      <bottom style="dotted">
        <color indexed="64"/>
      </bottom>
      <diagonal/>
    </border>
    <border>
      <left style="dashed">
        <color indexed="64"/>
      </left>
      <right style="dashed">
        <color indexed="64"/>
      </right>
      <top/>
      <bottom style="double">
        <color indexed="64"/>
      </bottom>
      <diagonal/>
    </border>
    <border>
      <left style="dashed">
        <color indexed="64"/>
      </left>
      <right style="thin">
        <color indexed="64"/>
      </right>
      <top style="dashed">
        <color indexed="64"/>
      </top>
      <bottom style="double">
        <color indexed="64"/>
      </bottom>
      <diagonal/>
    </border>
    <border>
      <left style="thin">
        <color indexed="64"/>
      </left>
      <right style="dashed">
        <color indexed="64"/>
      </right>
      <top style="dashed">
        <color indexed="64"/>
      </top>
      <bottom/>
      <diagonal/>
    </border>
    <border>
      <left/>
      <right style="thin">
        <color indexed="64"/>
      </right>
      <top/>
      <bottom style="thin">
        <color auto="1"/>
      </bottom>
      <diagonal/>
    </border>
    <border>
      <left/>
      <right/>
      <top/>
      <bottom style="thin">
        <color indexed="64"/>
      </bottom>
      <diagonal/>
    </border>
    <border>
      <left style="thin">
        <color indexed="23"/>
      </left>
      <right style="thin">
        <color indexed="23"/>
      </right>
      <top/>
      <bottom style="thin">
        <color indexed="23"/>
      </bottom>
      <diagonal/>
    </border>
    <border>
      <left style="thin">
        <color indexed="64"/>
      </left>
      <right style="thin">
        <color indexed="64"/>
      </right>
      <top style="dashed">
        <color indexed="64"/>
      </top>
      <bottom/>
      <diagonal/>
    </border>
    <border>
      <left/>
      <right style="thin">
        <color indexed="64"/>
      </right>
      <top style="thin">
        <color auto="1"/>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thin">
        <color indexed="64"/>
      </right>
      <top style="thin">
        <color indexed="22"/>
      </top>
      <bottom style="hair">
        <color indexed="64"/>
      </bottom>
      <diagonal/>
    </border>
    <border>
      <left style="thin">
        <color indexed="23"/>
      </left>
      <right style="medium">
        <color indexed="64"/>
      </right>
      <top style="thin">
        <color indexed="23"/>
      </top>
      <bottom style="thin">
        <color indexed="23"/>
      </bottom>
      <diagonal/>
    </border>
    <border>
      <left style="medium">
        <color indexed="64"/>
      </left>
      <right style="thin">
        <color indexed="23"/>
      </right>
      <top style="thin">
        <color indexed="23"/>
      </top>
      <bottom style="thin">
        <color indexed="23"/>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thin">
        <color indexed="22"/>
      </bottom>
      <diagonal/>
    </border>
    <border>
      <left style="medium">
        <color indexed="64"/>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medium">
        <color indexed="64"/>
      </left>
      <right style="thin">
        <color indexed="64"/>
      </right>
      <top style="double">
        <color indexed="64"/>
      </top>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bottom style="thin">
        <color indexed="22"/>
      </bottom>
      <diagonal/>
    </border>
    <border>
      <left style="medium">
        <color indexed="64"/>
      </left>
      <right style="thin">
        <color indexed="64"/>
      </right>
      <top/>
      <bottom style="thin">
        <color indexed="22"/>
      </bottom>
      <diagonal/>
    </border>
    <border>
      <left/>
      <right style="thin">
        <color indexed="23"/>
      </right>
      <top style="thin">
        <color indexed="23"/>
      </top>
      <bottom style="thin">
        <color indexed="23"/>
      </bottom>
      <diagonal/>
    </border>
    <border>
      <left/>
      <right style="thin">
        <color indexed="64"/>
      </right>
      <top style="hair">
        <color indexed="64"/>
      </top>
      <bottom style="thin">
        <color indexed="64"/>
      </bottom>
      <diagonal/>
    </border>
    <border>
      <left/>
      <right/>
      <top/>
      <bottom style="thin">
        <color indexed="22"/>
      </bottom>
      <diagonal/>
    </border>
    <border>
      <left style="thin">
        <color indexed="64"/>
      </left>
      <right style="medium">
        <color indexed="64"/>
      </right>
      <top style="thin">
        <color indexed="22"/>
      </top>
      <bottom style="hair">
        <color indexed="64"/>
      </bottom>
      <diagonal/>
    </border>
    <border>
      <left/>
      <right style="thin">
        <color indexed="64"/>
      </right>
      <top style="thin">
        <color indexed="22"/>
      </top>
      <bottom style="hair">
        <color indexed="64"/>
      </bottom>
      <diagonal/>
    </border>
    <border>
      <left/>
      <right style="thin">
        <color indexed="64"/>
      </right>
      <top style="double">
        <color indexed="64"/>
      </top>
      <bottom/>
      <diagonal/>
    </border>
    <border>
      <left/>
      <right style="thin">
        <color indexed="64"/>
      </right>
      <top style="hair">
        <color indexed="64"/>
      </top>
      <bottom/>
      <diagonal/>
    </border>
    <border>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dashed">
        <color indexed="64"/>
      </left>
      <right style="medium">
        <color indexed="64"/>
      </right>
      <top style="dashed">
        <color indexed="64"/>
      </top>
      <bottom style="dashed">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hair">
        <color indexed="64"/>
      </bottom>
      <diagonal/>
    </border>
    <border>
      <left/>
      <right/>
      <top/>
      <bottom style="thin">
        <color indexed="64"/>
      </bottom>
      <diagonal/>
    </border>
    <border>
      <left/>
      <right/>
      <top/>
      <bottom style="thin">
        <color indexed="29"/>
      </bottom>
      <diagonal/>
    </border>
    <border>
      <left/>
      <right/>
      <top/>
      <bottom style="thin">
        <color indexed="64"/>
      </bottom>
      <diagonal/>
    </border>
    <border>
      <left/>
      <right/>
      <top/>
      <bottom style="thin">
        <color indexed="29"/>
      </bottom>
      <diagonal/>
    </border>
    <border>
      <left/>
      <right/>
      <top/>
      <bottom style="thin">
        <color indexed="64"/>
      </bottom>
      <diagonal/>
    </border>
    <border>
      <left/>
      <right/>
      <top/>
      <bottom style="thin">
        <color indexed="29"/>
      </bottom>
      <diagonal/>
    </border>
    <border>
      <left/>
      <right/>
      <top/>
      <bottom style="thin">
        <color indexed="64"/>
      </bottom>
      <diagonal/>
    </border>
    <border>
      <left/>
      <right/>
      <top/>
      <bottom style="thin">
        <color indexed="29"/>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86">
    <xf numFmtId="0" fontId="0" fillId="0" borderId="0"/>
    <xf numFmtId="0" fontId="98" fillId="2" borderId="0" applyNumberFormat="0" applyBorder="0" applyAlignment="0" applyProtection="0"/>
    <xf numFmtId="0" fontId="98" fillId="3" borderId="0" applyNumberFormat="0" applyBorder="0" applyAlignment="0" applyProtection="0"/>
    <xf numFmtId="0" fontId="98" fillId="4" borderId="0" applyNumberFormat="0" applyBorder="0" applyAlignment="0" applyProtection="0"/>
    <xf numFmtId="0" fontId="98" fillId="5" borderId="0" applyNumberFormat="0" applyBorder="0" applyAlignment="0" applyProtection="0"/>
    <xf numFmtId="0" fontId="98" fillId="6" borderId="0" applyNumberFormat="0" applyBorder="0" applyAlignment="0" applyProtection="0"/>
    <xf numFmtId="0" fontId="98" fillId="7" borderId="0" applyNumberFormat="0" applyBorder="0" applyAlignment="0" applyProtection="0"/>
    <xf numFmtId="0" fontId="98" fillId="8" borderId="0" applyNumberFormat="0" applyBorder="0" applyAlignment="0" applyProtection="0"/>
    <xf numFmtId="0" fontId="98" fillId="9" borderId="0" applyNumberFormat="0" applyBorder="0" applyAlignment="0" applyProtection="0"/>
    <xf numFmtId="0" fontId="98" fillId="10" borderId="0" applyNumberFormat="0" applyBorder="0" applyAlignment="0" applyProtection="0"/>
    <xf numFmtId="0" fontId="98" fillId="5" borderId="0" applyNumberFormat="0" applyBorder="0" applyAlignment="0" applyProtection="0"/>
    <xf numFmtId="0" fontId="98" fillId="8" borderId="0" applyNumberFormat="0" applyBorder="0" applyAlignment="0" applyProtection="0"/>
    <xf numFmtId="0" fontId="98" fillId="11" borderId="0" applyNumberFormat="0" applyBorder="0" applyAlignment="0" applyProtection="0"/>
    <xf numFmtId="0" fontId="99" fillId="12" borderId="0" applyNumberFormat="0" applyBorder="0" applyAlignment="0" applyProtection="0"/>
    <xf numFmtId="0" fontId="99" fillId="9" borderId="0" applyNumberFormat="0" applyBorder="0" applyAlignment="0" applyProtection="0"/>
    <xf numFmtId="0" fontId="99" fillId="10" borderId="0" applyNumberFormat="0" applyBorder="0" applyAlignment="0" applyProtection="0"/>
    <xf numFmtId="0" fontId="99" fillId="13" borderId="0" applyNumberFormat="0" applyBorder="0" applyAlignment="0" applyProtection="0"/>
    <xf numFmtId="0" fontId="99" fillId="14" borderId="0" applyNumberFormat="0" applyBorder="0" applyAlignment="0" applyProtection="0"/>
    <xf numFmtId="0" fontId="99" fillId="15" borderId="0" applyNumberFormat="0" applyBorder="0" applyAlignment="0" applyProtection="0"/>
    <xf numFmtId="0" fontId="99" fillId="16" borderId="0" applyNumberFormat="0" applyBorder="0" applyAlignment="0" applyProtection="0"/>
    <xf numFmtId="0" fontId="99" fillId="17" borderId="0" applyNumberFormat="0" applyBorder="0" applyAlignment="0" applyProtection="0"/>
    <xf numFmtId="0" fontId="99" fillId="18" borderId="0" applyNumberFormat="0" applyBorder="0" applyAlignment="0" applyProtection="0"/>
    <xf numFmtId="0" fontId="99" fillId="13" borderId="0" applyNumberFormat="0" applyBorder="0" applyAlignment="0" applyProtection="0"/>
    <xf numFmtId="0" fontId="99" fillId="14" borderId="0" applyNumberFormat="0" applyBorder="0" applyAlignment="0" applyProtection="0"/>
    <xf numFmtId="0" fontId="99" fillId="19" borderId="0" applyNumberFormat="0" applyBorder="0" applyAlignment="0" applyProtection="0"/>
    <xf numFmtId="0" fontId="22" fillId="0" borderId="0">
      <alignment horizontal="left" vertical="center"/>
    </xf>
    <xf numFmtId="0" fontId="100" fillId="0" borderId="0">
      <alignment horizontal="right" vertical="center"/>
    </xf>
    <xf numFmtId="0" fontId="101" fillId="20" borderId="0">
      <alignment horizontal="right" vertical="center"/>
    </xf>
    <xf numFmtId="0" fontId="102" fillId="3" borderId="0" applyNumberFormat="0" applyBorder="0" applyAlignment="0" applyProtection="0"/>
    <xf numFmtId="0" fontId="19" fillId="0" borderId="0" applyNumberFormat="0" applyFont="0" applyBorder="0" applyAlignment="0">
      <alignment vertical="center"/>
    </xf>
    <xf numFmtId="0" fontId="19" fillId="0" borderId="0" applyNumberFormat="0" applyFont="0" applyBorder="0" applyAlignment="0">
      <alignment vertical="center"/>
    </xf>
    <xf numFmtId="0" fontId="19" fillId="0" borderId="1">
      <alignment vertical="center"/>
    </xf>
    <xf numFmtId="0" fontId="68" fillId="0" borderId="2">
      <alignment vertical="center"/>
    </xf>
    <xf numFmtId="0" fontId="103" fillId="21" borderId="3" applyNumberFormat="0" applyAlignment="0" applyProtection="0"/>
    <xf numFmtId="0" fontId="104" fillId="22" borderId="4" applyNumberFormat="0" applyAlignment="0" applyProtection="0"/>
    <xf numFmtId="0" fontId="69" fillId="0" borderId="0">
      <alignment horizontal="left" vertical="center"/>
    </xf>
    <xf numFmtId="0" fontId="61" fillId="23" borderId="0">
      <alignment horizontal="right" vertical="center"/>
    </xf>
    <xf numFmtId="0" fontId="45" fillId="0" borderId="0">
      <alignment horizontal="right" vertical="center"/>
    </xf>
    <xf numFmtId="0" fontId="62" fillId="23" borderId="0">
      <alignment horizontal="right" vertical="center"/>
    </xf>
    <xf numFmtId="0" fontId="19" fillId="0" borderId="0">
      <alignment horizontal="right" vertical="center"/>
    </xf>
    <xf numFmtId="0" fontId="22" fillId="0" borderId="0">
      <alignment horizontal="right" vertical="top"/>
    </xf>
    <xf numFmtId="166" fontId="12" fillId="0" borderId="0" applyFont="0" applyFill="0" applyBorder="0" applyAlignment="0" applyProtection="0"/>
    <xf numFmtId="166" fontId="19" fillId="0" borderId="0" applyFont="0" applyFill="0" applyBorder="0" applyAlignment="0" applyProtection="0"/>
    <xf numFmtId="4" fontId="63" fillId="0" borderId="0" applyFont="0" applyFill="0" applyBorder="0" applyAlignment="0" applyProtection="0"/>
    <xf numFmtId="40" fontId="26" fillId="0" borderId="0" applyFont="0" applyFill="0" applyBorder="0" applyAlignment="0" applyProtection="0"/>
    <xf numFmtId="0" fontId="23" fillId="0" borderId="0">
      <alignment vertical="top"/>
    </xf>
    <xf numFmtId="0" fontId="31" fillId="0" borderId="0">
      <alignment vertical="center"/>
    </xf>
    <xf numFmtId="177" fontId="13" fillId="0" borderId="0">
      <alignment vertical="center"/>
    </xf>
    <xf numFmtId="0" fontId="13" fillId="0" borderId="0">
      <alignment horizontal="right" vertical="top"/>
    </xf>
    <xf numFmtId="205" fontId="19" fillId="0" borderId="0">
      <alignment horizontal="right" vertical="top"/>
    </xf>
    <xf numFmtId="205" fontId="13" fillId="0" borderId="0">
      <alignment horizontal="right" vertical="top"/>
    </xf>
    <xf numFmtId="177" fontId="19" fillId="0" borderId="0">
      <alignment vertical="center"/>
    </xf>
    <xf numFmtId="0" fontId="19" fillId="0" borderId="0">
      <alignment horizontal="right" vertical="top"/>
    </xf>
    <xf numFmtId="0" fontId="70" fillId="0" borderId="0">
      <alignment horizontal="right" wrapText="1"/>
    </xf>
    <xf numFmtId="0" fontId="71" fillId="0" borderId="0">
      <alignment horizontal="right" vertical="center"/>
    </xf>
    <xf numFmtId="0" fontId="105" fillId="0" borderId="0">
      <alignment horizontal="right" vertical="center"/>
    </xf>
    <xf numFmtId="165" fontId="12" fillId="0" borderId="0" applyFont="0" applyFill="0" applyBorder="0" applyAlignment="0" applyProtection="0"/>
    <xf numFmtId="0" fontId="72" fillId="0" borderId="0">
      <alignment horizontal="center" vertical="center"/>
    </xf>
    <xf numFmtId="0" fontId="72" fillId="0" borderId="0">
      <alignment horizontal="center" vertical="center"/>
    </xf>
    <xf numFmtId="0" fontId="72" fillId="0" borderId="0">
      <alignment horizontal="center" vertical="center"/>
    </xf>
    <xf numFmtId="165" fontId="19" fillId="0" borderId="0" applyFont="0" applyFill="0" applyBorder="0" applyAlignment="0" applyProtection="0"/>
    <xf numFmtId="0" fontId="33" fillId="0" borderId="0">
      <alignment horizontal="center" vertical="center"/>
    </xf>
    <xf numFmtId="0" fontId="33" fillId="0" borderId="0">
      <alignment horizontal="center" vertical="center"/>
    </xf>
    <xf numFmtId="168" fontId="63" fillId="0" borderId="0" applyFont="0" applyFill="0" applyBorder="0" applyAlignment="0" applyProtection="0"/>
    <xf numFmtId="165" fontId="12" fillId="0" borderId="0" applyFont="0" applyFill="0" applyBorder="0" applyAlignment="0" applyProtection="0"/>
    <xf numFmtId="165" fontId="12" fillId="0" borderId="0" applyFont="0" applyFill="0" applyBorder="0" applyAlignment="0" applyProtection="0"/>
    <xf numFmtId="0" fontId="23" fillId="49" borderId="5">
      <alignment wrapText="1"/>
      <protection locked="0"/>
    </xf>
    <xf numFmtId="1" fontId="23" fillId="24" borderId="5">
      <alignment horizontal="center"/>
      <protection locked="0"/>
    </xf>
    <xf numFmtId="166" fontId="23" fillId="24" borderId="5">
      <protection locked="0"/>
    </xf>
    <xf numFmtId="197" fontId="23" fillId="24" borderId="5">
      <protection locked="0"/>
    </xf>
    <xf numFmtId="165" fontId="23" fillId="25" borderId="6"/>
    <xf numFmtId="165" fontId="23" fillId="25" borderId="7"/>
    <xf numFmtId="0" fontId="19" fillId="0" borderId="0">
      <alignment horizontal="right"/>
    </xf>
    <xf numFmtId="0" fontId="73" fillId="0" borderId="0">
      <alignment horizontal="center" vertical="center"/>
    </xf>
    <xf numFmtId="210" fontId="22" fillId="0" borderId="0">
      <alignment horizontal="center" vertical="center"/>
    </xf>
    <xf numFmtId="211" fontId="22" fillId="0" borderId="0">
      <alignment horizontal="right" vertical="center"/>
    </xf>
    <xf numFmtId="0" fontId="45" fillId="0" borderId="0">
      <alignment horizontal="left" vertical="center"/>
    </xf>
    <xf numFmtId="0" fontId="22" fillId="0" borderId="0">
      <alignment horizontal="left" vertical="center" wrapText="1"/>
    </xf>
    <xf numFmtId="213" fontId="22" fillId="0" borderId="8">
      <alignment vertical="center"/>
    </xf>
    <xf numFmtId="214" fontId="22" fillId="0" borderId="0">
      <alignment horizontal="right" vertical="center"/>
    </xf>
    <xf numFmtId="209" fontId="74" fillId="0" borderId="0">
      <alignment horizontal="right" vertical="center"/>
    </xf>
    <xf numFmtId="214" fontId="22" fillId="0" borderId="0">
      <alignment horizontal="right" vertical="center"/>
    </xf>
    <xf numFmtId="214" fontId="19" fillId="0" borderId="0">
      <alignment horizontal="right" vertical="center"/>
    </xf>
    <xf numFmtId="214" fontId="19" fillId="0" borderId="0">
      <alignment horizontal="right" vertical="center"/>
    </xf>
    <xf numFmtId="0" fontId="19" fillId="0" borderId="0">
      <alignment horizontal="left" vertical="center" wrapText="1"/>
    </xf>
    <xf numFmtId="0" fontId="22" fillId="0" borderId="0">
      <alignment horizontal="left" vertical="center" wrapText="1"/>
    </xf>
    <xf numFmtId="0" fontId="68" fillId="0" borderId="0">
      <alignment horizontal="left" vertical="center"/>
    </xf>
    <xf numFmtId="0" fontId="19" fillId="0" borderId="0">
      <alignment horizontal="left" vertical="top" wrapText="1"/>
    </xf>
    <xf numFmtId="0" fontId="13" fillId="0" borderId="0">
      <alignment horizontal="left" vertical="top"/>
    </xf>
    <xf numFmtId="0" fontId="19" fillId="0" borderId="0">
      <alignment horizontal="left" vertical="top"/>
    </xf>
    <xf numFmtId="0" fontId="19" fillId="0" borderId="0">
      <alignment horizontal="left" vertical="top"/>
    </xf>
    <xf numFmtId="0" fontId="13" fillId="0" borderId="0">
      <alignment horizontal="left" vertical="top"/>
    </xf>
    <xf numFmtId="0" fontId="75" fillId="0" borderId="0">
      <alignment vertical="center"/>
    </xf>
    <xf numFmtId="0" fontId="76" fillId="0" borderId="0">
      <alignment vertical="center"/>
    </xf>
    <xf numFmtId="0" fontId="106" fillId="26" borderId="0">
      <alignment horizontal="right" vertical="center"/>
    </xf>
    <xf numFmtId="0" fontId="13" fillId="0" borderId="0">
      <alignment horizontal="right" vertical="center"/>
    </xf>
    <xf numFmtId="0" fontId="107" fillId="0" borderId="0" applyNumberFormat="0" applyFill="0" applyBorder="0" applyAlignment="0" applyProtection="0"/>
    <xf numFmtId="0" fontId="77" fillId="0" borderId="0">
      <alignment vertical="center"/>
    </xf>
    <xf numFmtId="0" fontId="18" fillId="0" borderId="0">
      <alignment horizontal="center" vertical="center"/>
    </xf>
    <xf numFmtId="0" fontId="28" fillId="0" borderId="0">
      <alignment horizontal="left" vertical="top" wrapText="1"/>
    </xf>
    <xf numFmtId="0" fontId="28" fillId="0" borderId="0">
      <alignment horizontal="left" vertical="center"/>
    </xf>
    <xf numFmtId="0" fontId="53" fillId="27" borderId="0" applyNumberFormat="0" applyBorder="0" applyAlignment="0"/>
    <xf numFmtId="0" fontId="13" fillId="27" borderId="0" applyNumberFormat="0" applyBorder="0" applyAlignment="0"/>
    <xf numFmtId="0" fontId="78" fillId="0" borderId="0">
      <alignment vertical="center"/>
    </xf>
    <xf numFmtId="0" fontId="108" fillId="0" borderId="0">
      <alignment horizontal="right" vertical="center" wrapText="1"/>
    </xf>
    <xf numFmtId="0" fontId="79" fillId="0" borderId="9">
      <alignment vertical="center"/>
    </xf>
    <xf numFmtId="0" fontId="80" fillId="0" borderId="0">
      <alignment vertical="center"/>
    </xf>
    <xf numFmtId="0" fontId="33" fillId="0" borderId="0">
      <alignment horizontal="centerContinuous" vertical="center" wrapText="1"/>
    </xf>
    <xf numFmtId="0" fontId="23" fillId="25" borderId="5">
      <alignment horizontal="center"/>
    </xf>
    <xf numFmtId="1" fontId="23" fillId="25" borderId="5">
      <alignment horizontal="center"/>
    </xf>
    <xf numFmtId="166" fontId="23" fillId="25" borderId="5"/>
    <xf numFmtId="14" fontId="23" fillId="25" borderId="5"/>
    <xf numFmtId="0" fontId="109" fillId="4" borderId="0" applyNumberFormat="0" applyBorder="0" applyAlignment="0" applyProtection="0"/>
    <xf numFmtId="0" fontId="110" fillId="0" borderId="0">
      <alignment horizontal="left" vertical="center"/>
    </xf>
    <xf numFmtId="0" fontId="110" fillId="0" borderId="0">
      <alignment horizontal="left" vertical="center"/>
    </xf>
    <xf numFmtId="0" fontId="61" fillId="20" borderId="0">
      <alignment horizontal="right" vertical="center"/>
    </xf>
    <xf numFmtId="0" fontId="111" fillId="0" borderId="0">
      <alignment vertical="center"/>
    </xf>
    <xf numFmtId="0" fontId="110" fillId="0" borderId="0">
      <alignment horizontal="left" vertical="center"/>
    </xf>
    <xf numFmtId="0" fontId="69" fillId="0" borderId="0">
      <alignment horizontal="left" vertical="top"/>
    </xf>
    <xf numFmtId="0" fontId="77" fillId="0" borderId="0">
      <alignment vertical="center"/>
    </xf>
    <xf numFmtId="0" fontId="81" fillId="0" borderId="0">
      <alignment vertical="center"/>
    </xf>
    <xf numFmtId="0" fontId="82" fillId="0" borderId="0">
      <alignment vertical="center"/>
    </xf>
    <xf numFmtId="0" fontId="13" fillId="0" borderId="0">
      <alignment horizontal="left" vertical="center"/>
    </xf>
    <xf numFmtId="0" fontId="112" fillId="0" borderId="10" applyNumberFormat="0" applyFill="0" applyAlignment="0" applyProtection="0"/>
    <xf numFmtId="0" fontId="113" fillId="0" borderId="11" applyNumberFormat="0" applyFill="0" applyAlignment="0" applyProtection="0"/>
    <xf numFmtId="0" fontId="114" fillId="0" borderId="12" applyNumberFormat="0" applyFill="0" applyAlignment="0" applyProtection="0"/>
    <xf numFmtId="0" fontId="114" fillId="0" borderId="0" applyNumberFormat="0" applyFill="0" applyBorder="0" applyAlignment="0" applyProtection="0"/>
    <xf numFmtId="0" fontId="33" fillId="0" borderId="0">
      <alignment horizontal="right" vertical="center"/>
    </xf>
    <xf numFmtId="0" fontId="33" fillId="0" borderId="0">
      <alignment horizontal="right" vertical="center"/>
    </xf>
    <xf numFmtId="208" fontId="68" fillId="0" borderId="0">
      <alignment vertical="center"/>
    </xf>
    <xf numFmtId="208" fontId="68" fillId="0" borderId="0">
      <alignment horizontal="right" vertical="center"/>
    </xf>
    <xf numFmtId="0" fontId="27" fillId="0" borderId="0" applyNumberFormat="0" applyFill="0" applyBorder="0" applyAlignment="0" applyProtection="0">
      <alignment vertical="top"/>
      <protection locked="0"/>
    </xf>
    <xf numFmtId="0" fontId="148" fillId="0" borderId="0" applyNumberFormat="0" applyFill="0" applyBorder="0" applyAlignment="0" applyProtection="0">
      <alignment vertical="top"/>
      <protection locked="0"/>
    </xf>
    <xf numFmtId="0" fontId="115" fillId="7" borderId="3" applyNumberFormat="0" applyAlignment="0" applyProtection="0"/>
    <xf numFmtId="0" fontId="116" fillId="0" borderId="13" applyNumberFormat="0" applyFill="0" applyAlignment="0" applyProtection="0"/>
    <xf numFmtId="0" fontId="23" fillId="28" borderId="14"/>
    <xf numFmtId="170" fontId="19" fillId="0" borderId="0">
      <alignment horizontal="left" vertical="center"/>
    </xf>
    <xf numFmtId="0" fontId="13" fillId="0" borderId="0">
      <alignment horizontal="left" vertical="center"/>
    </xf>
    <xf numFmtId="0" fontId="13" fillId="0" borderId="0">
      <alignment horizontal="center" vertical="center"/>
    </xf>
    <xf numFmtId="0" fontId="117" fillId="29" borderId="0" applyNumberFormat="0" applyBorder="0" applyAlignment="0" applyProtection="0"/>
    <xf numFmtId="0" fontId="19" fillId="0" borderId="0"/>
    <xf numFmtId="0" fontId="56" fillId="0" borderId="0"/>
    <xf numFmtId="176" fontId="30" fillId="0" borderId="0"/>
    <xf numFmtId="0" fontId="64" fillId="0" borderId="0"/>
    <xf numFmtId="0" fontId="12" fillId="0" borderId="0"/>
    <xf numFmtId="189" fontId="30" fillId="0" borderId="0"/>
    <xf numFmtId="0" fontId="12" fillId="0" borderId="0"/>
    <xf numFmtId="176" fontId="30" fillId="0" borderId="0"/>
    <xf numFmtId="0" fontId="57" fillId="0" borderId="0"/>
    <xf numFmtId="0" fontId="19" fillId="0" borderId="0">
      <alignment vertical="center"/>
    </xf>
    <xf numFmtId="0" fontId="19" fillId="0" borderId="0">
      <alignment vertical="center"/>
    </xf>
    <xf numFmtId="0" fontId="12" fillId="30" borderId="15" applyNumberFormat="0" applyFont="0" applyAlignment="0" applyProtection="0"/>
    <xf numFmtId="0" fontId="62" fillId="23" borderId="0">
      <alignment vertical="center"/>
    </xf>
    <xf numFmtId="0" fontId="19" fillId="0" borderId="0">
      <alignment horizontal="center" vertical="center"/>
    </xf>
    <xf numFmtId="0" fontId="19" fillId="0" borderId="0">
      <alignment horizontal="left" vertical="center"/>
    </xf>
    <xf numFmtId="0" fontId="19" fillId="0" borderId="0">
      <alignment horizontal="right" vertical="center"/>
    </xf>
    <xf numFmtId="0" fontId="19" fillId="0" borderId="0">
      <alignment horizontal="right" vertical="center"/>
    </xf>
    <xf numFmtId="0" fontId="83" fillId="0" borderId="0">
      <alignment horizontal="center" vertical="center"/>
    </xf>
    <xf numFmtId="205" fontId="23" fillId="0" borderId="0">
      <alignment horizontal="right" vertical="center"/>
    </xf>
    <xf numFmtId="206" fontId="19" fillId="0" borderId="0">
      <alignment horizontal="right" vertical="center"/>
    </xf>
    <xf numFmtId="205" fontId="31" fillId="0" borderId="0">
      <alignment horizontal="right" vertical="center"/>
    </xf>
    <xf numFmtId="206" fontId="13" fillId="0" borderId="0">
      <alignment horizontal="right" vertical="center"/>
    </xf>
    <xf numFmtId="205" fontId="13" fillId="0" borderId="0">
      <alignment horizontal="right" vertical="center"/>
    </xf>
    <xf numFmtId="207" fontId="45" fillId="0" borderId="0">
      <alignment horizontal="right" vertical="center"/>
    </xf>
    <xf numFmtId="205" fontId="19" fillId="0" borderId="0">
      <alignment horizontal="right" vertical="center"/>
    </xf>
    <xf numFmtId="207" fontId="22" fillId="0" borderId="0">
      <alignment horizontal="right" vertical="center"/>
    </xf>
    <xf numFmtId="0" fontId="28" fillId="0" borderId="0">
      <alignment horizontal="left" vertical="center"/>
    </xf>
    <xf numFmtId="0" fontId="118" fillId="21" borderId="16" applyNumberFormat="0" applyAlignment="0" applyProtection="0"/>
    <xf numFmtId="0" fontId="28" fillId="0" borderId="0">
      <alignment horizontal="left" vertical="center"/>
    </xf>
    <xf numFmtId="0" fontId="45" fillId="0" borderId="0">
      <alignment wrapText="1"/>
    </xf>
    <xf numFmtId="0" fontId="60" fillId="0" borderId="0">
      <alignment horizontal="left" wrapText="1"/>
    </xf>
    <xf numFmtId="196" fontId="60" fillId="0" borderId="0">
      <alignment horizontal="left" wrapText="1"/>
    </xf>
    <xf numFmtId="215" fontId="19" fillId="0" borderId="0">
      <alignment horizontal="center" vertical="center"/>
    </xf>
    <xf numFmtId="215" fontId="19" fillId="0" borderId="0">
      <alignment horizontal="center" vertical="center"/>
    </xf>
    <xf numFmtId="215" fontId="19" fillId="0" borderId="0">
      <alignment horizontal="centerContinuous" vertical="center"/>
    </xf>
    <xf numFmtId="215" fontId="19" fillId="0" borderId="0">
      <alignment horizontal="center" vertical="center"/>
    </xf>
    <xf numFmtId="49" fontId="18" fillId="0" borderId="0"/>
    <xf numFmtId="1" fontId="84" fillId="0" borderId="0">
      <alignment horizontal="right" vertical="center"/>
    </xf>
    <xf numFmtId="9" fontId="12" fillId="0" borderId="0" applyFont="0" applyFill="0" applyBorder="0" applyAlignment="0" applyProtection="0"/>
    <xf numFmtId="177" fontId="19" fillId="0" borderId="0">
      <alignment horizontal="right" vertical="center"/>
    </xf>
    <xf numFmtId="177" fontId="13" fillId="0" borderId="0">
      <alignment horizontal="right" vertical="center"/>
    </xf>
    <xf numFmtId="198" fontId="22" fillId="0" borderId="0">
      <alignment horizontal="right" vertical="center"/>
    </xf>
    <xf numFmtId="0" fontId="19" fillId="0" borderId="0">
      <alignment horizontal="right" vertical="center"/>
    </xf>
    <xf numFmtId="0" fontId="19" fillId="0" borderId="0">
      <alignment horizontal="right" vertical="center"/>
    </xf>
    <xf numFmtId="212" fontId="19" fillId="0" borderId="0">
      <alignment horizontal="right" vertical="center"/>
    </xf>
    <xf numFmtId="212" fontId="19" fillId="0" borderId="0">
      <alignment horizontal="right" vertical="center"/>
    </xf>
    <xf numFmtId="212" fontId="19" fillId="0" borderId="17">
      <alignment horizontal="right" vertical="center"/>
    </xf>
    <xf numFmtId="212" fontId="83" fillId="31" borderId="18">
      <alignment horizontal="right" vertical="center"/>
    </xf>
    <xf numFmtId="212" fontId="19" fillId="0" borderId="8">
      <alignment horizontal="right" vertical="center"/>
    </xf>
    <xf numFmtId="212" fontId="85" fillId="31" borderId="18">
      <alignment horizontal="right" vertical="center"/>
    </xf>
    <xf numFmtId="0" fontId="77" fillId="0" borderId="19">
      <alignment vertical="center"/>
    </xf>
    <xf numFmtId="0" fontId="18" fillId="0" borderId="0">
      <alignment horizontal="left" vertical="center"/>
    </xf>
    <xf numFmtId="0" fontId="86" fillId="0" borderId="0">
      <alignment horizontal="left" vertical="center"/>
    </xf>
    <xf numFmtId="0" fontId="149" fillId="0" borderId="0">
      <alignment horizontal="left" vertical="center"/>
    </xf>
    <xf numFmtId="0" fontId="28" fillId="0" borderId="0">
      <alignment horizontal="left" vertical="center"/>
    </xf>
    <xf numFmtId="0" fontId="69" fillId="0" borderId="0">
      <alignment horizontal="left" vertical="top"/>
    </xf>
    <xf numFmtId="0" fontId="28" fillId="0" borderId="0">
      <alignment horizontal="left" vertical="center"/>
    </xf>
    <xf numFmtId="0" fontId="31" fillId="0" borderId="0">
      <alignment vertical="center"/>
    </xf>
    <xf numFmtId="205" fontId="31" fillId="0" borderId="0">
      <alignment horizontal="right" vertical="center"/>
    </xf>
    <xf numFmtId="0" fontId="23" fillId="0" borderId="0">
      <alignment vertical="center"/>
    </xf>
    <xf numFmtId="0" fontId="31" fillId="0" borderId="0">
      <alignment vertical="center"/>
    </xf>
    <xf numFmtId="0" fontId="87" fillId="32" borderId="0">
      <alignment horizontal="left" vertical="center"/>
    </xf>
    <xf numFmtId="0" fontId="13" fillId="0" borderId="0">
      <alignment horizontal="left" vertical="center"/>
    </xf>
    <xf numFmtId="0" fontId="13" fillId="0" borderId="0">
      <alignment horizontal="left" vertical="top"/>
    </xf>
    <xf numFmtId="214" fontId="13" fillId="0" borderId="8">
      <alignment horizontal="right" vertical="center"/>
    </xf>
    <xf numFmtId="214" fontId="13" fillId="0" borderId="8">
      <alignment horizontal="right" vertical="center"/>
    </xf>
    <xf numFmtId="0" fontId="13" fillId="0" borderId="0">
      <alignment horizontal="left" vertical="center"/>
    </xf>
    <xf numFmtId="0" fontId="18" fillId="0" borderId="0">
      <alignment horizontal="center" vertical="center"/>
    </xf>
    <xf numFmtId="0" fontId="19" fillId="0" borderId="18">
      <alignment horizontal="left" vertical="center"/>
    </xf>
    <xf numFmtId="0" fontId="68" fillId="0" borderId="20">
      <alignment vertical="center"/>
    </xf>
    <xf numFmtId="164" fontId="12" fillId="0" borderId="0" applyFont="0" applyFill="0" applyBorder="0" applyAlignment="0" applyProtection="0"/>
    <xf numFmtId="164" fontId="19" fillId="0" borderId="0" applyFont="0" applyFill="0" applyBorder="0" applyAlignment="0" applyProtection="0"/>
    <xf numFmtId="0" fontId="88" fillId="0" borderId="0">
      <alignment vertical="center"/>
    </xf>
    <xf numFmtId="0" fontId="89" fillId="0" borderId="0">
      <alignment horizontal="left" vertical="center"/>
    </xf>
    <xf numFmtId="0" fontId="33" fillId="0" borderId="0">
      <alignment horizontal="right" vertical="center"/>
    </xf>
    <xf numFmtId="1" fontId="33" fillId="0" borderId="0">
      <alignment horizontal="right" vertical="center"/>
    </xf>
    <xf numFmtId="1" fontId="33" fillId="0" borderId="0">
      <alignment horizontal="right" vertical="center"/>
    </xf>
    <xf numFmtId="0" fontId="75" fillId="0" borderId="0">
      <alignment vertical="center"/>
    </xf>
    <xf numFmtId="0" fontId="90" fillId="0" borderId="0">
      <alignment vertical="center"/>
    </xf>
    <xf numFmtId="214" fontId="22" fillId="0" borderId="17">
      <alignment horizontal="right" vertical="center"/>
    </xf>
    <xf numFmtId="214" fontId="22" fillId="0" borderId="17">
      <alignment horizontal="right" vertical="center"/>
    </xf>
    <xf numFmtId="214" fontId="22" fillId="0" borderId="17">
      <alignment horizontal="right" vertical="center"/>
    </xf>
    <xf numFmtId="214" fontId="19" fillId="0" borderId="18">
      <alignment horizontal="right" vertical="center"/>
    </xf>
    <xf numFmtId="214" fontId="19" fillId="0" borderId="17">
      <alignment horizontal="right" vertical="center"/>
    </xf>
    <xf numFmtId="0" fontId="13" fillId="0" borderId="0">
      <alignment horizontal="left" vertical="center"/>
    </xf>
    <xf numFmtId="0" fontId="45" fillId="0" borderId="0">
      <alignment horizontal="left" vertical="center"/>
    </xf>
    <xf numFmtId="0" fontId="23" fillId="0" borderId="0">
      <alignment vertical="top"/>
    </xf>
    <xf numFmtId="0" fontId="13" fillId="0" borderId="0">
      <alignment vertical="center"/>
    </xf>
    <xf numFmtId="0" fontId="45" fillId="0" borderId="0">
      <alignment vertical="center"/>
    </xf>
    <xf numFmtId="0" fontId="19" fillId="0" borderId="0">
      <alignment horizontal="left" vertical="top" wrapText="1"/>
    </xf>
    <xf numFmtId="0" fontId="19" fillId="0" borderId="0">
      <alignment vertical="top"/>
    </xf>
    <xf numFmtId="0" fontId="22" fillId="0" borderId="0">
      <alignment horizontal="left" vertical="top"/>
    </xf>
    <xf numFmtId="0" fontId="23" fillId="0" borderId="0">
      <alignment horizontal="left" vertical="top"/>
    </xf>
    <xf numFmtId="49" fontId="23" fillId="0" borderId="0">
      <alignment wrapText="1"/>
    </xf>
    <xf numFmtId="49" fontId="31" fillId="0" borderId="0">
      <alignment horizontal="left"/>
    </xf>
    <xf numFmtId="0" fontId="45" fillId="0" borderId="14">
      <alignment horizontal="center" vertical="center" wrapText="1"/>
    </xf>
    <xf numFmtId="0" fontId="119" fillId="0" borderId="21" applyNumberFormat="0" applyFill="0" applyAlignment="0" applyProtection="0"/>
    <xf numFmtId="214" fontId="19" fillId="0" borderId="8">
      <alignment horizontal="right" vertical="center"/>
    </xf>
    <xf numFmtId="214" fontId="19" fillId="0" borderId="8">
      <alignment horizontal="right" vertical="center"/>
    </xf>
    <xf numFmtId="0" fontId="13" fillId="0" borderId="0">
      <alignment horizontal="left" vertical="center"/>
    </xf>
    <xf numFmtId="0" fontId="120" fillId="0" borderId="0" applyNumberFormat="0" applyFill="0" applyBorder="0" applyAlignment="0" applyProtection="0"/>
    <xf numFmtId="0" fontId="91" fillId="33" borderId="0">
      <alignment horizontal="left" vertical="center" wrapText="1"/>
    </xf>
    <xf numFmtId="205" fontId="91" fillId="33" borderId="0">
      <alignment horizontal="right" vertical="center"/>
    </xf>
    <xf numFmtId="49" fontId="61" fillId="34" borderId="0">
      <alignment vertical="center" wrapText="1"/>
    </xf>
    <xf numFmtId="49" fontId="23" fillId="24" borderId="14">
      <alignment horizontal="center" vertical="center" wrapText="1"/>
      <protection locked="0"/>
    </xf>
    <xf numFmtId="14" fontId="23" fillId="24" borderId="14">
      <alignment horizontal="center" vertical="center"/>
      <protection locked="0"/>
    </xf>
    <xf numFmtId="0" fontId="13" fillId="0" borderId="14">
      <alignment horizontal="center" vertical="center"/>
    </xf>
    <xf numFmtId="0" fontId="31" fillId="0" borderId="0">
      <alignment horizontal="right" vertical="center"/>
    </xf>
    <xf numFmtId="0" fontId="12" fillId="0" borderId="0">
      <alignment horizontal="left" vertical="center" wrapText="1"/>
    </xf>
    <xf numFmtId="0" fontId="12" fillId="0" borderId="0">
      <alignment horizontal="left" vertical="center" wrapText="1"/>
    </xf>
    <xf numFmtId="0" fontId="12" fillId="0" borderId="0" applyNumberFormat="0" applyFont="0" applyBorder="0" applyAlignment="0">
      <alignment vertical="center"/>
    </xf>
    <xf numFmtId="0" fontId="12" fillId="0" borderId="0" applyNumberFormat="0" applyFont="0" applyBorder="0" applyAlignment="0">
      <alignment vertical="center"/>
    </xf>
    <xf numFmtId="0" fontId="12" fillId="0" borderId="1">
      <alignment vertical="center"/>
    </xf>
    <xf numFmtId="0" fontId="12" fillId="0" borderId="0">
      <alignment horizontal="left" vertical="center" wrapText="1"/>
    </xf>
    <xf numFmtId="0" fontId="12" fillId="0" borderId="0">
      <alignment horizontal="left" vertical="center" wrapText="1"/>
    </xf>
    <xf numFmtId="0" fontId="12" fillId="0" borderId="0">
      <alignment horizontal="left" vertical="center" wrapText="1"/>
    </xf>
    <xf numFmtId="166" fontId="12" fillId="0" borderId="0" applyFont="0" applyFill="0" applyBorder="0" applyAlignment="0" applyProtection="0"/>
    <xf numFmtId="205" fontId="12" fillId="0" borderId="0">
      <alignment horizontal="right" vertical="top"/>
    </xf>
    <xf numFmtId="177" fontId="12" fillId="0" borderId="0">
      <alignment vertical="center"/>
    </xf>
    <xf numFmtId="0" fontId="12" fillId="0" borderId="0">
      <alignment horizontal="right" vertical="top"/>
    </xf>
    <xf numFmtId="165" fontId="12" fillId="0" borderId="0" applyFont="0" applyFill="0" applyBorder="0" applyAlignment="0" applyProtection="0"/>
    <xf numFmtId="0" fontId="12" fillId="0" borderId="0">
      <alignment horizontal="right"/>
    </xf>
    <xf numFmtId="214" fontId="12" fillId="0" borderId="0">
      <alignment horizontal="right" vertical="center"/>
    </xf>
    <xf numFmtId="214" fontId="12" fillId="0" borderId="0">
      <alignment horizontal="right" vertical="center"/>
    </xf>
    <xf numFmtId="0" fontId="12" fillId="0" borderId="0">
      <alignment horizontal="left" vertical="center" wrapText="1"/>
    </xf>
    <xf numFmtId="0" fontId="12" fillId="0" borderId="0">
      <alignment horizontal="left" vertical="top" wrapText="1"/>
    </xf>
    <xf numFmtId="0" fontId="12" fillId="0" borderId="0">
      <alignment horizontal="left" vertical="top"/>
    </xf>
    <xf numFmtId="0" fontId="12" fillId="0" borderId="0">
      <alignment horizontal="left" vertical="top"/>
    </xf>
    <xf numFmtId="0" fontId="12" fillId="0" borderId="0">
      <alignment horizontal="left" vertical="center" wrapText="1"/>
    </xf>
    <xf numFmtId="0" fontId="27" fillId="0" borderId="0" applyNumberFormat="0" applyFill="0" applyBorder="0" applyAlignment="0" applyProtection="0">
      <alignment vertical="top"/>
      <protection locked="0"/>
    </xf>
    <xf numFmtId="170" fontId="12" fillId="0" borderId="0">
      <alignment horizontal="left" vertical="center"/>
    </xf>
    <xf numFmtId="0" fontId="12" fillId="0" borderId="0">
      <alignment horizontal="left" vertical="center" wrapText="1"/>
    </xf>
    <xf numFmtId="0" fontId="12" fillId="0" borderId="0"/>
    <xf numFmtId="0" fontId="12" fillId="0" borderId="0">
      <alignment horizontal="left" vertical="center" wrapText="1"/>
    </xf>
    <xf numFmtId="0" fontId="12" fillId="0" borderId="0">
      <alignment horizontal="center" vertical="center"/>
    </xf>
    <xf numFmtId="0" fontId="12" fillId="0" borderId="0">
      <alignment horizontal="left" vertical="center"/>
    </xf>
    <xf numFmtId="0" fontId="12" fillId="0" borderId="0">
      <alignment horizontal="right" vertical="center"/>
    </xf>
    <xf numFmtId="0" fontId="12" fillId="0" borderId="0">
      <alignment horizontal="right" vertical="center"/>
    </xf>
    <xf numFmtId="206" fontId="12" fillId="0" borderId="0">
      <alignment horizontal="right" vertical="center"/>
    </xf>
    <xf numFmtId="0" fontId="52" fillId="0" borderId="0">
      <alignment horizontal="left" wrapText="1"/>
    </xf>
    <xf numFmtId="196" fontId="52" fillId="0" borderId="0">
      <alignment horizontal="left" wrapText="1"/>
    </xf>
    <xf numFmtId="215" fontId="12" fillId="0" borderId="0">
      <alignment horizontal="center" vertical="center"/>
    </xf>
    <xf numFmtId="215" fontId="12" fillId="0" borderId="0">
      <alignment horizontal="center" vertical="center"/>
    </xf>
    <xf numFmtId="215" fontId="12" fillId="0" borderId="0">
      <alignment horizontal="centerContinuous" vertical="center"/>
    </xf>
    <xf numFmtId="215" fontId="12" fillId="0" borderId="0">
      <alignment horizontal="center" vertical="center"/>
    </xf>
    <xf numFmtId="177" fontId="12" fillId="0" borderId="0">
      <alignment horizontal="right" vertical="center"/>
    </xf>
    <xf numFmtId="0" fontId="12" fillId="0" borderId="0">
      <alignment horizontal="right" vertical="center"/>
    </xf>
    <xf numFmtId="0" fontId="12" fillId="0" borderId="0">
      <alignment horizontal="right" vertical="center"/>
    </xf>
    <xf numFmtId="212" fontId="12" fillId="0" borderId="0">
      <alignment horizontal="right" vertical="center"/>
    </xf>
    <xf numFmtId="212" fontId="12" fillId="0" borderId="0">
      <alignment horizontal="right" vertical="center"/>
    </xf>
    <xf numFmtId="212" fontId="12" fillId="0" borderId="17">
      <alignment horizontal="right" vertical="center"/>
    </xf>
    <xf numFmtId="212" fontId="12" fillId="0" borderId="8">
      <alignment horizontal="right" vertical="center"/>
    </xf>
    <xf numFmtId="0" fontId="86" fillId="0" borderId="0">
      <alignment horizontal="left" vertical="center"/>
    </xf>
    <xf numFmtId="0" fontId="12" fillId="0" borderId="18">
      <alignment horizontal="left" vertical="center"/>
    </xf>
    <xf numFmtId="164" fontId="12" fillId="0" borderId="0" applyFont="0" applyFill="0" applyBorder="0" applyAlignment="0" applyProtection="0"/>
    <xf numFmtId="214" fontId="12" fillId="0" borderId="18">
      <alignment horizontal="right" vertical="center"/>
    </xf>
    <xf numFmtId="214" fontId="12" fillId="0" borderId="17">
      <alignment horizontal="right" vertical="center"/>
    </xf>
    <xf numFmtId="0" fontId="12" fillId="0" borderId="0">
      <alignment horizontal="left" vertical="top" wrapText="1"/>
    </xf>
    <xf numFmtId="214" fontId="12" fillId="0" borderId="8">
      <alignment horizontal="right" vertical="center"/>
    </xf>
    <xf numFmtId="214" fontId="12" fillId="0" borderId="8">
      <alignment horizontal="right" vertical="center"/>
    </xf>
    <xf numFmtId="0" fontId="11" fillId="0" borderId="0"/>
    <xf numFmtId="166" fontId="11" fillId="0" borderId="0" applyFont="0" applyFill="0" applyBorder="0" applyAlignment="0" applyProtection="0"/>
    <xf numFmtId="9" fontId="11" fillId="0" borderId="0" applyFont="0" applyFill="0" applyBorder="0" applyAlignment="0" applyProtection="0"/>
    <xf numFmtId="0" fontId="12" fillId="0" borderId="0"/>
    <xf numFmtId="0" fontId="10" fillId="0" borderId="0"/>
    <xf numFmtId="9"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0" fontId="12" fillId="0" borderId="0"/>
    <xf numFmtId="166" fontId="12" fillId="0" borderId="0" applyFont="0" applyFill="0" applyBorder="0" applyAlignment="0" applyProtection="0"/>
    <xf numFmtId="166" fontId="12" fillId="0" borderId="0" applyFont="0" applyFill="0" applyBorder="0" applyAlignment="0" applyProtection="0"/>
    <xf numFmtId="0" fontId="12" fillId="0" borderId="0"/>
    <xf numFmtId="165" fontId="12" fillId="0" borderId="0" applyFont="0" applyFill="0" applyBorder="0" applyAlignment="0" applyProtection="0"/>
    <xf numFmtId="0" fontId="56" fillId="0" borderId="0"/>
    <xf numFmtId="166" fontId="12" fillId="0" borderId="0" applyFont="0" applyFill="0" applyBorder="0" applyAlignment="0" applyProtection="0"/>
    <xf numFmtId="0" fontId="12" fillId="0" borderId="0"/>
    <xf numFmtId="0" fontId="12" fillId="0" borderId="0">
      <alignment vertical="center"/>
    </xf>
    <xf numFmtId="0" fontId="12" fillId="0" borderId="0"/>
    <xf numFmtId="0" fontId="166" fillId="0" borderId="0">
      <alignment horizontal="left" vertical="center"/>
    </xf>
    <xf numFmtId="0" fontId="9" fillId="0" borderId="0"/>
    <xf numFmtId="9" fontId="12" fillId="0" borderId="0" applyFont="0" applyFill="0" applyBorder="0" applyAlignment="0" applyProtection="0"/>
    <xf numFmtId="0" fontId="18" fillId="49" borderId="14" applyNumberFormat="0" applyFont="0" applyBorder="0" applyAlignment="0" applyProtection="0"/>
    <xf numFmtId="0" fontId="68" fillId="0" borderId="250">
      <alignment vertical="center"/>
    </xf>
    <xf numFmtId="0" fontId="23" fillId="24" borderId="5">
      <alignment wrapText="1"/>
      <protection locked="0"/>
    </xf>
    <xf numFmtId="0" fontId="8" fillId="0" borderId="0"/>
    <xf numFmtId="166" fontId="8" fillId="0" borderId="0" applyFont="0" applyFill="0" applyBorder="0" applyAlignment="0" applyProtection="0"/>
    <xf numFmtId="9" fontId="8" fillId="0" borderId="0" applyFont="0" applyFill="0" applyBorder="0" applyAlignment="0" applyProtection="0"/>
    <xf numFmtId="0" fontId="185" fillId="0" borderId="0" applyNumberFormat="0" applyFill="0" applyBorder="0" applyAlignment="0" applyProtection="0"/>
    <xf numFmtId="0" fontId="7" fillId="0" borderId="0"/>
    <xf numFmtId="0" fontId="6" fillId="0" borderId="0"/>
    <xf numFmtId="0" fontId="18" fillId="51" borderId="14" applyNumberFormat="0" applyFont="0" applyBorder="0" applyAlignment="0" applyProtection="0">
      <alignment horizontal="right"/>
    </xf>
    <xf numFmtId="0" fontId="5" fillId="0" borderId="0"/>
    <xf numFmtId="166"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5" fillId="0" borderId="0"/>
    <xf numFmtId="0" fontId="4" fillId="0" borderId="0"/>
    <xf numFmtId="0" fontId="4" fillId="0" borderId="0"/>
    <xf numFmtId="0" fontId="4" fillId="0" borderId="0"/>
    <xf numFmtId="165" fontId="4" fillId="0" borderId="0" applyFont="0" applyFill="0" applyBorder="0" applyAlignment="0" applyProtection="0"/>
    <xf numFmtId="9" fontId="4" fillId="0" borderId="0" applyFont="0" applyFill="0" applyBorder="0" applyAlignment="0" applyProtection="0"/>
    <xf numFmtId="0" fontId="3" fillId="0" borderId="0"/>
    <xf numFmtId="165" fontId="3" fillId="0" borderId="0" applyFon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2" fillId="0" borderId="0"/>
    <xf numFmtId="166" fontId="2" fillId="0" borderId="0" applyFont="0" applyFill="0" applyBorder="0" applyAlignment="0" applyProtection="0"/>
    <xf numFmtId="9" fontId="2" fillId="0" borderId="0" applyFont="0" applyFill="0" applyBorder="0" applyAlignment="0" applyProtection="0"/>
    <xf numFmtId="165" fontId="12" fillId="0" borderId="0" applyFont="0" applyFill="0" applyBorder="0" applyAlignment="0" applyProtection="0"/>
    <xf numFmtId="0" fontId="77" fillId="0" borderId="309">
      <alignment vertical="center"/>
    </xf>
    <xf numFmtId="166" fontId="12" fillId="0" borderId="0" applyFont="0" applyFill="0" applyBorder="0" applyAlignment="0" applyProtection="0"/>
    <xf numFmtId="166" fontId="12" fillId="0" borderId="0" applyFont="0" applyFill="0" applyBorder="0" applyAlignment="0" applyProtection="0"/>
    <xf numFmtId="165" fontId="12" fillId="0" borderId="0" applyFont="0" applyFill="0" applyBorder="0" applyAlignment="0" applyProtection="0"/>
    <xf numFmtId="165" fontId="12" fillId="0" borderId="0" applyFont="0" applyFill="0" applyBorder="0" applyAlignment="0" applyProtection="0"/>
    <xf numFmtId="166" fontId="23" fillId="24" borderId="5">
      <protection locked="0"/>
    </xf>
    <xf numFmtId="165" fontId="23" fillId="25" borderId="6"/>
    <xf numFmtId="165" fontId="23" fillId="25" borderId="7"/>
    <xf numFmtId="165" fontId="12" fillId="0" borderId="0" applyFont="0" applyFill="0" applyBorder="0" applyAlignment="0" applyProtection="0"/>
    <xf numFmtId="0" fontId="77" fillId="0" borderId="303">
      <alignment vertical="center"/>
    </xf>
    <xf numFmtId="0" fontId="68" fillId="0" borderId="306">
      <alignment vertical="center"/>
    </xf>
    <xf numFmtId="166" fontId="23" fillId="25" borderId="5"/>
    <xf numFmtId="0" fontId="77" fillId="0" borderId="307">
      <alignment vertical="center"/>
    </xf>
    <xf numFmtId="0" fontId="77" fillId="0" borderId="305">
      <alignment vertical="center"/>
    </xf>
    <xf numFmtId="165" fontId="12" fillId="0" borderId="0" applyFont="0" applyFill="0" applyBorder="0" applyAlignment="0" applyProtection="0"/>
    <xf numFmtId="165"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0" fontId="68" fillId="0" borderId="302">
      <alignment vertical="center"/>
    </xf>
    <xf numFmtId="166" fontId="12" fillId="0" borderId="0" applyFont="0" applyFill="0" applyBorder="0" applyAlignment="0" applyProtection="0"/>
    <xf numFmtId="165" fontId="12" fillId="0" borderId="0" applyFont="0" applyFill="0" applyBorder="0" applyAlignment="0" applyProtection="0"/>
    <xf numFmtId="0" fontId="68" fillId="0" borderId="308">
      <alignment vertical="center"/>
    </xf>
    <xf numFmtId="0" fontId="68" fillId="0" borderId="304">
      <alignment vertical="center"/>
    </xf>
    <xf numFmtId="164" fontId="12" fillId="0" borderId="0" applyFont="0" applyFill="0" applyBorder="0" applyAlignment="0" applyProtection="0"/>
    <xf numFmtId="0" fontId="1" fillId="0" borderId="0"/>
    <xf numFmtId="166"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166"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cellStyleXfs>
  <cellXfs count="4169">
    <xf numFmtId="0" fontId="0" fillId="0" borderId="0" xfId="0"/>
    <xf numFmtId="0" fontId="19" fillId="35" borderId="0" xfId="0" applyFont="1" applyFill="1"/>
    <xf numFmtId="0" fontId="22" fillId="35" borderId="0" xfId="0" applyFont="1" applyFill="1"/>
    <xf numFmtId="0" fontId="13" fillId="35" borderId="0" xfId="0" applyFont="1" applyFill="1"/>
    <xf numFmtId="0" fontId="19" fillId="35" borderId="0" xfId="0" applyFont="1" applyFill="1" applyAlignment="1">
      <alignment horizontal="left"/>
    </xf>
    <xf numFmtId="0" fontId="13" fillId="35" borderId="0" xfId="0" applyFont="1" applyFill="1" applyAlignment="1">
      <alignment horizontal="right"/>
    </xf>
    <xf numFmtId="0" fontId="13" fillId="35" borderId="0" xfId="0" applyFont="1" applyFill="1" applyAlignment="1">
      <alignment horizontal="center"/>
    </xf>
    <xf numFmtId="0" fontId="19" fillId="35" borderId="20" xfId="0" applyFont="1" applyFill="1" applyBorder="1"/>
    <xf numFmtId="0" fontId="19" fillId="35" borderId="0" xfId="0" applyFont="1" applyFill="1" applyBorder="1"/>
    <xf numFmtId="0" fontId="13" fillId="35" borderId="0" xfId="0" applyFont="1" applyFill="1" applyAlignment="1">
      <alignment horizontal="left"/>
    </xf>
    <xf numFmtId="0" fontId="19" fillId="35" borderId="0" xfId="0" applyFont="1" applyFill="1" applyAlignment="1">
      <alignment horizontal="center"/>
    </xf>
    <xf numFmtId="0" fontId="13" fillId="35" borderId="0" xfId="0" applyFont="1" applyFill="1" applyBorder="1" applyAlignment="1">
      <alignment horizontal="center"/>
    </xf>
    <xf numFmtId="0" fontId="13" fillId="35" borderId="0" xfId="0" applyFont="1" applyFill="1" applyBorder="1" applyAlignment="1">
      <alignment horizontal="left"/>
    </xf>
    <xf numFmtId="0" fontId="19" fillId="35" borderId="0" xfId="0" applyFont="1" applyFill="1" applyBorder="1" applyAlignment="1">
      <alignment horizontal="left"/>
    </xf>
    <xf numFmtId="165" fontId="19" fillId="35" borderId="0" xfId="56" applyFont="1" applyFill="1"/>
    <xf numFmtId="0" fontId="14" fillId="35" borderId="22" xfId="0" applyFont="1" applyFill="1" applyBorder="1"/>
    <xf numFmtId="0" fontId="19" fillId="35" borderId="18" xfId="0" applyFont="1" applyFill="1" applyBorder="1"/>
    <xf numFmtId="0" fontId="19" fillId="35" borderId="23" xfId="0" applyFont="1" applyFill="1" applyBorder="1"/>
    <xf numFmtId="172" fontId="19" fillId="35" borderId="0" xfId="0" applyNumberFormat="1" applyFont="1" applyFill="1" applyBorder="1"/>
    <xf numFmtId="165" fontId="19" fillId="35" borderId="24" xfId="56" applyFont="1" applyFill="1" applyBorder="1"/>
    <xf numFmtId="165" fontId="19" fillId="35" borderId="0" xfId="56" applyFont="1" applyFill="1" applyBorder="1"/>
    <xf numFmtId="0" fontId="19" fillId="35" borderId="25" xfId="0" applyFont="1" applyFill="1" applyBorder="1"/>
    <xf numFmtId="0" fontId="14" fillId="35" borderId="0" xfId="0" applyFont="1" applyFill="1"/>
    <xf numFmtId="165" fontId="13" fillId="35" borderId="0" xfId="56" applyFont="1" applyFill="1" applyBorder="1"/>
    <xf numFmtId="0" fontId="13" fillId="35" borderId="22" xfId="0" applyFont="1" applyFill="1" applyBorder="1" applyAlignment="1">
      <alignment horizontal="center"/>
    </xf>
    <xf numFmtId="0" fontId="13" fillId="35" borderId="18" xfId="0" applyFont="1" applyFill="1" applyBorder="1" applyAlignment="1">
      <alignment horizontal="center"/>
    </xf>
    <xf numFmtId="0" fontId="13" fillId="35" borderId="26" xfId="0" applyFont="1" applyFill="1" applyBorder="1" applyAlignment="1">
      <alignment horizontal="center"/>
    </xf>
    <xf numFmtId="0" fontId="19" fillId="35" borderId="0" xfId="0" applyFont="1" applyFill="1" applyBorder="1" applyAlignment="1">
      <alignment horizontal="center"/>
    </xf>
    <xf numFmtId="0" fontId="19" fillId="35" borderId="24" xfId="0" applyFont="1" applyFill="1" applyBorder="1"/>
    <xf numFmtId="0" fontId="13" fillId="35" borderId="22" xfId="0" applyFont="1" applyFill="1" applyBorder="1"/>
    <xf numFmtId="0" fontId="19" fillId="35" borderId="26" xfId="0" applyFont="1" applyFill="1" applyBorder="1"/>
    <xf numFmtId="0" fontId="19" fillId="35" borderId="27" xfId="0" applyFont="1" applyFill="1" applyBorder="1"/>
    <xf numFmtId="0" fontId="19" fillId="35" borderId="0" xfId="0" applyFont="1" applyFill="1" applyAlignment="1">
      <alignment vertical="top"/>
    </xf>
    <xf numFmtId="0" fontId="19" fillId="35" borderId="0" xfId="0" applyFont="1" applyFill="1" applyAlignment="1">
      <alignment horizontal="center" vertical="top"/>
    </xf>
    <xf numFmtId="0" fontId="13" fillId="35" borderId="0" xfId="0" applyFont="1" applyFill="1" applyAlignment="1">
      <alignment horizontal="left" vertical="top"/>
    </xf>
    <xf numFmtId="0" fontId="13" fillId="35" borderId="0" xfId="0" applyFont="1" applyFill="1" applyAlignment="1">
      <alignment vertical="top"/>
    </xf>
    <xf numFmtId="175" fontId="13" fillId="35" borderId="0" xfId="0" applyNumberFormat="1" applyFont="1" applyFill="1" applyAlignment="1">
      <alignment vertical="top"/>
    </xf>
    <xf numFmtId="0" fontId="21" fillId="35" borderId="0" xfId="0" applyFont="1" applyFill="1"/>
    <xf numFmtId="165" fontId="13" fillId="35" borderId="0" xfId="56" applyFont="1" applyFill="1" applyAlignment="1">
      <alignment horizontal="center"/>
    </xf>
    <xf numFmtId="0" fontId="22" fillId="35" borderId="0" xfId="0" applyFont="1" applyFill="1" applyAlignment="1">
      <alignment horizontal="center"/>
    </xf>
    <xf numFmtId="0" fontId="18" fillId="35" borderId="0" xfId="0" applyFont="1" applyFill="1" applyBorder="1" applyAlignment="1">
      <alignment horizontal="center"/>
    </xf>
    <xf numFmtId="0" fontId="19" fillId="35" borderId="0" xfId="0" applyNumberFormat="1" applyFont="1" applyFill="1" applyBorder="1" applyAlignment="1">
      <alignment horizontal="left"/>
    </xf>
    <xf numFmtId="175" fontId="19" fillId="35" borderId="0" xfId="0" applyNumberFormat="1" applyFont="1" applyFill="1" applyAlignment="1">
      <alignment horizontal="left"/>
    </xf>
    <xf numFmtId="0" fontId="18" fillId="35" borderId="0" xfId="0" applyFont="1" applyFill="1" applyBorder="1" applyAlignment="1">
      <alignment horizontal="center" vertical="top"/>
    </xf>
    <xf numFmtId="0" fontId="13" fillId="35" borderId="0" xfId="0" applyFont="1" applyFill="1" applyAlignment="1">
      <alignment horizontal="right" vertical="top"/>
    </xf>
    <xf numFmtId="0" fontId="0" fillId="35" borderId="0" xfId="0" applyFill="1"/>
    <xf numFmtId="165" fontId="18" fillId="35" borderId="0" xfId="56" applyFont="1" applyFill="1" applyBorder="1" applyAlignment="1">
      <alignment horizontal="center"/>
    </xf>
    <xf numFmtId="175" fontId="13" fillId="35" borderId="0" xfId="0" applyNumberFormat="1" applyFont="1" applyFill="1" applyAlignment="1">
      <alignment horizontal="right" vertical="top"/>
    </xf>
    <xf numFmtId="0" fontId="13" fillId="35" borderId="24" xfId="0" applyFont="1" applyFill="1" applyBorder="1" applyAlignment="1">
      <alignment horizontal="center"/>
    </xf>
    <xf numFmtId="14" fontId="19" fillId="35" borderId="0" xfId="0" applyNumberFormat="1" applyFont="1" applyFill="1"/>
    <xf numFmtId="165" fontId="13" fillId="35" borderId="18" xfId="56" applyFont="1" applyFill="1" applyBorder="1" applyAlignment="1">
      <alignment horizontal="center"/>
    </xf>
    <xf numFmtId="165" fontId="13" fillId="35" borderId="26" xfId="56" applyFont="1" applyFill="1" applyBorder="1" applyAlignment="1">
      <alignment horizontal="center"/>
    </xf>
    <xf numFmtId="175" fontId="19" fillId="35" borderId="0" xfId="0" applyNumberFormat="1" applyFont="1" applyFill="1" applyAlignment="1" applyProtection="1">
      <alignment horizontal="center"/>
      <protection locked="0"/>
    </xf>
    <xf numFmtId="0" fontId="19" fillId="35" borderId="0" xfId="0" quotePrefix="1" applyFont="1" applyFill="1" applyAlignment="1">
      <alignment horizontal="center"/>
    </xf>
    <xf numFmtId="0" fontId="13" fillId="35" borderId="0" xfId="0" applyFont="1" applyFill="1" applyBorder="1"/>
    <xf numFmtId="14" fontId="19" fillId="35" borderId="0" xfId="0" applyNumberFormat="1" applyFont="1" applyFill="1" applyBorder="1"/>
    <xf numFmtId="175" fontId="13" fillId="35" borderId="0" xfId="0" applyNumberFormat="1" applyFont="1" applyFill="1" applyBorder="1"/>
    <xf numFmtId="0" fontId="13" fillId="35" borderId="18" xfId="0" applyFont="1" applyFill="1" applyBorder="1"/>
    <xf numFmtId="0" fontId="13" fillId="35" borderId="23" xfId="0" applyFont="1" applyFill="1" applyBorder="1"/>
    <xf numFmtId="0" fontId="15" fillId="35" borderId="0" xfId="0" applyFont="1" applyFill="1" applyBorder="1" applyAlignment="1">
      <alignment horizontal="center"/>
    </xf>
    <xf numFmtId="0" fontId="14" fillId="35" borderId="0" xfId="0" applyFont="1" applyFill="1" applyAlignment="1">
      <alignment horizontal="center"/>
    </xf>
    <xf numFmtId="0" fontId="19" fillId="35" borderId="0" xfId="0" quotePrefix="1" applyFont="1" applyFill="1"/>
    <xf numFmtId="9" fontId="19" fillId="35" borderId="0" xfId="178" applyFont="1" applyFill="1"/>
    <xf numFmtId="0" fontId="20" fillId="35" borderId="0" xfId="0" applyFont="1" applyFill="1" applyBorder="1"/>
    <xf numFmtId="175" fontId="19" fillId="35" borderId="0" xfId="0" applyNumberFormat="1" applyFont="1" applyFill="1" applyBorder="1"/>
    <xf numFmtId="1" fontId="19" fillId="35" borderId="0" xfId="0" applyNumberFormat="1" applyFont="1" applyFill="1" applyBorder="1"/>
    <xf numFmtId="165" fontId="19" fillId="35" borderId="0" xfId="0" applyNumberFormat="1" applyFont="1" applyFill="1" applyBorder="1"/>
    <xf numFmtId="165" fontId="19" fillId="35" borderId="0" xfId="56" applyFont="1" applyFill="1" applyBorder="1" applyAlignment="1">
      <alignment horizontal="center"/>
    </xf>
    <xf numFmtId="0" fontId="19" fillId="35" borderId="0" xfId="56" applyNumberFormat="1" applyFont="1" applyFill="1" applyBorder="1"/>
    <xf numFmtId="175" fontId="19" fillId="35" borderId="0" xfId="0" applyNumberFormat="1" applyFont="1" applyFill="1" applyBorder="1" applyAlignment="1">
      <alignment horizontal="center"/>
    </xf>
    <xf numFmtId="0" fontId="19" fillId="35" borderId="0" xfId="0" applyFont="1" applyFill="1" applyBorder="1" applyAlignment="1">
      <alignment horizontal="right"/>
    </xf>
    <xf numFmtId="0" fontId="13" fillId="35" borderId="0" xfId="0" applyFont="1" applyFill="1" applyBorder="1" applyAlignment="1">
      <alignment horizontal="right"/>
    </xf>
    <xf numFmtId="0" fontId="19" fillId="35" borderId="0" xfId="0" applyNumberFormat="1" applyFont="1" applyFill="1" applyBorder="1"/>
    <xf numFmtId="9" fontId="19" fillId="35" borderId="0" xfId="178" applyFont="1" applyFill="1" applyAlignment="1">
      <alignment horizontal="center"/>
    </xf>
    <xf numFmtId="0" fontId="17" fillId="35" borderId="0" xfId="0" applyFont="1" applyFill="1" applyBorder="1" applyAlignment="1">
      <alignment horizontal="center"/>
    </xf>
    <xf numFmtId="0" fontId="13" fillId="35" borderId="22" xfId="0" applyFont="1" applyFill="1" applyBorder="1" applyAlignment="1">
      <alignment horizontal="left"/>
    </xf>
    <xf numFmtId="0" fontId="13" fillId="35" borderId="14" xfId="0" applyFont="1" applyFill="1" applyBorder="1" applyAlignment="1">
      <alignment horizontal="center"/>
    </xf>
    <xf numFmtId="0" fontId="13" fillId="35" borderId="20" xfId="0" applyFont="1" applyFill="1" applyBorder="1" applyAlignment="1">
      <alignment horizontal="right"/>
    </xf>
    <xf numFmtId="0" fontId="13" fillId="35" borderId="17" xfId="0" applyFont="1" applyFill="1" applyBorder="1"/>
    <xf numFmtId="0" fontId="13" fillId="35" borderId="0" xfId="0" applyFont="1" applyFill="1" applyAlignment="1"/>
    <xf numFmtId="176" fontId="19" fillId="35" borderId="0" xfId="142" applyFont="1" applyFill="1"/>
    <xf numFmtId="176" fontId="19" fillId="35" borderId="22" xfId="142" applyFont="1" applyFill="1" applyBorder="1"/>
    <xf numFmtId="176" fontId="19" fillId="35" borderId="18" xfId="142" applyFont="1" applyFill="1" applyBorder="1"/>
    <xf numFmtId="176" fontId="19" fillId="35" borderId="0" xfId="142" applyFont="1" applyFill="1" applyAlignment="1">
      <alignment horizontal="right"/>
    </xf>
    <xf numFmtId="176" fontId="19" fillId="35" borderId="0" xfId="142" applyFont="1" applyFill="1" applyAlignment="1">
      <alignment horizontal="left"/>
    </xf>
    <xf numFmtId="176" fontId="19" fillId="35" borderId="0" xfId="142" applyFont="1" applyFill="1" applyBorder="1" applyAlignment="1">
      <alignment horizontal="right"/>
    </xf>
    <xf numFmtId="0" fontId="19" fillId="35" borderId="0" xfId="142" applyNumberFormat="1" applyFont="1" applyFill="1"/>
    <xf numFmtId="176" fontId="13" fillId="35" borderId="24" xfId="142" applyFont="1" applyFill="1" applyBorder="1" applyAlignment="1">
      <alignment horizontal="center"/>
    </xf>
    <xf numFmtId="176" fontId="13" fillId="35" borderId="22" xfId="142" applyFont="1" applyFill="1" applyBorder="1" applyAlignment="1">
      <alignment horizontal="centerContinuous"/>
    </xf>
    <xf numFmtId="176" fontId="13" fillId="35" borderId="18" xfId="142" applyFont="1" applyFill="1" applyBorder="1" applyAlignment="1">
      <alignment horizontal="centerContinuous"/>
    </xf>
    <xf numFmtId="176" fontId="13" fillId="35" borderId="26" xfId="142" applyFont="1" applyFill="1" applyBorder="1" applyAlignment="1">
      <alignment horizontal="centerContinuous"/>
    </xf>
    <xf numFmtId="176" fontId="19" fillId="35" borderId="23" xfId="142" applyFont="1" applyFill="1" applyBorder="1"/>
    <xf numFmtId="176" fontId="19" fillId="35" borderId="0" xfId="142" applyFont="1" applyFill="1" applyBorder="1"/>
    <xf numFmtId="176" fontId="19" fillId="35" borderId="24" xfId="142" applyFont="1" applyFill="1" applyBorder="1"/>
    <xf numFmtId="176" fontId="13" fillId="35" borderId="0" xfId="142" applyFont="1" applyFill="1" applyBorder="1"/>
    <xf numFmtId="176" fontId="19" fillId="35" borderId="0" xfId="142" applyFont="1" applyFill="1" applyBorder="1" applyAlignment="1">
      <alignment horizontal="centerContinuous"/>
    </xf>
    <xf numFmtId="176" fontId="19" fillId="35" borderId="25" xfId="142" applyFont="1" applyFill="1" applyBorder="1"/>
    <xf numFmtId="176" fontId="19" fillId="35" borderId="20" xfId="142" applyFont="1" applyFill="1" applyBorder="1" applyAlignment="1">
      <alignment horizontal="centerContinuous"/>
    </xf>
    <xf numFmtId="176" fontId="19" fillId="35" borderId="20" xfId="142" applyFont="1" applyFill="1" applyBorder="1"/>
    <xf numFmtId="176" fontId="19" fillId="35" borderId="23" xfId="142" applyFont="1" applyFill="1" applyBorder="1" applyAlignment="1">
      <alignment horizontal="right"/>
    </xf>
    <xf numFmtId="176" fontId="19" fillId="35" borderId="18" xfId="142" applyFont="1" applyFill="1" applyBorder="1" applyAlignment="1">
      <alignment horizontal="centerContinuous"/>
    </xf>
    <xf numFmtId="177" fontId="19" fillId="35" borderId="24" xfId="142" applyNumberFormat="1" applyFont="1" applyFill="1" applyBorder="1" applyAlignment="1">
      <alignment horizontal="center"/>
    </xf>
    <xf numFmtId="177" fontId="19" fillId="35" borderId="27" xfId="142" applyNumberFormat="1" applyFont="1" applyFill="1" applyBorder="1" applyAlignment="1">
      <alignment horizontal="center"/>
    </xf>
    <xf numFmtId="177" fontId="19" fillId="35" borderId="26" xfId="142" applyNumberFormat="1" applyFont="1" applyFill="1" applyBorder="1" applyAlignment="1">
      <alignment horizontal="center"/>
    </xf>
    <xf numFmtId="176" fontId="19" fillId="35" borderId="27" xfId="142" applyFont="1" applyFill="1" applyBorder="1" applyAlignment="1">
      <alignment horizontal="center"/>
    </xf>
    <xf numFmtId="165" fontId="19" fillId="35" borderId="0" xfId="56" applyFont="1" applyFill="1" applyAlignment="1">
      <alignment vertical="top"/>
    </xf>
    <xf numFmtId="176" fontId="19" fillId="35" borderId="0" xfId="142" applyFont="1" applyFill="1" applyAlignment="1">
      <alignment vertical="top"/>
    </xf>
    <xf numFmtId="165" fontId="13" fillId="35" borderId="18" xfId="56" applyFont="1" applyFill="1" applyBorder="1" applyAlignment="1">
      <alignment horizontal="right" vertical="top"/>
    </xf>
    <xf numFmtId="174" fontId="13" fillId="35" borderId="18" xfId="147" applyNumberFormat="1" applyFont="1" applyFill="1" applyBorder="1" applyAlignment="1">
      <alignment horizontal="right" vertical="top"/>
    </xf>
    <xf numFmtId="176" fontId="13" fillId="35" borderId="26" xfId="147" applyFont="1" applyFill="1" applyBorder="1" applyAlignment="1">
      <alignment horizontal="left" vertical="top"/>
    </xf>
    <xf numFmtId="176" fontId="13" fillId="35" borderId="23" xfId="147" applyFont="1" applyFill="1" applyBorder="1" applyAlignment="1">
      <alignment horizontal="left" vertical="top"/>
    </xf>
    <xf numFmtId="165" fontId="13" fillId="35" borderId="0" xfId="56" applyFont="1" applyFill="1" applyBorder="1" applyAlignment="1">
      <alignment horizontal="right" vertical="top"/>
    </xf>
    <xf numFmtId="174" fontId="13" fillId="35" borderId="0" xfId="147" applyNumberFormat="1" applyFont="1" applyFill="1" applyBorder="1" applyAlignment="1">
      <alignment horizontal="right" vertical="top"/>
    </xf>
    <xf numFmtId="176" fontId="13" fillId="35" borderId="24" xfId="147" applyFont="1" applyFill="1" applyBorder="1" applyAlignment="1">
      <alignment horizontal="left" vertical="top"/>
    </xf>
    <xf numFmtId="176" fontId="13" fillId="35" borderId="25" xfId="147" applyFont="1" applyFill="1" applyBorder="1" applyAlignment="1">
      <alignment horizontal="left" vertical="top"/>
    </xf>
    <xf numFmtId="165" fontId="13" fillId="35" borderId="20" xfId="56" applyFont="1" applyFill="1" applyBorder="1" applyAlignment="1">
      <alignment horizontal="right" vertical="top"/>
    </xf>
    <xf numFmtId="174" fontId="13" fillId="35" borderId="20" xfId="147" applyNumberFormat="1" applyFont="1" applyFill="1" applyBorder="1" applyAlignment="1">
      <alignment horizontal="right" vertical="top"/>
    </xf>
    <xf numFmtId="176" fontId="13" fillId="35" borderId="27" xfId="147" applyFont="1" applyFill="1" applyBorder="1" applyAlignment="1">
      <alignment horizontal="left" vertical="top"/>
    </xf>
    <xf numFmtId="176" fontId="13" fillId="35" borderId="0" xfId="147" applyFont="1" applyFill="1" applyAlignment="1">
      <alignment vertical="top"/>
    </xf>
    <xf numFmtId="176" fontId="19" fillId="35" borderId="0" xfId="147" applyFont="1" applyFill="1" applyBorder="1" applyAlignment="1">
      <alignment horizontal="right" vertical="top"/>
    </xf>
    <xf numFmtId="176" fontId="19" fillId="35" borderId="20" xfId="147" applyFont="1" applyFill="1" applyBorder="1" applyAlignment="1">
      <alignment horizontal="right" vertical="top"/>
    </xf>
    <xf numFmtId="176" fontId="19" fillId="35" borderId="20" xfId="147" applyFont="1" applyFill="1" applyBorder="1" applyAlignment="1">
      <alignment vertical="top"/>
    </xf>
    <xf numFmtId="176" fontId="19" fillId="35" borderId="20" xfId="147" applyFont="1" applyFill="1" applyBorder="1" applyAlignment="1">
      <alignment horizontal="fill" vertical="top"/>
    </xf>
    <xf numFmtId="0" fontId="0" fillId="35" borderId="0" xfId="0" applyFill="1" applyProtection="1">
      <protection locked="0"/>
    </xf>
    <xf numFmtId="165" fontId="12" fillId="35" borderId="0" xfId="56" applyFont="1" applyFill="1"/>
    <xf numFmtId="14" fontId="0" fillId="35" borderId="0" xfId="0" applyNumberFormat="1" applyFill="1"/>
    <xf numFmtId="0" fontId="31" fillId="35" borderId="0" xfId="0" applyFont="1" applyFill="1"/>
    <xf numFmtId="174" fontId="13" fillId="35" borderId="17" xfId="0" applyNumberFormat="1" applyFont="1" applyFill="1" applyBorder="1" applyAlignment="1">
      <alignment horizontal="center"/>
    </xf>
    <xf numFmtId="2" fontId="13" fillId="35" borderId="17" xfId="0" applyNumberFormat="1" applyFont="1" applyFill="1" applyBorder="1" applyAlignment="1">
      <alignment horizontal="center"/>
    </xf>
    <xf numFmtId="176" fontId="30" fillId="35" borderId="0" xfId="147" applyFill="1" applyAlignment="1">
      <alignment vertical="top"/>
    </xf>
    <xf numFmtId="0" fontId="0" fillId="35" borderId="0" xfId="0" applyFill="1" applyBorder="1"/>
    <xf numFmtId="165" fontId="0" fillId="35" borderId="0" xfId="56" applyFont="1" applyFill="1" applyBorder="1"/>
    <xf numFmtId="1" fontId="13" fillId="35" borderId="0" xfId="56" applyNumberFormat="1" applyFont="1" applyFill="1" applyBorder="1"/>
    <xf numFmtId="1" fontId="0" fillId="35" borderId="0" xfId="56" applyNumberFormat="1" applyFont="1" applyFill="1"/>
    <xf numFmtId="1" fontId="0" fillId="35" borderId="0" xfId="0" applyNumberFormat="1" applyFill="1"/>
    <xf numFmtId="1" fontId="12" fillId="35" borderId="0" xfId="56" applyNumberFormat="1" applyFill="1"/>
    <xf numFmtId="0" fontId="31" fillId="35" borderId="0" xfId="0" applyFont="1" applyFill="1" applyAlignment="1">
      <alignment wrapText="1"/>
    </xf>
    <xf numFmtId="0" fontId="13" fillId="35" borderId="0" xfId="0" applyFont="1" applyFill="1" applyAlignment="1">
      <alignment wrapText="1"/>
    </xf>
    <xf numFmtId="0" fontId="32" fillId="35" borderId="0" xfId="0" applyFont="1" applyFill="1" applyAlignment="1">
      <alignment wrapText="1"/>
    </xf>
    <xf numFmtId="0" fontId="19" fillId="35" borderId="0" xfId="41" applyNumberFormat="1" applyFont="1" applyFill="1"/>
    <xf numFmtId="166" fontId="19" fillId="35" borderId="0" xfId="41" applyFont="1" applyFill="1"/>
    <xf numFmtId="166" fontId="19" fillId="35" borderId="0" xfId="41" applyFont="1" applyFill="1" applyAlignment="1">
      <alignment horizontal="center"/>
    </xf>
    <xf numFmtId="166" fontId="13" fillId="35" borderId="0" xfId="41" applyFont="1" applyFill="1" applyAlignment="1">
      <alignment horizontal="center"/>
    </xf>
    <xf numFmtId="0" fontId="15" fillId="35" borderId="0" xfId="41" applyNumberFormat="1" applyFont="1" applyFill="1"/>
    <xf numFmtId="166" fontId="19" fillId="35" borderId="0" xfId="41" applyNumberFormat="1" applyFont="1" applyFill="1" applyBorder="1"/>
    <xf numFmtId="0" fontId="13" fillId="35" borderId="0" xfId="41" applyNumberFormat="1" applyFont="1" applyFill="1"/>
    <xf numFmtId="166" fontId="24" fillId="35" borderId="0" xfId="41" applyFont="1" applyFill="1" applyAlignment="1"/>
    <xf numFmtId="166" fontId="19" fillId="35" borderId="0" xfId="41" applyNumberFormat="1" applyFont="1" applyFill="1" applyBorder="1" applyAlignment="1"/>
    <xf numFmtId="0" fontId="0" fillId="35" borderId="20" xfId="0" applyFill="1" applyBorder="1"/>
    <xf numFmtId="0" fontId="0" fillId="35" borderId="23" xfId="0" applyFill="1" applyBorder="1"/>
    <xf numFmtId="0" fontId="0" fillId="35" borderId="25" xfId="0" applyFill="1" applyBorder="1"/>
    <xf numFmtId="0" fontId="34" fillId="35" borderId="0" xfId="0" applyFont="1" applyFill="1"/>
    <xf numFmtId="166" fontId="19" fillId="35" borderId="0" xfId="41" applyFont="1" applyFill="1" applyBorder="1"/>
    <xf numFmtId="9" fontId="13" fillId="35" borderId="0" xfId="178" applyFont="1" applyFill="1" applyBorder="1" applyAlignment="1">
      <alignment horizontal="left"/>
    </xf>
    <xf numFmtId="0" fontId="19" fillId="35" borderId="20" xfId="0" applyFont="1" applyFill="1" applyBorder="1" applyAlignment="1">
      <alignment horizontal="right"/>
    </xf>
    <xf numFmtId="175" fontId="19" fillId="35" borderId="0" xfId="0" applyNumberFormat="1" applyFont="1" applyFill="1" applyBorder="1" applyAlignment="1" applyProtection="1">
      <alignment horizontal="left"/>
      <protection locked="0"/>
    </xf>
    <xf numFmtId="178" fontId="13" fillId="35" borderId="0" xfId="41" applyNumberFormat="1" applyFont="1" applyFill="1" applyAlignment="1">
      <alignment horizontal="center"/>
    </xf>
    <xf numFmtId="178" fontId="19" fillId="35" borderId="0" xfId="41" applyNumberFormat="1" applyFont="1" applyFill="1" applyBorder="1"/>
    <xf numFmtId="178" fontId="19" fillId="35" borderId="0" xfId="41" applyNumberFormat="1" applyFont="1" applyFill="1"/>
    <xf numFmtId="165" fontId="13" fillId="35" borderId="0" xfId="56" applyFont="1" applyFill="1" applyAlignment="1">
      <alignment horizontal="right"/>
    </xf>
    <xf numFmtId="180" fontId="19" fillId="35" borderId="0" xfId="0" applyNumberFormat="1" applyFont="1" applyFill="1" applyBorder="1"/>
    <xf numFmtId="180" fontId="19" fillId="35" borderId="0" xfId="0" applyNumberFormat="1" applyFont="1" applyFill="1"/>
    <xf numFmtId="180" fontId="19" fillId="35" borderId="0" xfId="56" applyNumberFormat="1" applyFont="1" applyFill="1"/>
    <xf numFmtId="180" fontId="19" fillId="35" borderId="0" xfId="0" applyNumberFormat="1" applyFont="1" applyFill="1" applyAlignment="1">
      <alignment horizontal="center"/>
    </xf>
    <xf numFmtId="180" fontId="19" fillId="35" borderId="0" xfId="56" applyNumberFormat="1" applyFont="1" applyFill="1" applyBorder="1"/>
    <xf numFmtId="0" fontId="15" fillId="35" borderId="23" xfId="0" applyFont="1" applyFill="1" applyBorder="1"/>
    <xf numFmtId="0" fontId="13" fillId="35" borderId="17" xfId="0" applyFont="1" applyFill="1" applyBorder="1" applyAlignment="1">
      <alignment horizontal="center"/>
    </xf>
    <xf numFmtId="0" fontId="13" fillId="35" borderId="20" xfId="0" applyFont="1" applyFill="1" applyBorder="1" applyAlignment="1">
      <alignment horizontal="left"/>
    </xf>
    <xf numFmtId="0" fontId="13" fillId="35" borderId="20" xfId="0" applyFont="1" applyFill="1" applyBorder="1" applyAlignment="1">
      <alignment horizontal="center"/>
    </xf>
    <xf numFmtId="176" fontId="13" fillId="35" borderId="28" xfId="142" applyFont="1" applyFill="1" applyBorder="1" applyAlignment="1">
      <alignment horizontal="left"/>
    </xf>
    <xf numFmtId="176" fontId="13" fillId="35" borderId="29" xfId="142" applyFont="1" applyFill="1" applyBorder="1" applyAlignment="1">
      <alignment horizontal="left"/>
    </xf>
    <xf numFmtId="176" fontId="13" fillId="35" borderId="28" xfId="142" applyFont="1" applyFill="1" applyBorder="1" applyAlignment="1">
      <alignment horizontal="center"/>
    </xf>
    <xf numFmtId="176" fontId="13" fillId="35" borderId="29" xfId="142" applyFont="1" applyFill="1" applyBorder="1" applyAlignment="1">
      <alignment horizontal="center"/>
    </xf>
    <xf numFmtId="176" fontId="13" fillId="35" borderId="18" xfId="142" applyFont="1" applyFill="1" applyBorder="1" applyAlignment="1">
      <alignment horizontal="left"/>
    </xf>
    <xf numFmtId="176" fontId="13" fillId="35" borderId="18" xfId="142" applyFont="1" applyFill="1" applyBorder="1"/>
    <xf numFmtId="174" fontId="13" fillId="35" borderId="18" xfId="142" applyNumberFormat="1" applyFont="1" applyFill="1" applyBorder="1" applyAlignment="1">
      <alignment horizontal="center"/>
    </xf>
    <xf numFmtId="176" fontId="13" fillId="35" borderId="18" xfId="147" applyFont="1" applyFill="1" applyBorder="1" applyAlignment="1">
      <alignment vertical="top"/>
    </xf>
    <xf numFmtId="165" fontId="13" fillId="35" borderId="20" xfId="56" applyFont="1" applyFill="1" applyBorder="1" applyAlignment="1">
      <alignment horizontal="right"/>
    </xf>
    <xf numFmtId="180" fontId="13" fillId="35" borderId="0" xfId="56" applyNumberFormat="1" applyFont="1" applyFill="1" applyBorder="1"/>
    <xf numFmtId="0" fontId="13" fillId="35" borderId="0" xfId="0" applyFont="1" applyFill="1" applyBorder="1" applyAlignment="1">
      <alignment horizontal="right" wrapText="1"/>
    </xf>
    <xf numFmtId="0" fontId="19" fillId="35" borderId="0" xfId="0" applyFont="1" applyFill="1" applyAlignment="1">
      <alignment horizontal="right"/>
    </xf>
    <xf numFmtId="180" fontId="13" fillId="35" borderId="8" xfId="0" applyNumberFormat="1" applyFont="1" applyFill="1" applyBorder="1"/>
    <xf numFmtId="9" fontId="19" fillId="35" borderId="0" xfId="178" applyFont="1" applyFill="1" applyBorder="1" applyAlignment="1">
      <alignment horizontal="right"/>
    </xf>
    <xf numFmtId="0" fontId="19" fillId="35" borderId="0" xfId="0" applyFont="1" applyFill="1" applyBorder="1" applyAlignment="1" applyProtection="1">
      <alignment horizontal="left"/>
      <protection locked="0"/>
    </xf>
    <xf numFmtId="180" fontId="19" fillId="35" borderId="0" xfId="56" applyNumberFormat="1" applyFont="1" applyFill="1" applyBorder="1" applyAlignment="1">
      <alignment horizontal="center"/>
    </xf>
    <xf numFmtId="9" fontId="13" fillId="35" borderId="0" xfId="178" applyFont="1" applyFill="1" applyAlignment="1">
      <alignment horizontal="center"/>
    </xf>
    <xf numFmtId="166" fontId="13" fillId="35" borderId="0" xfId="41" applyNumberFormat="1" applyFont="1" applyFill="1" applyBorder="1" applyAlignment="1"/>
    <xf numFmtId="165" fontId="0" fillId="35" borderId="24" xfId="56" applyFont="1" applyFill="1" applyBorder="1"/>
    <xf numFmtId="0" fontId="35" fillId="35" borderId="0" xfId="0" applyFont="1" applyFill="1" applyBorder="1"/>
    <xf numFmtId="0" fontId="35" fillId="35" borderId="23" xfId="0" applyFont="1" applyFill="1" applyBorder="1"/>
    <xf numFmtId="175" fontId="13" fillId="35" borderId="0" xfId="0" applyNumberFormat="1" applyFont="1" applyFill="1" applyAlignment="1">
      <alignment horizontal="left"/>
    </xf>
    <xf numFmtId="174" fontId="13" fillId="35" borderId="17" xfId="0" applyNumberFormat="1" applyFont="1" applyFill="1" applyBorder="1" applyAlignment="1">
      <alignment horizontal="right"/>
    </xf>
    <xf numFmtId="2" fontId="13" fillId="35" borderId="17" xfId="0" applyNumberFormat="1" applyFont="1" applyFill="1" applyBorder="1" applyAlignment="1">
      <alignment horizontal="right"/>
    </xf>
    <xf numFmtId="1" fontId="0" fillId="35" borderId="0" xfId="0" applyNumberFormat="1" applyFill="1" applyBorder="1" applyAlignment="1">
      <alignment horizontal="center"/>
    </xf>
    <xf numFmtId="1" fontId="0" fillId="35" borderId="0" xfId="56" applyNumberFormat="1" applyFont="1" applyFill="1" applyBorder="1" applyAlignment="1">
      <alignment horizontal="center"/>
    </xf>
    <xf numFmtId="1" fontId="13" fillId="35" borderId="30" xfId="56" applyNumberFormat="1" applyFont="1" applyFill="1" applyBorder="1" applyAlignment="1">
      <alignment horizontal="center"/>
    </xf>
    <xf numFmtId="1" fontId="13" fillId="35" borderId="0" xfId="56" applyNumberFormat="1" applyFont="1" applyFill="1" applyBorder="1" applyAlignment="1">
      <alignment horizontal="center"/>
    </xf>
    <xf numFmtId="1" fontId="12" fillId="35" borderId="0" xfId="56" applyNumberFormat="1" applyFill="1" applyBorder="1" applyAlignment="1">
      <alignment horizontal="center"/>
    </xf>
    <xf numFmtId="0" fontId="31" fillId="35" borderId="18" xfId="0" applyFont="1" applyFill="1" applyBorder="1" applyAlignment="1">
      <alignment horizontal="center"/>
    </xf>
    <xf numFmtId="0" fontId="13" fillId="35" borderId="28" xfId="0" applyFont="1" applyFill="1" applyBorder="1" applyAlignment="1">
      <alignment horizontal="center"/>
    </xf>
    <xf numFmtId="0" fontId="31" fillId="35" borderId="20" xfId="0" applyFont="1" applyFill="1" applyBorder="1" applyAlignment="1">
      <alignment horizontal="center"/>
    </xf>
    <xf numFmtId="0" fontId="13" fillId="35" borderId="31" xfId="0" applyFont="1" applyFill="1" applyBorder="1" applyAlignment="1">
      <alignment horizontal="center"/>
    </xf>
    <xf numFmtId="0" fontId="13" fillId="35" borderId="27" xfId="0" applyFont="1" applyFill="1" applyBorder="1" applyAlignment="1">
      <alignment horizontal="center"/>
    </xf>
    <xf numFmtId="0" fontId="19" fillId="35" borderId="22" xfId="0" applyFont="1" applyFill="1" applyBorder="1"/>
    <xf numFmtId="180" fontId="19" fillId="35" borderId="0" xfId="56" applyNumberFormat="1" applyFont="1" applyFill="1" applyAlignment="1">
      <alignment horizontal="center"/>
    </xf>
    <xf numFmtId="180" fontId="19" fillId="35" borderId="8" xfId="0" applyNumberFormat="1" applyFont="1" applyFill="1" applyBorder="1" applyAlignment="1">
      <alignment horizontal="center"/>
    </xf>
    <xf numFmtId="0" fontId="22" fillId="35" borderId="0" xfId="0" applyFont="1" applyFill="1" applyBorder="1" applyAlignment="1">
      <alignment horizontal="left" vertical="top"/>
    </xf>
    <xf numFmtId="173" fontId="19" fillId="35" borderId="0" xfId="0" applyNumberFormat="1" applyFont="1" applyFill="1"/>
    <xf numFmtId="174" fontId="19" fillId="35" borderId="0" xfId="0" applyNumberFormat="1" applyFont="1" applyFill="1"/>
    <xf numFmtId="176" fontId="13" fillId="35" borderId="22" xfId="147" applyFont="1" applyFill="1" applyBorder="1" applyAlignment="1">
      <alignment horizontal="left" vertical="top"/>
    </xf>
    <xf numFmtId="183" fontId="20" fillId="35" borderId="0" xfId="56" applyNumberFormat="1" applyFont="1" applyFill="1" applyAlignment="1">
      <alignment vertical="top"/>
    </xf>
    <xf numFmtId="174" fontId="20" fillId="35" borderId="0" xfId="0" applyNumberFormat="1" applyFont="1" applyFill="1" applyAlignment="1">
      <alignment vertical="top"/>
    </xf>
    <xf numFmtId="184" fontId="20" fillId="35" borderId="0" xfId="0" applyNumberFormat="1" applyFont="1" applyFill="1" applyAlignment="1">
      <alignment vertical="top"/>
    </xf>
    <xf numFmtId="1" fontId="19" fillId="35" borderId="0" xfId="0" applyNumberFormat="1" applyFont="1" applyFill="1" applyBorder="1" applyAlignment="1">
      <alignment horizontal="right"/>
    </xf>
    <xf numFmtId="0" fontId="19" fillId="35" borderId="0" xfId="0" applyFont="1" applyFill="1" applyBorder="1" applyProtection="1">
      <protection locked="0"/>
    </xf>
    <xf numFmtId="176" fontId="19" fillId="35" borderId="0" xfId="142" applyFont="1" applyFill="1" applyProtection="1"/>
    <xf numFmtId="0" fontId="19" fillId="35" borderId="0" xfId="0" applyFont="1" applyFill="1" applyAlignment="1"/>
    <xf numFmtId="176" fontId="13" fillId="35" borderId="0" xfId="142" applyFont="1" applyFill="1" applyProtection="1"/>
    <xf numFmtId="176" fontId="19" fillId="35" borderId="0" xfId="147" applyFont="1" applyFill="1" applyAlignment="1">
      <alignment vertical="top"/>
    </xf>
    <xf numFmtId="166" fontId="13" fillId="35" borderId="0" xfId="41" applyFont="1" applyFill="1"/>
    <xf numFmtId="186" fontId="19" fillId="35" borderId="0" xfId="41" applyNumberFormat="1" applyFont="1" applyFill="1"/>
    <xf numFmtId="0" fontId="18" fillId="35" borderId="0" xfId="0" applyFont="1" applyFill="1" applyAlignment="1">
      <alignment horizontal="left" vertical="top"/>
    </xf>
    <xf numFmtId="0" fontId="18" fillId="35" borderId="0" xfId="0" applyFont="1" applyFill="1" applyAlignment="1">
      <alignment horizontal="left"/>
    </xf>
    <xf numFmtId="0" fontId="18" fillId="35" borderId="0" xfId="0" applyFont="1" applyFill="1" applyBorder="1" applyAlignment="1">
      <alignment horizontal="left"/>
    </xf>
    <xf numFmtId="178" fontId="19" fillId="35" borderId="0" xfId="41" applyNumberFormat="1" applyFont="1" applyFill="1" applyAlignment="1">
      <alignment horizontal="center"/>
    </xf>
    <xf numFmtId="178" fontId="19" fillId="35" borderId="0" xfId="0" applyNumberFormat="1" applyFont="1" applyFill="1" applyBorder="1"/>
    <xf numFmtId="0" fontId="15" fillId="35" borderId="0" xfId="0" applyFont="1" applyFill="1"/>
    <xf numFmtId="0" fontId="13" fillId="35" borderId="0" xfId="0" applyFont="1" applyFill="1" applyBorder="1" applyAlignment="1"/>
    <xf numFmtId="0" fontId="13" fillId="35" borderId="14" xfId="0" applyFont="1" applyFill="1" applyBorder="1" applyAlignment="1">
      <alignment horizontal="center" wrapText="1"/>
    </xf>
    <xf numFmtId="166" fontId="19" fillId="35" borderId="20" xfId="0" applyNumberFormat="1" applyFont="1" applyFill="1" applyBorder="1"/>
    <xf numFmtId="166" fontId="13" fillId="35" borderId="20" xfId="0" applyNumberFormat="1" applyFont="1" applyFill="1" applyBorder="1"/>
    <xf numFmtId="17" fontId="19" fillId="35" borderId="0" xfId="145" applyNumberFormat="1" applyFont="1" applyFill="1"/>
    <xf numFmtId="189" fontId="19" fillId="35" borderId="0" xfId="145" applyFont="1" applyFill="1"/>
    <xf numFmtId="2" fontId="19" fillId="35" borderId="0" xfId="145" applyNumberFormat="1" applyFont="1" applyFill="1"/>
    <xf numFmtId="0" fontId="19" fillId="35" borderId="0" xfId="146" applyFont="1" applyFill="1"/>
    <xf numFmtId="189" fontId="13" fillId="35" borderId="0" xfId="145" applyFont="1" applyFill="1" applyAlignment="1">
      <alignment horizontal="right"/>
    </xf>
    <xf numFmtId="175" fontId="13" fillId="35" borderId="0" xfId="145" applyNumberFormat="1" applyFont="1" applyFill="1" applyAlignment="1">
      <alignment horizontal="right" vertical="top"/>
    </xf>
    <xf numFmtId="187" fontId="19" fillId="35" borderId="0" xfId="146" applyNumberFormat="1" applyFont="1" applyFill="1"/>
    <xf numFmtId="0" fontId="13" fillId="35" borderId="0" xfId="146" applyFont="1" applyFill="1" applyBorder="1"/>
    <xf numFmtId="187" fontId="19" fillId="35" borderId="0" xfId="146" applyNumberFormat="1" applyFont="1" applyFill="1" applyBorder="1"/>
    <xf numFmtId="0" fontId="19" fillId="35" borderId="0" xfId="146" applyFont="1" applyFill="1" applyBorder="1"/>
    <xf numFmtId="0" fontId="39" fillId="35" borderId="0" xfId="146" applyFont="1" applyFill="1" applyBorder="1"/>
    <xf numFmtId="0" fontId="40" fillId="35" borderId="30" xfId="146" applyFont="1" applyFill="1" applyBorder="1"/>
    <xf numFmtId="187" fontId="12" fillId="35" borderId="30" xfId="146" applyNumberFormat="1" applyFill="1" applyBorder="1"/>
    <xf numFmtId="0" fontId="12" fillId="35" borderId="30" xfId="146" applyFill="1" applyBorder="1"/>
    <xf numFmtId="0" fontId="41" fillId="35" borderId="30" xfId="146" applyFont="1" applyFill="1" applyBorder="1"/>
    <xf numFmtId="165" fontId="12" fillId="35" borderId="33" xfId="64" applyFill="1" applyBorder="1"/>
    <xf numFmtId="165" fontId="12" fillId="35" borderId="33" xfId="146" applyNumberFormat="1" applyFill="1" applyBorder="1"/>
    <xf numFmtId="165" fontId="12" fillId="35" borderId="35" xfId="146" applyNumberFormat="1" applyFill="1" applyBorder="1"/>
    <xf numFmtId="0" fontId="12" fillId="35" borderId="0" xfId="146" applyFill="1"/>
    <xf numFmtId="187" fontId="12" fillId="35" borderId="0" xfId="146" applyNumberFormat="1" applyFill="1"/>
    <xf numFmtId="165" fontId="12" fillId="35" borderId="0" xfId="146" applyNumberFormat="1" applyFill="1"/>
    <xf numFmtId="165" fontId="12" fillId="35" borderId="0" xfId="64" applyFill="1"/>
    <xf numFmtId="165" fontId="12" fillId="35" borderId="8" xfId="146" applyNumberFormat="1" applyFill="1" applyBorder="1"/>
    <xf numFmtId="0" fontId="12" fillId="35" borderId="0" xfId="146" applyFill="1" applyAlignment="1">
      <alignment horizontal="center"/>
    </xf>
    <xf numFmtId="0" fontId="12" fillId="35" borderId="0" xfId="146" applyNumberFormat="1" applyFill="1"/>
    <xf numFmtId="189" fontId="19" fillId="35" borderId="0" xfId="145" applyFont="1" applyFill="1" applyBorder="1" applyAlignment="1">
      <alignment horizontal="left"/>
    </xf>
    <xf numFmtId="175" fontId="13" fillId="35" borderId="0" xfId="145" applyNumberFormat="1" applyFont="1" applyFill="1" applyBorder="1" applyAlignment="1">
      <alignment horizontal="right" vertical="top"/>
    </xf>
    <xf numFmtId="0" fontId="12" fillId="35" borderId="0" xfId="146" applyFont="1" applyFill="1"/>
    <xf numFmtId="0" fontId="13" fillId="35" borderId="0" xfId="146" applyFont="1" applyFill="1" applyAlignment="1">
      <alignment horizontal="right"/>
    </xf>
    <xf numFmtId="187" fontId="13" fillId="35" borderId="0" xfId="146" applyNumberFormat="1" applyFont="1" applyFill="1" applyAlignment="1">
      <alignment horizontal="right"/>
    </xf>
    <xf numFmtId="0" fontId="13" fillId="35" borderId="20" xfId="146" applyFont="1" applyFill="1" applyBorder="1" applyAlignment="1">
      <alignment horizontal="right"/>
    </xf>
    <xf numFmtId="187" fontId="13" fillId="35" borderId="20" xfId="146" applyNumberFormat="1" applyFont="1" applyFill="1" applyBorder="1" applyAlignment="1">
      <alignment horizontal="right"/>
    </xf>
    <xf numFmtId="0" fontId="12" fillId="35" borderId="23" xfId="146" applyFill="1" applyBorder="1"/>
    <xf numFmtId="0" fontId="12" fillId="35" borderId="23" xfId="146" applyFont="1" applyFill="1" applyBorder="1"/>
    <xf numFmtId="0" fontId="19" fillId="35" borderId="36" xfId="146" applyFont="1" applyFill="1" applyBorder="1"/>
    <xf numFmtId="0" fontId="19" fillId="35" borderId="37" xfId="146" applyFont="1" applyFill="1" applyBorder="1"/>
    <xf numFmtId="14" fontId="19" fillId="35" borderId="0" xfId="146" applyNumberFormat="1" applyFont="1" applyFill="1" applyBorder="1"/>
    <xf numFmtId="0" fontId="19" fillId="35" borderId="23" xfId="146" applyFont="1" applyFill="1" applyBorder="1"/>
    <xf numFmtId="10" fontId="19" fillId="35" borderId="33" xfId="178" applyNumberFormat="1" applyFont="1" applyFill="1" applyBorder="1"/>
    <xf numFmtId="165" fontId="19" fillId="35" borderId="33" xfId="64" applyFont="1" applyFill="1" applyBorder="1"/>
    <xf numFmtId="165" fontId="19" fillId="35" borderId="33" xfId="146" applyNumberFormat="1" applyFont="1" applyFill="1" applyBorder="1"/>
    <xf numFmtId="187" fontId="19" fillId="35" borderId="30" xfId="146" applyNumberFormat="1" applyFont="1" applyFill="1" applyBorder="1"/>
    <xf numFmtId="0" fontId="19" fillId="35" borderId="30" xfId="146" applyFont="1" applyFill="1" applyBorder="1"/>
    <xf numFmtId="165" fontId="19" fillId="35" borderId="35" xfId="146" applyNumberFormat="1" applyFont="1" applyFill="1" applyBorder="1"/>
    <xf numFmtId="165" fontId="19" fillId="35" borderId="0" xfId="146" applyNumberFormat="1" applyFont="1" applyFill="1" applyBorder="1"/>
    <xf numFmtId="0" fontId="19" fillId="35" borderId="0" xfId="146" applyFont="1" applyFill="1" applyAlignment="1">
      <alignment horizontal="left"/>
    </xf>
    <xf numFmtId="0" fontId="12" fillId="35" borderId="0" xfId="146" applyFont="1" applyFill="1" applyAlignment="1">
      <alignment horizontal="left"/>
    </xf>
    <xf numFmtId="0" fontId="12" fillId="35" borderId="0" xfId="146" applyFill="1" applyAlignment="1">
      <alignment horizontal="left"/>
    </xf>
    <xf numFmtId="187" fontId="43" fillId="35" borderId="0" xfId="146" applyNumberFormat="1" applyFont="1" applyFill="1" applyBorder="1"/>
    <xf numFmtId="0" fontId="19" fillId="35" borderId="25" xfId="146" applyFont="1" applyFill="1" applyBorder="1"/>
    <xf numFmtId="186" fontId="19" fillId="35" borderId="33" xfId="44" applyNumberFormat="1" applyFont="1" applyFill="1" applyBorder="1"/>
    <xf numFmtId="176" fontId="13" fillId="35" borderId="31" xfId="142" applyFont="1" applyFill="1" applyBorder="1" applyAlignment="1">
      <alignment horizontal="center"/>
    </xf>
    <xf numFmtId="0" fontId="45" fillId="35" borderId="0" xfId="0" applyFont="1" applyFill="1" applyBorder="1"/>
    <xf numFmtId="0" fontId="46" fillId="35" borderId="0" xfId="0" applyFont="1" applyFill="1" applyBorder="1"/>
    <xf numFmtId="0" fontId="47" fillId="35" borderId="0" xfId="0" applyFont="1" applyFill="1" applyBorder="1" applyAlignment="1">
      <alignment horizontal="center"/>
    </xf>
    <xf numFmtId="0" fontId="45" fillId="35" borderId="0" xfId="0" applyFont="1" applyFill="1" applyBorder="1" applyAlignment="1">
      <alignment horizontal="center"/>
    </xf>
    <xf numFmtId="38" fontId="45" fillId="35" borderId="0" xfId="41" applyNumberFormat="1" applyFont="1" applyFill="1" applyBorder="1"/>
    <xf numFmtId="0" fontId="45" fillId="35" borderId="23" xfId="0" applyFont="1" applyFill="1" applyBorder="1"/>
    <xf numFmtId="0" fontId="45" fillId="35" borderId="24" xfId="0" applyFont="1" applyFill="1" applyBorder="1"/>
    <xf numFmtId="10" fontId="45" fillId="35" borderId="24" xfId="178" applyNumberFormat="1" applyFont="1" applyFill="1" applyBorder="1"/>
    <xf numFmtId="0" fontId="45" fillId="35" borderId="23" xfId="0" applyFont="1" applyFill="1" applyBorder="1" applyAlignment="1">
      <alignment horizontal="left"/>
    </xf>
    <xf numFmtId="0" fontId="45" fillId="35" borderId="23" xfId="0" applyFont="1" applyFill="1" applyBorder="1" applyAlignment="1">
      <alignment horizontal="right"/>
    </xf>
    <xf numFmtId="0" fontId="45" fillId="35" borderId="25" xfId="0" applyFont="1" applyFill="1" applyBorder="1"/>
    <xf numFmtId="0" fontId="45" fillId="35" borderId="20" xfId="0" applyFont="1" applyFill="1" applyBorder="1"/>
    <xf numFmtId="0" fontId="45" fillId="35" borderId="27" xfId="0" applyFont="1" applyFill="1" applyBorder="1"/>
    <xf numFmtId="0" fontId="45" fillId="35" borderId="18" xfId="0" applyFont="1" applyFill="1" applyBorder="1"/>
    <xf numFmtId="0" fontId="45" fillId="35" borderId="26" xfId="0" applyFont="1" applyFill="1" applyBorder="1"/>
    <xf numFmtId="0" fontId="48" fillId="35" borderId="23" xfId="0" applyFont="1" applyFill="1" applyBorder="1" applyAlignment="1">
      <alignment horizontal="center"/>
    </xf>
    <xf numFmtId="0" fontId="47" fillId="35" borderId="22" xfId="0" applyFont="1" applyFill="1" applyBorder="1"/>
    <xf numFmtId="0" fontId="48" fillId="35" borderId="23" xfId="0" applyFont="1" applyFill="1" applyBorder="1"/>
    <xf numFmtId="190" fontId="45" fillId="35" borderId="25" xfId="0" applyNumberFormat="1" applyFont="1" applyFill="1" applyBorder="1"/>
    <xf numFmtId="4" fontId="45" fillId="35" borderId="20" xfId="0" applyNumberFormat="1" applyFont="1" applyFill="1" applyBorder="1"/>
    <xf numFmtId="0" fontId="45" fillId="35" borderId="32" xfId="0" applyFont="1" applyFill="1" applyBorder="1"/>
    <xf numFmtId="0" fontId="45" fillId="35" borderId="17" xfId="0" applyFont="1" applyFill="1" applyBorder="1"/>
    <xf numFmtId="0" fontId="45" fillId="35" borderId="38" xfId="0" applyFont="1" applyFill="1" applyBorder="1"/>
    <xf numFmtId="0" fontId="19" fillId="0" borderId="0" xfId="0" applyFont="1"/>
    <xf numFmtId="1" fontId="19" fillId="0" borderId="0" xfId="0" applyNumberFormat="1" applyFont="1"/>
    <xf numFmtId="14" fontId="19" fillId="0" borderId="0" xfId="0" applyNumberFormat="1" applyFont="1"/>
    <xf numFmtId="166" fontId="19" fillId="0" borderId="0" xfId="0" applyNumberFormat="1" applyFont="1"/>
    <xf numFmtId="166" fontId="19" fillId="0" borderId="0" xfId="0" applyNumberFormat="1" applyFont="1" applyFill="1" applyBorder="1" applyProtection="1">
      <protection locked="0"/>
    </xf>
    <xf numFmtId="0" fontId="33" fillId="35" borderId="0" xfId="0" applyFont="1" applyFill="1"/>
    <xf numFmtId="1" fontId="19" fillId="35" borderId="20" xfId="0" applyNumberFormat="1" applyFont="1" applyFill="1" applyBorder="1" applyProtection="1">
      <protection locked="0"/>
    </xf>
    <xf numFmtId="166" fontId="20" fillId="35" borderId="0" xfId="0" applyNumberFormat="1" applyFont="1" applyFill="1" applyBorder="1"/>
    <xf numFmtId="166" fontId="19" fillId="35" borderId="0" xfId="0" applyNumberFormat="1" applyFont="1" applyFill="1"/>
    <xf numFmtId="166" fontId="13" fillId="35" borderId="0" xfId="0" applyNumberFormat="1" applyFont="1" applyFill="1"/>
    <xf numFmtId="2" fontId="33" fillId="35" borderId="0" xfId="0" applyNumberFormat="1" applyFont="1" applyFill="1"/>
    <xf numFmtId="165" fontId="20" fillId="35" borderId="0" xfId="0" applyNumberFormat="1" applyFont="1" applyFill="1" applyBorder="1" applyProtection="1">
      <protection locked="0"/>
    </xf>
    <xf numFmtId="14" fontId="20" fillId="35" borderId="0" xfId="0" applyNumberFormat="1" applyFont="1" applyFill="1" applyBorder="1" applyProtection="1">
      <protection locked="0"/>
    </xf>
    <xf numFmtId="1" fontId="20" fillId="35" borderId="0" xfId="0" applyNumberFormat="1" applyFont="1" applyFill="1" applyBorder="1" applyAlignment="1" applyProtection="1">
      <alignment horizontal="center"/>
      <protection locked="0"/>
    </xf>
    <xf numFmtId="1" fontId="20" fillId="35" borderId="0" xfId="0" applyNumberFormat="1" applyFont="1" applyFill="1" applyBorder="1"/>
    <xf numFmtId="14" fontId="20" fillId="35" borderId="23" xfId="0" applyNumberFormat="1" applyFont="1" applyFill="1" applyBorder="1"/>
    <xf numFmtId="14" fontId="20" fillId="35" borderId="0" xfId="0" applyNumberFormat="1" applyFont="1" applyFill="1" applyBorder="1"/>
    <xf numFmtId="166" fontId="20" fillId="35" borderId="0" xfId="0" applyNumberFormat="1" applyFont="1" applyFill="1" applyBorder="1" applyProtection="1">
      <protection locked="0"/>
    </xf>
    <xf numFmtId="166" fontId="13" fillId="35" borderId="0" xfId="0" applyNumberFormat="1" applyFont="1" applyFill="1" applyBorder="1"/>
    <xf numFmtId="174" fontId="19" fillId="35" borderId="27" xfId="0" applyNumberFormat="1" applyFont="1" applyFill="1" applyBorder="1" applyAlignment="1" applyProtection="1">
      <alignment horizontal="left"/>
      <protection locked="0"/>
    </xf>
    <xf numFmtId="14" fontId="19" fillId="35" borderId="20" xfId="0" applyNumberFormat="1" applyFont="1" applyFill="1" applyBorder="1"/>
    <xf numFmtId="14" fontId="20" fillId="35" borderId="20" xfId="0" applyNumberFormat="1" applyFont="1" applyFill="1" applyBorder="1"/>
    <xf numFmtId="0" fontId="31" fillId="35" borderId="26" xfId="0" applyFont="1" applyFill="1" applyBorder="1" applyAlignment="1">
      <alignment horizontal="center"/>
    </xf>
    <xf numFmtId="0" fontId="31" fillId="35" borderId="27" xfId="0" applyFont="1" applyFill="1" applyBorder="1" applyAlignment="1">
      <alignment horizontal="center"/>
    </xf>
    <xf numFmtId="173" fontId="19" fillId="35" borderId="0" xfId="0" applyNumberFormat="1" applyFont="1" applyFill="1" applyBorder="1" applyAlignment="1">
      <alignment horizontal="center"/>
    </xf>
    <xf numFmtId="166" fontId="19" fillId="35" borderId="0" xfId="56" applyNumberFormat="1" applyFont="1" applyFill="1" applyBorder="1"/>
    <xf numFmtId="166" fontId="19" fillId="35" borderId="0" xfId="56" applyNumberFormat="1" applyFont="1" applyFill="1"/>
    <xf numFmtId="1" fontId="19" fillId="35" borderId="0" xfId="0" applyNumberFormat="1" applyFont="1" applyFill="1"/>
    <xf numFmtId="3" fontId="19" fillId="35" borderId="0" xfId="0" applyNumberFormat="1" applyFont="1" applyFill="1"/>
    <xf numFmtId="3" fontId="36" fillId="35" borderId="0" xfId="131" applyNumberFormat="1" applyFont="1" applyFill="1" applyBorder="1" applyAlignment="1" applyProtection="1">
      <alignment horizontal="center"/>
    </xf>
    <xf numFmtId="3" fontId="17" fillId="35" borderId="0" xfId="178" applyNumberFormat="1" applyFont="1" applyFill="1" applyBorder="1" applyAlignment="1">
      <alignment horizontal="center"/>
    </xf>
    <xf numFmtId="3" fontId="45" fillId="35" borderId="0" xfId="178" applyNumberFormat="1" applyFont="1" applyFill="1" applyBorder="1"/>
    <xf numFmtId="3" fontId="47" fillId="35" borderId="0" xfId="178" applyNumberFormat="1" applyFont="1" applyFill="1" applyBorder="1" applyAlignment="1">
      <alignment horizontal="center"/>
    </xf>
    <xf numFmtId="3" fontId="45" fillId="35" borderId="0" xfId="178" applyNumberFormat="1" applyFont="1" applyFill="1" applyBorder="1" applyAlignment="1">
      <alignment horizontal="center"/>
    </xf>
    <xf numFmtId="3" fontId="19" fillId="35" borderId="0" xfId="0" applyNumberFormat="1" applyFont="1" applyFill="1" applyBorder="1"/>
    <xf numFmtId="166" fontId="13" fillId="35" borderId="0" xfId="41" applyFont="1" applyFill="1" applyAlignment="1">
      <alignment horizontal="right"/>
    </xf>
    <xf numFmtId="182" fontId="13" fillId="0" borderId="0" xfId="56" applyNumberFormat="1" applyFont="1" applyFill="1" applyBorder="1" applyAlignment="1">
      <alignment horizontal="center"/>
    </xf>
    <xf numFmtId="182" fontId="19" fillId="35" borderId="0" xfId="56" applyNumberFormat="1" applyFont="1" applyFill="1" applyAlignment="1">
      <alignment horizontal="center"/>
    </xf>
    <xf numFmtId="166" fontId="13" fillId="35" borderId="8" xfId="56" applyNumberFormat="1" applyFont="1" applyFill="1" applyBorder="1"/>
    <xf numFmtId="166" fontId="13" fillId="35" borderId="17" xfId="0" applyNumberFormat="1" applyFont="1" applyFill="1" applyBorder="1" applyAlignment="1">
      <alignment horizontal="left"/>
    </xf>
    <xf numFmtId="166" fontId="33" fillId="35" borderId="0" xfId="0" applyNumberFormat="1" applyFont="1" applyFill="1"/>
    <xf numFmtId="166" fontId="13" fillId="35" borderId="17" xfId="0" applyNumberFormat="1" applyFont="1" applyFill="1" applyBorder="1"/>
    <xf numFmtId="166" fontId="13" fillId="35" borderId="39" xfId="56" applyNumberFormat="1" applyFont="1" applyFill="1" applyBorder="1"/>
    <xf numFmtId="166" fontId="45" fillId="35" borderId="0" xfId="0" applyNumberFormat="1" applyFont="1" applyFill="1" applyBorder="1"/>
    <xf numFmtId="166" fontId="45" fillId="35" borderId="0" xfId="41" applyNumberFormat="1" applyFont="1" applyFill="1" applyBorder="1"/>
    <xf numFmtId="166" fontId="45" fillId="35" borderId="0" xfId="0" applyNumberFormat="1" applyFont="1" applyFill="1" applyBorder="1" applyAlignment="1">
      <alignment horizontal="right"/>
    </xf>
    <xf numFmtId="166" fontId="19" fillId="35" borderId="0" xfId="41" applyNumberFormat="1" applyFont="1" applyFill="1"/>
    <xf numFmtId="166" fontId="13" fillId="35" borderId="8" xfId="41" applyNumberFormat="1" applyFont="1" applyFill="1" applyBorder="1"/>
    <xf numFmtId="166" fontId="19" fillId="35" borderId="0" xfId="0" applyNumberFormat="1" applyFont="1" applyFill="1"/>
    <xf numFmtId="166" fontId="19" fillId="35" borderId="0" xfId="0" applyNumberFormat="1" applyFont="1" applyFill="1" applyBorder="1"/>
    <xf numFmtId="166" fontId="19" fillId="35" borderId="0" xfId="56" applyNumberFormat="1" applyFont="1" applyFill="1" applyBorder="1"/>
    <xf numFmtId="166" fontId="13" fillId="35" borderId="0" xfId="56" applyNumberFormat="1" applyFont="1" applyFill="1" applyBorder="1"/>
    <xf numFmtId="166" fontId="13" fillId="35" borderId="8" xfId="56" applyNumberFormat="1" applyFont="1" applyFill="1" applyBorder="1"/>
    <xf numFmtId="166" fontId="13" fillId="35" borderId="0" xfId="0" applyNumberFormat="1" applyFont="1" applyFill="1" applyBorder="1" applyAlignment="1">
      <alignment horizontal="right"/>
    </xf>
    <xf numFmtId="166" fontId="13" fillId="35" borderId="20" xfId="0" applyNumberFormat="1" applyFont="1" applyFill="1" applyBorder="1" applyAlignment="1">
      <alignment horizontal="right"/>
    </xf>
    <xf numFmtId="166" fontId="13" fillId="35" borderId="17" xfId="56" applyNumberFormat="1" applyFont="1" applyFill="1" applyBorder="1"/>
    <xf numFmtId="166" fontId="19" fillId="35" borderId="0" xfId="56" applyNumberFormat="1" applyFont="1" applyFill="1"/>
    <xf numFmtId="166" fontId="13" fillId="35" borderId="0" xfId="56" applyNumberFormat="1" applyFont="1" applyFill="1" applyAlignment="1">
      <alignment horizontal="center"/>
    </xf>
    <xf numFmtId="166" fontId="45" fillId="35" borderId="0" xfId="0" applyNumberFormat="1" applyFont="1" applyFill="1" applyBorder="1"/>
    <xf numFmtId="166" fontId="45" fillId="35" borderId="24" xfId="0" applyNumberFormat="1" applyFont="1" applyFill="1" applyBorder="1"/>
    <xf numFmtId="166" fontId="45" fillId="35" borderId="41" xfId="0" applyNumberFormat="1" applyFont="1" applyFill="1" applyBorder="1"/>
    <xf numFmtId="166" fontId="45" fillId="35" borderId="0" xfId="41" applyNumberFormat="1" applyFont="1" applyFill="1" applyBorder="1"/>
    <xf numFmtId="166" fontId="45" fillId="35" borderId="8" xfId="41" applyNumberFormat="1" applyFont="1" applyFill="1" applyBorder="1"/>
    <xf numFmtId="166" fontId="45" fillId="35" borderId="8" xfId="0" applyNumberFormat="1" applyFont="1" applyFill="1" applyBorder="1"/>
    <xf numFmtId="0" fontId="48" fillId="35" borderId="0" xfId="0" applyFont="1" applyFill="1" applyBorder="1" applyAlignment="1">
      <alignment horizontal="right"/>
    </xf>
    <xf numFmtId="0" fontId="48" fillId="35" borderId="24" xfId="0" applyFont="1" applyFill="1" applyBorder="1" applyAlignment="1">
      <alignment horizontal="right"/>
    </xf>
    <xf numFmtId="166" fontId="19" fillId="35" borderId="0" xfId="56" applyNumberFormat="1" applyFont="1" applyFill="1" applyAlignment="1">
      <alignment horizontal="right" vertical="top"/>
    </xf>
    <xf numFmtId="166" fontId="13" fillId="35" borderId="18" xfId="56" applyNumberFormat="1" applyFont="1" applyFill="1" applyBorder="1" applyAlignment="1" applyProtection="1">
      <alignment vertical="top"/>
    </xf>
    <xf numFmtId="166" fontId="13" fillId="35" borderId="18" xfId="147" applyNumberFormat="1" applyFont="1" applyFill="1" applyBorder="1" applyAlignment="1">
      <alignment vertical="top"/>
    </xf>
    <xf numFmtId="166" fontId="13" fillId="35" borderId="18" xfId="56" applyNumberFormat="1" applyFont="1" applyFill="1" applyBorder="1" applyAlignment="1" applyProtection="1">
      <alignment horizontal="right" vertical="top"/>
    </xf>
    <xf numFmtId="166" fontId="13" fillId="35" borderId="18" xfId="147" applyNumberFormat="1" applyFont="1" applyFill="1" applyBorder="1" applyAlignment="1">
      <alignment horizontal="left" vertical="top"/>
    </xf>
    <xf numFmtId="166" fontId="19" fillId="35" borderId="0" xfId="147" applyNumberFormat="1" applyFont="1" applyFill="1" applyBorder="1" applyAlignment="1">
      <alignment vertical="top"/>
    </xf>
    <xf numFmtId="166" fontId="19" fillId="35" borderId="0" xfId="147" applyNumberFormat="1" applyFont="1" applyFill="1" applyBorder="1" applyAlignment="1">
      <alignment horizontal="fill" vertical="top"/>
    </xf>
    <xf numFmtId="166" fontId="19" fillId="35" borderId="0" xfId="147" applyNumberFormat="1" applyFont="1" applyFill="1" applyBorder="1" applyAlignment="1">
      <alignment horizontal="right" vertical="top"/>
    </xf>
    <xf numFmtId="166" fontId="13" fillId="35" borderId="0" xfId="147" applyNumberFormat="1" applyFont="1" applyFill="1" applyAlignment="1">
      <alignment vertical="top"/>
    </xf>
    <xf numFmtId="166" fontId="13" fillId="35" borderId="0" xfId="147" applyNumberFormat="1" applyFont="1" applyFill="1" applyAlignment="1">
      <alignment horizontal="right" vertical="top"/>
    </xf>
    <xf numFmtId="166" fontId="13" fillId="35" borderId="0" xfId="56" applyNumberFormat="1" applyFont="1" applyFill="1" applyAlignment="1" applyProtection="1">
      <alignment vertical="top"/>
    </xf>
    <xf numFmtId="166" fontId="19" fillId="35" borderId="20" xfId="147" applyNumberFormat="1" applyFont="1" applyFill="1" applyBorder="1" applyAlignment="1">
      <alignment vertical="top"/>
    </xf>
    <xf numFmtId="166" fontId="19" fillId="35" borderId="20" xfId="147" applyNumberFormat="1" applyFont="1" applyFill="1" applyBorder="1" applyAlignment="1">
      <alignment horizontal="fill" vertical="top"/>
    </xf>
    <xf numFmtId="166" fontId="19" fillId="35" borderId="20" xfId="147" applyNumberFormat="1" applyFont="1" applyFill="1" applyBorder="1" applyAlignment="1">
      <alignment horizontal="right" vertical="top"/>
    </xf>
    <xf numFmtId="166" fontId="19" fillId="35" borderId="0" xfId="56" applyNumberFormat="1" applyFont="1" applyFill="1" applyAlignment="1">
      <alignment horizontal="right"/>
    </xf>
    <xf numFmtId="166" fontId="13" fillId="35" borderId="0" xfId="56" applyNumberFormat="1" applyFont="1" applyFill="1" applyAlignment="1" applyProtection="1">
      <alignment horizontal="right" vertical="top"/>
    </xf>
    <xf numFmtId="166" fontId="13" fillId="35" borderId="18" xfId="56" applyNumberFormat="1" applyFont="1" applyFill="1" applyBorder="1" applyProtection="1"/>
    <xf numFmtId="166" fontId="19" fillId="35" borderId="29" xfId="56" applyNumberFormat="1" applyFont="1" applyFill="1" applyBorder="1" applyProtection="1"/>
    <xf numFmtId="166" fontId="19" fillId="35" borderId="0" xfId="142" applyNumberFormat="1" applyFont="1" applyFill="1" applyBorder="1" applyAlignment="1">
      <alignment horizontal="right"/>
    </xf>
    <xf numFmtId="166" fontId="13" fillId="35" borderId="0" xfId="142" applyNumberFormat="1" applyFont="1" applyFill="1" applyAlignment="1">
      <alignment horizontal="right" indent="1"/>
    </xf>
    <xf numFmtId="166" fontId="13" fillId="35" borderId="0" xfId="56" applyNumberFormat="1" applyFont="1" applyFill="1"/>
    <xf numFmtId="166" fontId="19" fillId="35" borderId="0" xfId="142" applyNumberFormat="1" applyFont="1" applyFill="1"/>
    <xf numFmtId="166" fontId="12" fillId="35" borderId="0" xfId="41" applyNumberFormat="1" applyFill="1" applyBorder="1"/>
    <xf numFmtId="166" fontId="0" fillId="35" borderId="0" xfId="0" applyNumberFormat="1" applyFill="1" applyBorder="1"/>
    <xf numFmtId="166" fontId="19" fillId="35" borderId="17" xfId="56" applyNumberFormat="1" applyFont="1" applyFill="1" applyBorder="1"/>
    <xf numFmtId="166" fontId="13" fillId="35" borderId="41" xfId="56" applyNumberFormat="1" applyFont="1" applyFill="1" applyBorder="1"/>
    <xf numFmtId="166" fontId="19" fillId="35" borderId="8" xfId="56" applyNumberFormat="1" applyFont="1" applyFill="1" applyBorder="1"/>
    <xf numFmtId="166" fontId="13" fillId="35" borderId="8" xfId="0" applyNumberFormat="1" applyFont="1" applyFill="1" applyBorder="1"/>
    <xf numFmtId="166" fontId="19" fillId="35" borderId="0" xfId="41" applyNumberFormat="1" applyFont="1" applyFill="1" applyAlignment="1">
      <alignment horizontal="center"/>
    </xf>
    <xf numFmtId="166" fontId="13" fillId="35" borderId="0" xfId="41" applyNumberFormat="1" applyFont="1" applyFill="1" applyAlignment="1">
      <alignment horizontal="center"/>
    </xf>
    <xf numFmtId="166" fontId="19" fillId="35" borderId="17" xfId="41" applyNumberFormat="1" applyFont="1" applyFill="1" applyBorder="1"/>
    <xf numFmtId="166" fontId="19" fillId="35" borderId="20" xfId="41" applyNumberFormat="1" applyFont="1" applyFill="1" applyBorder="1"/>
    <xf numFmtId="166" fontId="19" fillId="35" borderId="0" xfId="41" applyNumberFormat="1" applyFont="1" applyFill="1" applyAlignment="1">
      <alignment horizontal="right"/>
    </xf>
    <xf numFmtId="166" fontId="0" fillId="35" borderId="0" xfId="0" applyNumberFormat="1" applyFill="1" applyAlignment="1">
      <alignment horizontal="right"/>
    </xf>
    <xf numFmtId="166" fontId="0" fillId="35" borderId="0" xfId="0" applyNumberFormat="1" applyFill="1"/>
    <xf numFmtId="166" fontId="24" fillId="35" borderId="0" xfId="41" applyNumberFormat="1" applyFont="1" applyFill="1" applyAlignment="1"/>
    <xf numFmtId="166" fontId="19" fillId="35" borderId="0" xfId="0" applyNumberFormat="1" applyFont="1" applyFill="1" applyAlignment="1">
      <alignment horizontal="right"/>
    </xf>
    <xf numFmtId="166" fontId="19" fillId="35" borderId="0" xfId="0" applyNumberFormat="1" applyFont="1" applyFill="1" applyAlignment="1">
      <alignment horizontal="center"/>
    </xf>
    <xf numFmtId="166" fontId="0" fillId="35" borderId="0" xfId="56" applyNumberFormat="1" applyFont="1" applyFill="1" applyBorder="1"/>
    <xf numFmtId="166" fontId="0" fillId="35" borderId="24" xfId="56" applyNumberFormat="1" applyFont="1" applyFill="1" applyBorder="1"/>
    <xf numFmtId="166" fontId="35" fillId="35" borderId="0" xfId="56" applyNumberFormat="1" applyFont="1" applyFill="1" applyBorder="1"/>
    <xf numFmtId="166" fontId="0" fillId="35" borderId="20" xfId="56" applyNumberFormat="1" applyFont="1" applyFill="1" applyBorder="1"/>
    <xf numFmtId="166" fontId="0" fillId="35" borderId="27" xfId="56" applyNumberFormat="1" applyFont="1" applyFill="1" applyBorder="1"/>
    <xf numFmtId="166" fontId="13" fillId="35" borderId="30" xfId="56" applyNumberFormat="1" applyFont="1" applyFill="1" applyBorder="1"/>
    <xf numFmtId="166" fontId="13" fillId="35" borderId="0" xfId="56" applyNumberFormat="1" applyFont="1" applyFill="1" applyBorder="1" applyAlignment="1">
      <alignment horizontal="center"/>
    </xf>
    <xf numFmtId="166" fontId="0" fillId="35" borderId="20" xfId="0" applyNumberFormat="1" applyFill="1" applyBorder="1" applyProtection="1">
      <protection locked="0"/>
    </xf>
    <xf numFmtId="166" fontId="0" fillId="35" borderId="0" xfId="0" applyNumberFormat="1" applyFill="1" applyProtection="1">
      <protection locked="0"/>
    </xf>
    <xf numFmtId="166" fontId="12" fillId="35" borderId="0" xfId="56" applyNumberFormat="1" applyFill="1" applyBorder="1"/>
    <xf numFmtId="166" fontId="0" fillId="35" borderId="0" xfId="56" applyNumberFormat="1" applyFont="1" applyFill="1"/>
    <xf numFmtId="166" fontId="0" fillId="35" borderId="0" xfId="56" applyNumberFormat="1" applyFont="1" applyFill="1" applyProtection="1">
      <protection locked="0"/>
    </xf>
    <xf numFmtId="166" fontId="0" fillId="35" borderId="30" xfId="56" applyNumberFormat="1" applyFont="1" applyFill="1" applyBorder="1"/>
    <xf numFmtId="166" fontId="0" fillId="35" borderId="30" xfId="56" applyNumberFormat="1" applyFont="1" applyFill="1" applyBorder="1" applyAlignment="1">
      <alignment horizontal="right"/>
    </xf>
    <xf numFmtId="166" fontId="19" fillId="35" borderId="0" xfId="0" applyNumberFormat="1" applyFont="1" applyFill="1" applyAlignment="1">
      <alignment vertical="top"/>
    </xf>
    <xf numFmtId="166" fontId="13" fillId="35" borderId="17" xfId="56" applyNumberFormat="1" applyFont="1" applyFill="1" applyBorder="1" applyAlignment="1">
      <alignment vertical="top"/>
    </xf>
    <xf numFmtId="173" fontId="13" fillId="35" borderId="18" xfId="147" applyNumberFormat="1" applyFont="1" applyFill="1" applyBorder="1" applyAlignment="1">
      <alignment vertical="top"/>
    </xf>
    <xf numFmtId="0" fontId="13" fillId="35" borderId="0" xfId="0" applyFont="1" applyFill="1" applyBorder="1" applyAlignment="1">
      <alignment horizontal="left" indent="7"/>
    </xf>
    <xf numFmtId="0" fontId="0" fillId="0" borderId="42" xfId="0" applyBorder="1"/>
    <xf numFmtId="0" fontId="0" fillId="35" borderId="43" xfId="0" applyFill="1" applyBorder="1"/>
    <xf numFmtId="0" fontId="0" fillId="35" borderId="24" xfId="0" applyFill="1" applyBorder="1" applyAlignment="1">
      <alignment horizontal="center"/>
    </xf>
    <xf numFmtId="0" fontId="0" fillId="35" borderId="42" xfId="0" applyFill="1" applyBorder="1"/>
    <xf numFmtId="0" fontId="0" fillId="0" borderId="0" xfId="0" applyBorder="1" applyAlignment="1">
      <alignment horizontal="right"/>
    </xf>
    <xf numFmtId="0" fontId="51" fillId="0" borderId="0" xfId="0" applyFont="1" applyBorder="1" applyProtection="1">
      <protection hidden="1"/>
    </xf>
    <xf numFmtId="0" fontId="0" fillId="0" borderId="0" xfId="0" applyBorder="1" applyProtection="1">
      <protection hidden="1"/>
    </xf>
    <xf numFmtId="0" fontId="51" fillId="0" borderId="42" xfId="0" applyFont="1" applyBorder="1" applyProtection="1">
      <protection hidden="1"/>
    </xf>
    <xf numFmtId="0" fontId="0" fillId="0" borderId="42" xfId="0" applyBorder="1" applyProtection="1">
      <protection hidden="1"/>
    </xf>
    <xf numFmtId="166" fontId="51" fillId="0" borderId="0" xfId="41" applyFont="1" applyFill="1" applyBorder="1" applyProtection="1">
      <protection hidden="1"/>
    </xf>
    <xf numFmtId="166" fontId="51" fillId="0" borderId="0" xfId="0" applyNumberFormat="1" applyFont="1" applyFill="1" applyBorder="1" applyProtection="1">
      <protection hidden="1"/>
    </xf>
    <xf numFmtId="191" fontId="51" fillId="0" borderId="0" xfId="56" applyNumberFormat="1" applyFont="1" applyFill="1" applyBorder="1" applyProtection="1">
      <protection hidden="1"/>
    </xf>
    <xf numFmtId="0" fontId="0" fillId="35" borderId="0" xfId="0" applyFill="1" applyAlignment="1"/>
    <xf numFmtId="0" fontId="0" fillId="35" borderId="0" xfId="0" applyFill="1" applyProtection="1"/>
    <xf numFmtId="0" fontId="51" fillId="35" borderId="0" xfId="0" applyFont="1" applyFill="1"/>
    <xf numFmtId="0" fontId="0" fillId="35" borderId="44" xfId="0" applyFill="1" applyBorder="1" applyProtection="1"/>
    <xf numFmtId="0" fontId="0" fillId="35" borderId="45" xfId="0" applyFill="1" applyBorder="1" applyProtection="1"/>
    <xf numFmtId="0" fontId="50" fillId="35" borderId="42" xfId="0" applyFont="1" applyFill="1" applyBorder="1" applyProtection="1"/>
    <xf numFmtId="0" fontId="50" fillId="35" borderId="0" xfId="0" applyFont="1" applyFill="1" applyBorder="1" applyProtection="1"/>
    <xf numFmtId="0" fontId="18" fillId="35" borderId="0" xfId="0" applyFont="1" applyFill="1" applyBorder="1" applyAlignment="1" applyProtection="1">
      <alignment horizontal="right"/>
    </xf>
    <xf numFmtId="0" fontId="51" fillId="35" borderId="42" xfId="0" applyFont="1" applyFill="1" applyBorder="1" applyProtection="1"/>
    <xf numFmtId="0" fontId="51" fillId="35" borderId="0" xfId="0" applyFont="1" applyFill="1" applyBorder="1" applyProtection="1"/>
    <xf numFmtId="0" fontId="0" fillId="35" borderId="0" xfId="0" applyFill="1" applyBorder="1" applyAlignment="1"/>
    <xf numFmtId="0" fontId="0" fillId="35" borderId="42" xfId="0" applyFill="1" applyBorder="1" applyAlignment="1">
      <alignment horizontal="center"/>
    </xf>
    <xf numFmtId="0" fontId="0" fillId="35" borderId="0" xfId="0" applyFill="1" applyBorder="1" applyAlignment="1">
      <alignment horizontal="center"/>
    </xf>
    <xf numFmtId="0" fontId="0" fillId="35" borderId="0" xfId="0" applyFill="1" applyBorder="1" applyAlignment="1">
      <alignment horizontal="right"/>
    </xf>
    <xf numFmtId="0" fontId="54" fillId="35" borderId="46" xfId="0" applyFont="1" applyFill="1" applyBorder="1" applyAlignment="1" applyProtection="1">
      <alignment horizontal="center"/>
    </xf>
    <xf numFmtId="0" fontId="54" fillId="35" borderId="0" xfId="0" applyFont="1" applyFill="1" applyBorder="1" applyAlignment="1" applyProtection="1">
      <alignment horizontal="center"/>
    </xf>
    <xf numFmtId="0" fontId="0" fillId="35" borderId="0" xfId="0" quotePrefix="1" applyFill="1" applyBorder="1" applyAlignment="1">
      <alignment horizontal="right"/>
    </xf>
    <xf numFmtId="0" fontId="0" fillId="35" borderId="24" xfId="0" applyFill="1" applyBorder="1" applyAlignment="1">
      <alignment horizontal="right"/>
    </xf>
    <xf numFmtId="0" fontId="54" fillId="35" borderId="0" xfId="0" applyFont="1" applyFill="1" applyBorder="1" applyAlignment="1" applyProtection="1">
      <alignment horizontal="left"/>
    </xf>
    <xf numFmtId="0" fontId="13" fillId="35" borderId="0" xfId="0" quotePrefix="1" applyFont="1" applyFill="1" applyBorder="1" applyAlignment="1">
      <alignment horizontal="center"/>
    </xf>
    <xf numFmtId="0" fontId="0" fillId="35" borderId="47" xfId="0" applyFill="1" applyBorder="1"/>
    <xf numFmtId="0" fontId="18" fillId="35" borderId="0" xfId="0" quotePrefix="1" applyFont="1" applyFill="1" applyBorder="1" applyAlignment="1">
      <alignment horizontal="right"/>
    </xf>
    <xf numFmtId="0" fontId="18" fillId="35" borderId="0" xfId="0" applyFont="1" applyFill="1" applyBorder="1" applyAlignment="1">
      <alignment horizontal="right"/>
    </xf>
    <xf numFmtId="0" fontId="0" fillId="35" borderId="43" xfId="0" applyFill="1" applyBorder="1" applyAlignment="1"/>
    <xf numFmtId="0" fontId="51" fillId="35" borderId="0" xfId="0" applyFont="1" applyFill="1" applyBorder="1" applyProtection="1">
      <protection hidden="1"/>
    </xf>
    <xf numFmtId="0" fontId="0" fillId="35" borderId="0" xfId="0" applyFill="1" applyBorder="1" applyProtection="1"/>
    <xf numFmtId="0" fontId="18" fillId="35" borderId="42" xfId="0" applyFont="1" applyFill="1" applyBorder="1" applyProtection="1"/>
    <xf numFmtId="0" fontId="18" fillId="35" borderId="42" xfId="0" applyFont="1" applyFill="1" applyBorder="1" applyAlignment="1">
      <alignment horizontal="left"/>
    </xf>
    <xf numFmtId="191" fontId="51" fillId="35" borderId="48" xfId="56" applyNumberFormat="1" applyFont="1" applyFill="1" applyBorder="1"/>
    <xf numFmtId="191" fontId="51" fillId="35" borderId="39" xfId="56" applyNumberFormat="1" applyFont="1" applyFill="1" applyBorder="1"/>
    <xf numFmtId="166" fontId="51" fillId="35" borderId="0" xfId="41" applyFont="1" applyFill="1" applyBorder="1" applyProtection="1">
      <protection hidden="1"/>
    </xf>
    <xf numFmtId="191" fontId="51" fillId="35" borderId="34" xfId="56" applyNumberFormat="1" applyFont="1" applyFill="1" applyBorder="1" applyProtection="1">
      <protection hidden="1"/>
    </xf>
    <xf numFmtId="191" fontId="51" fillId="35" borderId="8" xfId="56" applyNumberFormat="1" applyFont="1" applyFill="1" applyBorder="1" applyProtection="1">
      <protection hidden="1"/>
    </xf>
    <xf numFmtId="191" fontId="51" fillId="35" borderId="49" xfId="56" applyNumberFormat="1" applyFont="1" applyFill="1" applyBorder="1" applyProtection="1">
      <protection hidden="1"/>
    </xf>
    <xf numFmtId="0" fontId="51" fillId="35" borderId="45" xfId="0" applyFont="1" applyFill="1" applyBorder="1" applyProtection="1">
      <protection hidden="1"/>
    </xf>
    <xf numFmtId="166" fontId="51" fillId="35" borderId="0" xfId="0" applyNumberFormat="1" applyFont="1" applyFill="1" applyBorder="1" applyProtection="1">
      <protection hidden="1"/>
    </xf>
    <xf numFmtId="0" fontId="51" fillId="35" borderId="20" xfId="0" applyFont="1" applyFill="1" applyBorder="1" applyProtection="1">
      <protection hidden="1"/>
    </xf>
    <xf numFmtId="0" fontId="0" fillId="35" borderId="0" xfId="0" applyFill="1" applyBorder="1" applyProtection="1">
      <protection hidden="1"/>
    </xf>
    <xf numFmtId="0" fontId="51" fillId="35" borderId="44" xfId="0" applyFont="1" applyFill="1" applyBorder="1" applyProtection="1">
      <protection hidden="1"/>
    </xf>
    <xf numFmtId="0" fontId="55" fillId="35" borderId="0" xfId="0" applyFont="1" applyFill="1" applyBorder="1" applyAlignment="1" applyProtection="1">
      <alignment wrapText="1"/>
      <protection hidden="1"/>
    </xf>
    <xf numFmtId="0" fontId="50" fillId="35" borderId="42" xfId="0" applyFont="1" applyFill="1" applyBorder="1" applyProtection="1">
      <protection hidden="1"/>
    </xf>
    <xf numFmtId="0" fontId="50" fillId="35" borderId="0" xfId="0" applyFont="1" applyFill="1" applyBorder="1" applyProtection="1">
      <protection hidden="1"/>
    </xf>
    <xf numFmtId="0" fontId="18" fillId="35" borderId="0" xfId="0" applyFont="1" applyFill="1" applyBorder="1" applyAlignment="1" applyProtection="1">
      <alignment horizontal="right"/>
      <protection hidden="1"/>
    </xf>
    <xf numFmtId="0" fontId="51" fillId="35" borderId="42" xfId="0" applyFont="1" applyFill="1" applyBorder="1" applyProtection="1">
      <protection hidden="1"/>
    </xf>
    <xf numFmtId="0" fontId="0" fillId="35" borderId="0" xfId="0" applyFill="1" applyProtection="1">
      <protection hidden="1"/>
    </xf>
    <xf numFmtId="0" fontId="18" fillId="35" borderId="42" xfId="0" applyFont="1" applyFill="1" applyBorder="1" applyProtection="1">
      <protection hidden="1"/>
    </xf>
    <xf numFmtId="0" fontId="18" fillId="35" borderId="0" xfId="0" applyFont="1" applyFill="1" applyBorder="1" applyProtection="1">
      <protection hidden="1"/>
    </xf>
    <xf numFmtId="0" fontId="0" fillId="35" borderId="42" xfId="0" applyFill="1" applyBorder="1" applyProtection="1">
      <protection hidden="1"/>
    </xf>
    <xf numFmtId="0" fontId="51" fillId="35" borderId="0" xfId="0" applyFont="1" applyFill="1" applyBorder="1" applyAlignment="1" applyProtection="1">
      <alignment horizontal="right"/>
      <protection hidden="1"/>
    </xf>
    <xf numFmtId="0" fontId="54" fillId="35" borderId="0" xfId="0" applyFont="1" applyFill="1" applyBorder="1" applyAlignment="1" applyProtection="1">
      <alignment horizontal="center"/>
      <protection hidden="1"/>
    </xf>
    <xf numFmtId="0" fontId="51" fillId="35" borderId="0" xfId="0" applyFont="1" applyFill="1" applyBorder="1" applyAlignment="1" applyProtection="1">
      <alignment horizontal="center"/>
      <protection hidden="1"/>
    </xf>
    <xf numFmtId="0" fontId="54" fillId="35" borderId="42" xfId="0" applyFont="1" applyFill="1" applyBorder="1" applyAlignment="1" applyProtection="1">
      <alignment horizontal="center"/>
      <protection hidden="1"/>
    </xf>
    <xf numFmtId="0" fontId="54" fillId="35" borderId="46" xfId="0" applyFont="1" applyFill="1" applyBorder="1" applyAlignment="1" applyProtection="1">
      <alignment horizontal="center"/>
      <protection hidden="1"/>
    </xf>
    <xf numFmtId="0" fontId="54" fillId="35" borderId="0" xfId="0" applyFont="1" applyFill="1" applyBorder="1" applyAlignment="1" applyProtection="1">
      <alignment horizontal="left"/>
      <protection hidden="1"/>
    </xf>
    <xf numFmtId="0" fontId="54" fillId="35" borderId="0" xfId="0" applyFont="1" applyFill="1" applyBorder="1" applyAlignment="1" applyProtection="1">
      <alignment horizontal="right"/>
      <protection hidden="1"/>
    </xf>
    <xf numFmtId="0" fontId="18" fillId="35" borderId="0" xfId="0" quotePrefix="1" applyFont="1" applyFill="1" applyBorder="1" applyAlignment="1" applyProtection="1">
      <alignment horizontal="right"/>
      <protection hidden="1"/>
    </xf>
    <xf numFmtId="0" fontId="50" fillId="35" borderId="42" xfId="0" applyFont="1" applyFill="1" applyBorder="1" applyAlignment="1" applyProtection="1">
      <alignment horizontal="center"/>
      <protection hidden="1"/>
    </xf>
    <xf numFmtId="0" fontId="16" fillId="35" borderId="51" xfId="0" applyFont="1" applyFill="1" applyBorder="1" applyAlignment="1" applyProtection="1">
      <protection locked="0"/>
    </xf>
    <xf numFmtId="0" fontId="51" fillId="35" borderId="52" xfId="0" applyFont="1" applyFill="1" applyBorder="1" applyProtection="1">
      <protection locked="0"/>
    </xf>
    <xf numFmtId="0" fontId="51" fillId="35" borderId="47" xfId="0" applyFont="1" applyFill="1" applyBorder="1" applyProtection="1">
      <protection locked="0"/>
    </xf>
    <xf numFmtId="0" fontId="51" fillId="35" borderId="0" xfId="0" applyFont="1" applyFill="1" applyProtection="1">
      <protection hidden="1"/>
    </xf>
    <xf numFmtId="0" fontId="51" fillId="35" borderId="53" xfId="0" applyFont="1" applyFill="1" applyBorder="1" applyProtection="1">
      <protection locked="0"/>
    </xf>
    <xf numFmtId="0" fontId="51" fillId="35" borderId="54" xfId="0" applyFont="1" applyFill="1" applyBorder="1" applyProtection="1">
      <protection locked="0"/>
    </xf>
    <xf numFmtId="0" fontId="51" fillId="35" borderId="0" xfId="0" applyFont="1" applyFill="1" applyBorder="1" applyAlignment="1" applyProtection="1">
      <alignment horizontal="left"/>
      <protection hidden="1"/>
    </xf>
    <xf numFmtId="0" fontId="51" fillId="35" borderId="0" xfId="0" quotePrefix="1" applyFont="1" applyFill="1" applyBorder="1" applyAlignment="1" applyProtection="1">
      <alignment horizontal="right"/>
      <protection hidden="1"/>
    </xf>
    <xf numFmtId="49" fontId="51" fillId="35" borderId="0" xfId="0" applyNumberFormat="1" applyFont="1" applyFill="1" applyBorder="1" applyAlignment="1" applyProtection="1">
      <alignment horizontal="right"/>
      <protection hidden="1"/>
    </xf>
    <xf numFmtId="0" fontId="51" fillId="35" borderId="55" xfId="0" applyFont="1" applyFill="1" applyBorder="1" applyProtection="1">
      <protection locked="0"/>
    </xf>
    <xf numFmtId="0" fontId="51" fillId="35" borderId="0" xfId="0" applyFont="1" applyFill="1" applyAlignment="1" applyProtection="1">
      <alignment wrapText="1"/>
      <protection hidden="1"/>
    </xf>
    <xf numFmtId="0" fontId="0" fillId="35" borderId="0" xfId="0" applyFill="1" applyAlignment="1" applyProtection="1">
      <alignment wrapText="1"/>
      <protection hidden="1"/>
    </xf>
    <xf numFmtId="0" fontId="51" fillId="35" borderId="43" xfId="0" applyFont="1" applyFill="1" applyBorder="1" applyProtection="1">
      <protection hidden="1"/>
    </xf>
    <xf numFmtId="188" fontId="51" fillId="35" borderId="29" xfId="0" applyNumberFormat="1" applyFont="1" applyFill="1" applyBorder="1" applyProtection="1"/>
    <xf numFmtId="188" fontId="51" fillId="35" borderId="57" xfId="0" applyNumberFormat="1" applyFont="1" applyFill="1" applyBorder="1" applyProtection="1"/>
    <xf numFmtId="188" fontId="51" fillId="35" borderId="56" xfId="0" applyNumberFormat="1" applyFont="1" applyFill="1" applyBorder="1" applyProtection="1"/>
    <xf numFmtId="188" fontId="51" fillId="35" borderId="14" xfId="0" applyNumberFormat="1" applyFont="1" applyFill="1" applyBorder="1"/>
    <xf numFmtId="188" fontId="51" fillId="35" borderId="59" xfId="0" applyNumberFormat="1" applyFont="1" applyFill="1" applyBorder="1" applyProtection="1"/>
    <xf numFmtId="188" fontId="51" fillId="35" borderId="56" xfId="41" applyNumberFormat="1" applyFont="1" applyFill="1" applyBorder="1" applyProtection="1"/>
    <xf numFmtId="188" fontId="51" fillId="35" borderId="38" xfId="0" applyNumberFormat="1" applyFont="1" applyFill="1" applyBorder="1"/>
    <xf numFmtId="188" fontId="51" fillId="35" borderId="29" xfId="0" applyNumberFormat="1" applyFont="1" applyFill="1" applyBorder="1"/>
    <xf numFmtId="188" fontId="51" fillId="35" borderId="0" xfId="0" applyNumberFormat="1" applyFont="1" applyFill="1" applyBorder="1"/>
    <xf numFmtId="188" fontId="51" fillId="35" borderId="45" xfId="0" applyNumberFormat="1" applyFont="1" applyFill="1" applyBorder="1" applyProtection="1"/>
    <xf numFmtId="188" fontId="51" fillId="35" borderId="0" xfId="41" applyNumberFormat="1" applyFont="1" applyFill="1" applyBorder="1" applyProtection="1"/>
    <xf numFmtId="188" fontId="51" fillId="35" borderId="0" xfId="0" applyNumberFormat="1" applyFont="1" applyFill="1" applyBorder="1" applyProtection="1"/>
    <xf numFmtId="188" fontId="51" fillId="35" borderId="14" xfId="0" applyNumberFormat="1" applyFont="1" applyFill="1" applyBorder="1" applyAlignment="1"/>
    <xf numFmtId="188" fontId="51" fillId="35" borderId="62" xfId="41" applyNumberFormat="1" applyFont="1" applyFill="1" applyBorder="1"/>
    <xf numFmtId="188" fontId="51" fillId="35" borderId="24" xfId="41" applyNumberFormat="1" applyFont="1" applyFill="1" applyBorder="1"/>
    <xf numFmtId="188" fontId="51" fillId="35" borderId="14" xfId="41" applyNumberFormat="1" applyFont="1" applyFill="1" applyBorder="1" applyAlignment="1" applyProtection="1">
      <protection hidden="1"/>
    </xf>
    <xf numFmtId="188" fontId="51" fillId="35" borderId="14" xfId="0" applyNumberFormat="1" applyFont="1" applyFill="1" applyBorder="1" applyAlignment="1" applyProtection="1">
      <protection hidden="1"/>
    </xf>
    <xf numFmtId="188" fontId="51" fillId="35" borderId="56" xfId="0" applyNumberFormat="1" applyFont="1" applyFill="1" applyBorder="1"/>
    <xf numFmtId="188" fontId="51" fillId="35" borderId="58" xfId="0" applyNumberFormat="1" applyFont="1" applyFill="1" applyBorder="1" applyProtection="1">
      <protection locked="0"/>
    </xf>
    <xf numFmtId="188" fontId="51" fillId="35" borderId="65" xfId="0" applyNumberFormat="1" applyFont="1" applyFill="1" applyBorder="1" applyProtection="1">
      <protection locked="0"/>
    </xf>
    <xf numFmtId="188" fontId="51" fillId="35" borderId="66" xfId="0" applyNumberFormat="1" applyFont="1" applyFill="1" applyBorder="1" applyProtection="1">
      <protection locked="0"/>
    </xf>
    <xf numFmtId="188" fontId="0" fillId="35" borderId="43" xfId="0" applyNumberFormat="1" applyFill="1" applyBorder="1"/>
    <xf numFmtId="188" fontId="0" fillId="35" borderId="55" xfId="0" applyNumberFormat="1" applyFill="1" applyBorder="1" applyProtection="1"/>
    <xf numFmtId="0" fontId="0" fillId="35" borderId="2" xfId="0" applyFill="1" applyBorder="1" applyProtection="1"/>
    <xf numFmtId="188" fontId="51" fillId="37" borderId="14" xfId="41" applyNumberFormat="1" applyFont="1" applyFill="1" applyBorder="1" applyAlignment="1" applyProtection="1">
      <protection hidden="1"/>
    </xf>
    <xf numFmtId="188" fontId="51" fillId="0" borderId="0" xfId="41" applyNumberFormat="1" applyFont="1" applyFill="1" applyBorder="1" applyAlignment="1" applyProtection="1">
      <alignment horizontal="right"/>
      <protection hidden="1"/>
    </xf>
    <xf numFmtId="188" fontId="51" fillId="0" borderId="29" xfId="41" applyNumberFormat="1" applyFont="1" applyFill="1" applyBorder="1" applyAlignment="1" applyProtection="1">
      <alignment horizontal="right"/>
      <protection hidden="1"/>
    </xf>
    <xf numFmtId="188" fontId="51" fillId="37" borderId="67" xfId="41" applyNumberFormat="1" applyFont="1" applyFill="1" applyBorder="1" applyAlignment="1" applyProtection="1">
      <alignment horizontal="right"/>
      <protection hidden="1"/>
    </xf>
    <xf numFmtId="188" fontId="51" fillId="37" borderId="28" xfId="41" applyNumberFormat="1" applyFont="1" applyFill="1" applyBorder="1" applyAlignment="1" applyProtection="1">
      <protection hidden="1"/>
    </xf>
    <xf numFmtId="188" fontId="51" fillId="37" borderId="68" xfId="41" applyNumberFormat="1" applyFont="1" applyFill="1" applyBorder="1" applyAlignment="1" applyProtection="1">
      <protection hidden="1"/>
    </xf>
    <xf numFmtId="188" fontId="51" fillId="35" borderId="0" xfId="41" applyNumberFormat="1" applyFont="1" applyFill="1" applyBorder="1" applyAlignment="1" applyProtection="1">
      <protection hidden="1"/>
    </xf>
    <xf numFmtId="188" fontId="51" fillId="35" borderId="45" xfId="41" applyNumberFormat="1" applyFont="1" applyFill="1" applyBorder="1" applyAlignment="1" applyProtection="1">
      <protection hidden="1"/>
    </xf>
    <xf numFmtId="188" fontId="51" fillId="0" borderId="45" xfId="41" applyNumberFormat="1" applyFont="1" applyFill="1" applyBorder="1" applyAlignment="1" applyProtection="1">
      <protection locked="0" hidden="1"/>
    </xf>
    <xf numFmtId="188" fontId="51" fillId="0" borderId="29" xfId="41" applyNumberFormat="1" applyFont="1" applyBorder="1" applyAlignment="1" applyProtection="1">
      <protection hidden="1"/>
    </xf>
    <xf numFmtId="188" fontId="51" fillId="35" borderId="0" xfId="0" applyNumberFormat="1" applyFont="1" applyFill="1" applyBorder="1" applyAlignment="1" applyProtection="1">
      <protection hidden="1"/>
    </xf>
    <xf numFmtId="188" fontId="51" fillId="35" borderId="45" xfId="0" applyNumberFormat="1" applyFont="1" applyFill="1" applyBorder="1" applyAlignment="1" applyProtection="1">
      <protection hidden="1"/>
    </xf>
    <xf numFmtId="188" fontId="51" fillId="35" borderId="29" xfId="0" applyNumberFormat="1" applyFont="1" applyFill="1" applyBorder="1" applyAlignment="1" applyProtection="1">
      <protection hidden="1"/>
    </xf>
    <xf numFmtId="188" fontId="51" fillId="35" borderId="14" xfId="178" applyNumberFormat="1" applyFont="1" applyFill="1" applyBorder="1" applyAlignment="1" applyProtection="1">
      <protection hidden="1"/>
    </xf>
    <xf numFmtId="188" fontId="51" fillId="35" borderId="0" xfId="178" applyNumberFormat="1" applyFont="1" applyFill="1" applyBorder="1" applyAlignment="1" applyProtection="1">
      <protection hidden="1"/>
    </xf>
    <xf numFmtId="188" fontId="51" fillId="35" borderId="45" xfId="178" applyNumberFormat="1" applyFont="1" applyFill="1" applyBorder="1" applyAlignment="1" applyProtection="1">
      <protection hidden="1"/>
    </xf>
    <xf numFmtId="188" fontId="51" fillId="35" borderId="20" xfId="0" applyNumberFormat="1" applyFont="1" applyFill="1" applyBorder="1" applyAlignment="1" applyProtection="1">
      <protection hidden="1"/>
    </xf>
    <xf numFmtId="188" fontId="51" fillId="35" borderId="59" xfId="0" applyNumberFormat="1" applyFont="1" applyFill="1" applyBorder="1" applyAlignment="1" applyProtection="1">
      <protection hidden="1"/>
    </xf>
    <xf numFmtId="188" fontId="51" fillId="35" borderId="56" xfId="41" applyNumberFormat="1" applyFont="1" applyFill="1" applyBorder="1" applyAlignment="1" applyProtection="1">
      <protection hidden="1"/>
    </xf>
    <xf numFmtId="188" fontId="51" fillId="0" borderId="61" xfId="41" applyNumberFormat="1" applyFont="1" applyFill="1" applyBorder="1" applyAlignment="1" applyProtection="1">
      <protection hidden="1"/>
    </xf>
    <xf numFmtId="188" fontId="51" fillId="0" borderId="0" xfId="41" applyNumberFormat="1" applyFont="1" applyFill="1" applyBorder="1" applyAlignment="1" applyProtection="1">
      <protection hidden="1"/>
    </xf>
    <xf numFmtId="188" fontId="51" fillId="37" borderId="14" xfId="41" applyNumberFormat="1" applyFont="1" applyFill="1" applyBorder="1" applyAlignment="1" applyProtection="1">
      <alignment horizontal="right"/>
      <protection hidden="1"/>
    </xf>
    <xf numFmtId="188" fontId="51" fillId="37" borderId="14" xfId="0" applyNumberFormat="1" applyFont="1" applyFill="1" applyBorder="1" applyAlignment="1" applyProtection="1">
      <protection hidden="1"/>
    </xf>
    <xf numFmtId="188" fontId="51" fillId="0" borderId="0" xfId="0" applyNumberFormat="1" applyFont="1" applyFill="1" applyBorder="1" applyAlignment="1" applyProtection="1">
      <protection hidden="1"/>
    </xf>
    <xf numFmtId="188" fontId="51" fillId="0" borderId="29" xfId="0" applyNumberFormat="1" applyFont="1" applyBorder="1" applyAlignment="1" applyProtection="1">
      <protection hidden="1"/>
    </xf>
    <xf numFmtId="10" fontId="51" fillId="35" borderId="14" xfId="0" applyNumberFormat="1" applyFont="1" applyFill="1" applyBorder="1" applyAlignment="1" applyProtection="1">
      <protection hidden="1"/>
    </xf>
    <xf numFmtId="10" fontId="51" fillId="35" borderId="14" xfId="178" applyNumberFormat="1" applyFont="1" applyFill="1" applyBorder="1" applyAlignment="1" applyProtection="1">
      <protection hidden="1"/>
    </xf>
    <xf numFmtId="188" fontId="51" fillId="35" borderId="32" xfId="178" applyNumberFormat="1" applyFont="1" applyFill="1" applyBorder="1" applyAlignment="1" applyProtection="1">
      <protection hidden="1"/>
    </xf>
    <xf numFmtId="188" fontId="51" fillId="35" borderId="66" xfId="41" applyNumberFormat="1" applyFont="1" applyFill="1" applyBorder="1" applyAlignment="1" applyProtection="1">
      <protection hidden="1"/>
    </xf>
    <xf numFmtId="188" fontId="51" fillId="35" borderId="31" xfId="0" applyNumberFormat="1" applyFont="1" applyFill="1" applyBorder="1" applyAlignment="1" applyProtection="1">
      <protection hidden="1"/>
    </xf>
    <xf numFmtId="188" fontId="51" fillId="35" borderId="25" xfId="0" applyNumberFormat="1" applyFont="1" applyFill="1" applyBorder="1" applyAlignment="1" applyProtection="1">
      <protection hidden="1"/>
    </xf>
    <xf numFmtId="188" fontId="51" fillId="35" borderId="56" xfId="0" applyNumberFormat="1" applyFont="1" applyFill="1" applyBorder="1" applyAlignment="1" applyProtection="1">
      <protection hidden="1"/>
    </xf>
    <xf numFmtId="188" fontId="51" fillId="35" borderId="56" xfId="0" applyNumberFormat="1" applyFont="1" applyFill="1" applyBorder="1" applyAlignment="1" applyProtection="1">
      <alignment horizontal="right"/>
      <protection hidden="1"/>
    </xf>
    <xf numFmtId="188" fontId="51" fillId="37" borderId="31" xfId="0" applyNumberFormat="1" applyFont="1" applyFill="1" applyBorder="1" applyAlignment="1" applyProtection="1">
      <alignment horizontal="right"/>
      <protection hidden="1"/>
    </xf>
    <xf numFmtId="188" fontId="51" fillId="0" borderId="0" xfId="0" applyNumberFormat="1" applyFont="1" applyFill="1" applyBorder="1" applyAlignment="1" applyProtection="1">
      <alignment horizontal="right"/>
      <protection hidden="1"/>
    </xf>
    <xf numFmtId="188" fontId="51" fillId="35" borderId="69" xfId="41" applyNumberFormat="1" applyFont="1" applyFill="1" applyBorder="1" applyAlignment="1" applyProtection="1">
      <protection hidden="1"/>
    </xf>
    <xf numFmtId="188" fontId="51" fillId="35" borderId="56" xfId="41" applyNumberFormat="1" applyFont="1" applyFill="1" applyBorder="1" applyAlignment="1"/>
    <xf numFmtId="188" fontId="51" fillId="35" borderId="57" xfId="0" applyNumberFormat="1" applyFont="1" applyFill="1" applyBorder="1" applyAlignment="1"/>
    <xf numFmtId="188" fontId="51" fillId="35" borderId="70" xfId="41" applyNumberFormat="1" applyFont="1" applyFill="1" applyBorder="1" applyAlignment="1" applyProtection="1">
      <protection hidden="1"/>
    </xf>
    <xf numFmtId="0" fontId="18" fillId="35" borderId="0" xfId="0" applyFont="1" applyFill="1" applyBorder="1" applyAlignment="1">
      <alignment horizontal="right" indent="1"/>
    </xf>
    <xf numFmtId="0" fontId="0" fillId="35" borderId="0" xfId="0" applyFill="1" applyAlignment="1">
      <alignment wrapText="1"/>
    </xf>
    <xf numFmtId="0" fontId="0" fillId="35" borderId="22" xfId="0" applyFill="1" applyBorder="1"/>
    <xf numFmtId="15" fontId="0" fillId="35" borderId="18" xfId="0" applyNumberFormat="1" applyFill="1" applyBorder="1"/>
    <xf numFmtId="180" fontId="0" fillId="35" borderId="0" xfId="0" applyNumberFormat="1" applyFill="1" applyBorder="1"/>
    <xf numFmtId="0" fontId="0" fillId="35" borderId="18" xfId="0" applyFill="1" applyBorder="1"/>
    <xf numFmtId="2" fontId="0" fillId="35" borderId="0" xfId="0" applyNumberFormat="1" applyFill="1" applyBorder="1"/>
    <xf numFmtId="192" fontId="0" fillId="35" borderId="0" xfId="0" applyNumberFormat="1" applyFill="1" applyBorder="1"/>
    <xf numFmtId="193" fontId="0" fillId="35" borderId="0" xfId="0" applyNumberFormat="1" applyFill="1" applyBorder="1"/>
    <xf numFmtId="2" fontId="0" fillId="35" borderId="0" xfId="0" applyNumberFormat="1" applyFill="1"/>
    <xf numFmtId="2" fontId="13" fillId="35" borderId="0" xfId="0" applyNumberFormat="1" applyFont="1" applyFill="1"/>
    <xf numFmtId="2" fontId="13" fillId="35" borderId="0" xfId="0" applyNumberFormat="1" applyFont="1" applyFill="1" applyBorder="1"/>
    <xf numFmtId="171" fontId="19" fillId="35" borderId="29" xfId="0" applyNumberFormat="1" applyFont="1" applyFill="1" applyBorder="1" applyAlignment="1">
      <alignment horizontal="right"/>
    </xf>
    <xf numFmtId="166" fontId="19" fillId="35" borderId="29" xfId="56" applyNumberFormat="1" applyFont="1" applyFill="1" applyBorder="1" applyAlignment="1">
      <alignment horizontal="right"/>
    </xf>
    <xf numFmtId="166" fontId="19" fillId="35" borderId="0" xfId="56" applyNumberFormat="1" applyFont="1" applyFill="1" applyBorder="1" applyAlignment="1">
      <alignment horizontal="right"/>
    </xf>
    <xf numFmtId="166" fontId="19" fillId="35" borderId="0" xfId="0" applyNumberFormat="1" applyFont="1" applyFill="1" applyBorder="1" applyAlignment="1">
      <alignment horizontal="right"/>
    </xf>
    <xf numFmtId="166" fontId="19" fillId="35" borderId="0" xfId="0" applyNumberFormat="1" applyFont="1" applyFill="1" applyBorder="1" applyAlignment="1">
      <alignment horizontal="center"/>
    </xf>
    <xf numFmtId="175" fontId="13" fillId="35" borderId="0" xfId="0" applyNumberFormat="1" applyFont="1" applyFill="1" applyAlignment="1">
      <alignment horizontal="center" vertical="top"/>
    </xf>
    <xf numFmtId="175" fontId="13" fillId="35" borderId="0" xfId="0" applyNumberFormat="1" applyFont="1" applyFill="1" applyBorder="1" applyAlignment="1">
      <alignment horizontal="right" vertical="top"/>
    </xf>
    <xf numFmtId="0" fontId="13" fillId="35" borderId="0" xfId="148" applyFont="1" applyFill="1"/>
    <xf numFmtId="0" fontId="19" fillId="35" borderId="0" xfId="148" applyFont="1" applyFill="1"/>
    <xf numFmtId="0" fontId="13" fillId="35" borderId="0" xfId="148" applyFont="1" applyFill="1" applyAlignment="1">
      <alignment horizontal="left" indent="1"/>
    </xf>
    <xf numFmtId="166" fontId="19" fillId="35" borderId="0" xfId="148" applyNumberFormat="1" applyFont="1" applyFill="1"/>
    <xf numFmtId="0" fontId="19" fillId="35" borderId="0" xfId="148" quotePrefix="1" applyFont="1" applyFill="1"/>
    <xf numFmtId="0" fontId="19" fillId="35" borderId="0" xfId="148" quotePrefix="1" applyFont="1" applyFill="1" applyAlignment="1">
      <alignment horizontal="left"/>
    </xf>
    <xf numFmtId="166" fontId="19" fillId="35" borderId="0" xfId="41" applyFont="1" applyFill="1" applyAlignment="1">
      <alignment horizontal="right"/>
    </xf>
    <xf numFmtId="166" fontId="13" fillId="35" borderId="0" xfId="41" applyNumberFormat="1" applyFont="1" applyFill="1"/>
    <xf numFmtId="166" fontId="19" fillId="35" borderId="20" xfId="148" applyNumberFormat="1" applyFont="1" applyFill="1" applyBorder="1"/>
    <xf numFmtId="166" fontId="19" fillId="35" borderId="0" xfId="148" applyNumberFormat="1" applyFont="1" applyFill="1" applyBorder="1"/>
    <xf numFmtId="0" fontId="19" fillId="35" borderId="0" xfId="148" applyFont="1" applyFill="1" applyAlignment="1">
      <alignment horizontal="center"/>
    </xf>
    <xf numFmtId="0" fontId="57" fillId="35" borderId="0" xfId="148" applyFill="1"/>
    <xf numFmtId="173" fontId="19" fillId="35" borderId="0" xfId="148" applyNumberFormat="1" applyFont="1" applyFill="1" applyBorder="1" applyAlignment="1">
      <alignment horizontal="center"/>
    </xf>
    <xf numFmtId="194" fontId="19" fillId="35" borderId="0" xfId="148" applyNumberFormat="1" applyFont="1" applyFill="1"/>
    <xf numFmtId="0" fontId="58" fillId="35" borderId="0" xfId="148" applyFont="1" applyFill="1" applyAlignment="1">
      <alignment horizontal="left" indent="1"/>
    </xf>
    <xf numFmtId="0" fontId="19" fillId="35" borderId="44" xfId="148" applyFont="1" applyFill="1" applyBorder="1"/>
    <xf numFmtId="0" fontId="13" fillId="35" borderId="42" xfId="148" applyFont="1" applyFill="1" applyBorder="1"/>
    <xf numFmtId="0" fontId="19" fillId="35" borderId="0" xfId="148" applyFont="1" applyFill="1" applyBorder="1"/>
    <xf numFmtId="0" fontId="19" fillId="35" borderId="45" xfId="148" applyFont="1" applyFill="1" applyBorder="1"/>
    <xf numFmtId="0" fontId="19" fillId="35" borderId="42" xfId="148" applyFont="1" applyFill="1" applyBorder="1"/>
    <xf numFmtId="194" fontId="19" fillId="35" borderId="45" xfId="148" applyNumberFormat="1" applyFont="1" applyFill="1" applyBorder="1"/>
    <xf numFmtId="194" fontId="19" fillId="35" borderId="0" xfId="148" applyNumberFormat="1" applyFont="1" applyFill="1" applyBorder="1"/>
    <xf numFmtId="0" fontId="19" fillId="35" borderId="0" xfId="148" quotePrefix="1" applyFont="1" applyFill="1" applyBorder="1"/>
    <xf numFmtId="166" fontId="19" fillId="35" borderId="67" xfId="148" applyNumberFormat="1" applyFont="1" applyFill="1" applyBorder="1"/>
    <xf numFmtId="0" fontId="19" fillId="35" borderId="47" xfId="148" applyFont="1" applyFill="1" applyBorder="1"/>
    <xf numFmtId="0" fontId="19" fillId="35" borderId="43" xfId="148" applyFont="1" applyFill="1" applyBorder="1"/>
    <xf numFmtId="165" fontId="13" fillId="35" borderId="71" xfId="56" applyFont="1" applyFill="1" applyBorder="1"/>
    <xf numFmtId="195" fontId="19" fillId="35" borderId="0" xfId="0" applyNumberFormat="1" applyFont="1" applyFill="1"/>
    <xf numFmtId="0" fontId="19" fillId="35" borderId="17" xfId="0" applyFont="1" applyFill="1" applyBorder="1"/>
    <xf numFmtId="0" fontId="13" fillId="35" borderId="32" xfId="0" applyFont="1" applyFill="1" applyBorder="1"/>
    <xf numFmtId="0" fontId="49" fillId="35" borderId="0" xfId="0" applyFont="1" applyFill="1" applyBorder="1" applyAlignment="1">
      <alignment horizontal="right"/>
    </xf>
    <xf numFmtId="0" fontId="33" fillId="35" borderId="0" xfId="0" applyFont="1" applyFill="1" applyBorder="1" applyAlignment="1"/>
    <xf numFmtId="0" fontId="19" fillId="35" borderId="0" xfId="0" applyFont="1" applyFill="1" applyBorder="1" applyAlignment="1"/>
    <xf numFmtId="195" fontId="19" fillId="35" borderId="0" xfId="0" applyNumberFormat="1" applyFont="1" applyFill="1" applyBorder="1" applyAlignment="1"/>
    <xf numFmtId="166" fontId="13" fillId="35" borderId="20" xfId="41" applyNumberFormat="1" applyFont="1" applyFill="1" applyBorder="1"/>
    <xf numFmtId="0" fontId="13" fillId="35" borderId="0" xfId="146" applyFont="1" applyFill="1"/>
    <xf numFmtId="0" fontId="13" fillId="35" borderId="42" xfId="0" applyFont="1" applyFill="1" applyBorder="1"/>
    <xf numFmtId="165" fontId="13" fillId="35" borderId="0" xfId="56" applyFont="1" applyFill="1" applyBorder="1" applyAlignment="1">
      <alignment horizontal="right"/>
    </xf>
    <xf numFmtId="0" fontId="36" fillId="35" borderId="32" xfId="131" applyFont="1" applyFill="1" applyBorder="1" applyAlignment="1" applyProtection="1"/>
    <xf numFmtId="0" fontId="36" fillId="35" borderId="17" xfId="131" applyFont="1" applyFill="1" applyBorder="1" applyAlignment="1" applyProtection="1"/>
    <xf numFmtId="0" fontId="36" fillId="35" borderId="38" xfId="131" applyFont="1" applyFill="1" applyBorder="1" applyAlignment="1" applyProtection="1"/>
    <xf numFmtId="0" fontId="27" fillId="35" borderId="18" xfId="131" applyFill="1" applyBorder="1" applyAlignment="1" applyProtection="1">
      <alignment vertical="top"/>
    </xf>
    <xf numFmtId="0" fontId="13" fillId="35" borderId="32" xfId="0" applyFont="1" applyFill="1" applyBorder="1" applyAlignment="1"/>
    <xf numFmtId="0" fontId="13" fillId="35" borderId="17" xfId="0" applyFont="1" applyFill="1" applyBorder="1" applyAlignment="1"/>
    <xf numFmtId="0" fontId="13" fillId="35" borderId="38" xfId="0" applyFont="1" applyFill="1" applyBorder="1" applyAlignment="1"/>
    <xf numFmtId="166" fontId="13" fillId="35" borderId="0" xfId="56" applyNumberFormat="1" applyFont="1" applyFill="1" applyAlignment="1">
      <alignment horizontal="right"/>
    </xf>
    <xf numFmtId="4" fontId="19" fillId="35" borderId="0" xfId="56" applyNumberFormat="1" applyFont="1" applyFill="1" applyBorder="1" applyAlignment="1">
      <alignment horizontal="center"/>
    </xf>
    <xf numFmtId="4" fontId="19" fillId="35" borderId="0" xfId="56" applyNumberFormat="1" applyFont="1" applyFill="1" applyAlignment="1">
      <alignment horizontal="center"/>
    </xf>
    <xf numFmtId="17" fontId="36" fillId="35" borderId="0" xfId="131" applyNumberFormat="1" applyFont="1" applyFill="1" applyBorder="1" applyAlignment="1" applyProtection="1">
      <alignment horizontal="center"/>
    </xf>
    <xf numFmtId="0" fontId="49" fillId="35" borderId="0" xfId="146" applyFont="1" applyFill="1" applyBorder="1" applyAlignment="1">
      <alignment horizontal="left" indent="1"/>
    </xf>
    <xf numFmtId="0" fontId="44" fillId="35" borderId="0" xfId="146" applyFont="1" applyFill="1" applyBorder="1" applyAlignment="1">
      <alignment horizontal="center"/>
    </xf>
    <xf numFmtId="0" fontId="13" fillId="35" borderId="26" xfId="146" applyFont="1" applyFill="1" applyBorder="1" applyAlignment="1">
      <alignment horizontal="center"/>
    </xf>
    <xf numFmtId="165" fontId="12" fillId="35" borderId="27" xfId="64" applyFill="1" applyBorder="1"/>
    <xf numFmtId="0" fontId="12" fillId="35" borderId="37" xfId="146" applyFill="1" applyBorder="1"/>
    <xf numFmtId="187" fontId="12" fillId="35" borderId="0" xfId="146" applyNumberFormat="1" applyFill="1" applyBorder="1"/>
    <xf numFmtId="14" fontId="12" fillId="35" borderId="0" xfId="146" applyNumberFormat="1" applyFill="1" applyBorder="1"/>
    <xf numFmtId="0" fontId="12" fillId="35" borderId="0" xfId="146" applyFill="1" applyBorder="1"/>
    <xf numFmtId="0" fontId="12" fillId="35" borderId="37" xfId="146" applyFont="1" applyFill="1" applyBorder="1"/>
    <xf numFmtId="0" fontId="12" fillId="35" borderId="72" xfId="146" applyFill="1" applyBorder="1"/>
    <xf numFmtId="0" fontId="22" fillId="35" borderId="0" xfId="146" applyFont="1" applyFill="1" applyAlignment="1">
      <alignment horizontal="right"/>
    </xf>
    <xf numFmtId="0" fontId="19" fillId="35" borderId="32" xfId="0" applyFont="1" applyFill="1" applyBorder="1" applyAlignment="1">
      <alignment vertical="top"/>
    </xf>
    <xf numFmtId="0" fontId="13" fillId="35" borderId="17" xfId="0" applyFont="1" applyFill="1" applyBorder="1" applyAlignment="1">
      <alignment horizontal="center" vertical="top"/>
    </xf>
    <xf numFmtId="165" fontId="13" fillId="35" borderId="38" xfId="56" applyFont="1" applyFill="1" applyBorder="1" applyAlignment="1">
      <alignment horizontal="center" vertical="top"/>
    </xf>
    <xf numFmtId="165" fontId="19" fillId="35" borderId="24" xfId="56" applyFont="1" applyFill="1" applyBorder="1" applyAlignment="1">
      <alignment vertical="top"/>
    </xf>
    <xf numFmtId="0" fontId="19" fillId="35" borderId="25" xfId="0" applyFont="1" applyFill="1" applyBorder="1" applyAlignment="1">
      <alignment vertical="top"/>
    </xf>
    <xf numFmtId="9" fontId="13" fillId="35" borderId="32" xfId="0" applyNumberFormat="1" applyFont="1" applyFill="1" applyBorder="1" applyAlignment="1">
      <alignment vertical="top"/>
    </xf>
    <xf numFmtId="165" fontId="13" fillId="35" borderId="14" xfId="56" applyFont="1" applyFill="1" applyBorder="1" applyAlignment="1">
      <alignment vertical="top"/>
    </xf>
    <xf numFmtId="188" fontId="0" fillId="35" borderId="26" xfId="0" applyNumberFormat="1" applyFill="1" applyBorder="1" applyAlignment="1" applyProtection="1">
      <protection hidden="1"/>
    </xf>
    <xf numFmtId="188" fontId="0" fillId="35" borderId="28" xfId="0" applyNumberFormat="1" applyFill="1" applyBorder="1" applyAlignment="1" applyProtection="1">
      <protection hidden="1"/>
    </xf>
    <xf numFmtId="0" fontId="13" fillId="35" borderId="18" xfId="0" applyFont="1" applyFill="1" applyBorder="1" applyAlignment="1">
      <alignment horizontal="left"/>
    </xf>
    <xf numFmtId="166" fontId="13" fillId="35" borderId="32" xfId="56" applyNumberFormat="1" applyFont="1" applyFill="1" applyBorder="1" applyAlignment="1">
      <alignment horizontal="right"/>
    </xf>
    <xf numFmtId="166" fontId="13" fillId="35" borderId="14" xfId="56" applyNumberFormat="1" applyFont="1" applyFill="1" applyBorder="1" applyAlignment="1">
      <alignment horizontal="right"/>
    </xf>
    <xf numFmtId="166" fontId="13" fillId="35" borderId="0" xfId="56" applyNumberFormat="1" applyFont="1" applyFill="1" applyBorder="1" applyAlignment="1">
      <alignment horizontal="right"/>
    </xf>
    <xf numFmtId="166" fontId="13" fillId="35" borderId="29" xfId="56" applyNumberFormat="1" applyFont="1" applyFill="1" applyBorder="1" applyAlignment="1">
      <alignment horizontal="right"/>
    </xf>
    <xf numFmtId="166" fontId="13" fillId="35" borderId="23" xfId="56" applyNumberFormat="1" applyFont="1" applyFill="1" applyBorder="1" applyAlignment="1">
      <alignment horizontal="right"/>
    </xf>
    <xf numFmtId="0" fontId="24" fillId="35" borderId="0" xfId="0" applyFont="1" applyFill="1"/>
    <xf numFmtId="0" fontId="19" fillId="35" borderId="0" xfId="0" applyFont="1" applyFill="1" applyAlignment="1">
      <alignment vertical="center"/>
    </xf>
    <xf numFmtId="174" fontId="19" fillId="35" borderId="0" xfId="0" applyNumberFormat="1" applyFont="1" applyFill="1" applyBorder="1" applyAlignment="1">
      <alignment horizontal="left"/>
    </xf>
    <xf numFmtId="166" fontId="19" fillId="35" borderId="20" xfId="56" applyNumberFormat="1" applyFont="1" applyFill="1" applyBorder="1"/>
    <xf numFmtId="0" fontId="19" fillId="0" borderId="31" xfId="0" applyFont="1" applyFill="1" applyBorder="1" applyAlignment="1">
      <alignment horizontal="center"/>
    </xf>
    <xf numFmtId="166" fontId="19" fillId="35" borderId="0" xfId="41" applyFont="1" applyFill="1" applyAlignment="1">
      <alignment horizontal="left"/>
    </xf>
    <xf numFmtId="166" fontId="19" fillId="35" borderId="0" xfId="41" applyFont="1" applyFill="1" applyAlignment="1">
      <alignment horizontal="left" indent="3"/>
    </xf>
    <xf numFmtId="0" fontId="59" fillId="35" borderId="0" xfId="0" applyFont="1" applyFill="1"/>
    <xf numFmtId="0" fontId="24" fillId="35" borderId="0" xfId="146" applyFont="1" applyFill="1" applyBorder="1"/>
    <xf numFmtId="174" fontId="0" fillId="35" borderId="0" xfId="0" applyNumberFormat="1" applyFill="1" applyBorder="1" applyAlignment="1">
      <alignment horizontal="left"/>
    </xf>
    <xf numFmtId="174" fontId="35" fillId="35" borderId="0" xfId="0" applyNumberFormat="1" applyFont="1" applyFill="1" applyBorder="1" applyAlignment="1">
      <alignment horizontal="left"/>
    </xf>
    <xf numFmtId="0" fontId="0" fillId="0" borderId="0" xfId="0" applyBorder="1"/>
    <xf numFmtId="0" fontId="45" fillId="0" borderId="14" xfId="235" applyBorder="1">
      <alignment horizontal="center" vertical="center" wrapText="1"/>
    </xf>
    <xf numFmtId="0" fontId="19" fillId="0" borderId="0" xfId="0" applyFont="1" applyBorder="1"/>
    <xf numFmtId="0" fontId="13" fillId="0" borderId="14" xfId="235" applyFont="1" applyBorder="1">
      <alignment horizontal="center" vertical="center" wrapText="1"/>
    </xf>
    <xf numFmtId="0" fontId="19" fillId="0" borderId="23" xfId="0" applyFont="1" applyBorder="1"/>
    <xf numFmtId="0" fontId="19" fillId="0" borderId="20" xfId="0" applyFont="1" applyBorder="1"/>
    <xf numFmtId="0" fontId="13" fillId="0" borderId="28" xfId="235" applyFont="1" applyBorder="1">
      <alignment horizontal="center" vertical="center" wrapText="1"/>
    </xf>
    <xf numFmtId="0" fontId="13" fillId="0" borderId="32" xfId="235" applyFont="1" applyBorder="1">
      <alignment horizontal="center" vertical="center" wrapText="1"/>
    </xf>
    <xf numFmtId="49" fontId="19" fillId="0" borderId="0" xfId="243" applyFont="1" applyFill="1">
      <alignment vertical="center" wrapText="1"/>
    </xf>
    <xf numFmtId="49" fontId="13" fillId="0" borderId="23" xfId="234" applyFont="1" applyBorder="1">
      <alignment horizontal="left"/>
    </xf>
    <xf numFmtId="0" fontId="19" fillId="0" borderId="25" xfId="0" applyFont="1" applyBorder="1"/>
    <xf numFmtId="49" fontId="23" fillId="0" borderId="0" xfId="233" applyBorder="1" applyAlignment="1">
      <alignment horizontal="left" wrapText="1"/>
    </xf>
    <xf numFmtId="49" fontId="23" fillId="0" borderId="0" xfId="233" applyBorder="1" applyAlignment="1">
      <alignment wrapText="1"/>
    </xf>
    <xf numFmtId="49" fontId="23" fillId="0" borderId="0" xfId="233" applyBorder="1">
      <alignment wrapText="1"/>
    </xf>
    <xf numFmtId="49" fontId="23" fillId="0" borderId="0" xfId="233" applyFont="1" applyBorder="1">
      <alignment wrapText="1"/>
    </xf>
    <xf numFmtId="49" fontId="23" fillId="0" borderId="18" xfId="233" applyBorder="1" applyAlignment="1">
      <alignment horizontal="left" wrapText="1"/>
    </xf>
    <xf numFmtId="0" fontId="0" fillId="0" borderId="24" xfId="0" applyBorder="1"/>
    <xf numFmtId="0" fontId="0" fillId="0" borderId="23" xfId="0" applyBorder="1"/>
    <xf numFmtId="49" fontId="23" fillId="0" borderId="23" xfId="233" applyBorder="1">
      <alignment wrapText="1"/>
    </xf>
    <xf numFmtId="49" fontId="31" fillId="0" borderId="23" xfId="234" applyBorder="1">
      <alignment horizontal="left"/>
    </xf>
    <xf numFmtId="0" fontId="0" fillId="0" borderId="23" xfId="0" applyFill="1" applyBorder="1"/>
    <xf numFmtId="49" fontId="31" fillId="0" borderId="23" xfId="234" applyFont="1" applyBorder="1">
      <alignment horizontal="left"/>
    </xf>
    <xf numFmtId="0" fontId="0" fillId="0" borderId="0" xfId="0" applyFill="1" applyBorder="1"/>
    <xf numFmtId="0" fontId="0" fillId="0" borderId="24" xfId="0" applyFill="1" applyBorder="1"/>
    <xf numFmtId="0" fontId="48" fillId="35" borderId="22" xfId="0" applyFont="1" applyFill="1" applyBorder="1" applyAlignment="1">
      <alignment horizontal="right"/>
    </xf>
    <xf numFmtId="0" fontId="48" fillId="35" borderId="26" xfId="0" applyFont="1" applyFill="1" applyBorder="1" applyAlignment="1">
      <alignment horizontal="right"/>
    </xf>
    <xf numFmtId="15" fontId="19" fillId="35" borderId="0" xfId="142" applyNumberFormat="1" applyFont="1" applyFill="1" applyBorder="1" applyProtection="1">
      <protection hidden="1"/>
    </xf>
    <xf numFmtId="176" fontId="19" fillId="35" borderId="0" xfId="142" applyFont="1" applyFill="1" applyProtection="1">
      <protection hidden="1"/>
    </xf>
    <xf numFmtId="173" fontId="19" fillId="35" borderId="0" xfId="142" applyNumberFormat="1" applyFont="1" applyFill="1" applyProtection="1">
      <protection hidden="1"/>
    </xf>
    <xf numFmtId="198" fontId="19" fillId="0" borderId="0" xfId="0" applyNumberFormat="1" applyFont="1" applyFill="1" applyBorder="1" applyAlignment="1" applyProtection="1">
      <alignment horizontal="center"/>
      <protection locked="0"/>
    </xf>
    <xf numFmtId="2" fontId="19" fillId="35" borderId="0" xfId="0" applyNumberFormat="1" applyFont="1" applyFill="1"/>
    <xf numFmtId="49" fontId="13" fillId="35" borderId="0" xfId="0" applyNumberFormat="1" applyFont="1" applyFill="1" applyBorder="1" applyAlignment="1">
      <alignment horizontal="center"/>
    </xf>
    <xf numFmtId="199" fontId="19" fillId="28" borderId="14" xfId="135" applyNumberFormat="1" applyFont="1" applyBorder="1"/>
    <xf numFmtId="199" fontId="19" fillId="0" borderId="14" xfId="0" applyNumberFormat="1" applyFont="1" applyBorder="1"/>
    <xf numFmtId="199" fontId="19" fillId="33" borderId="14" xfId="0" applyNumberFormat="1" applyFont="1" applyFill="1" applyBorder="1"/>
    <xf numFmtId="199" fontId="19" fillId="0" borderId="14" xfId="0" applyNumberFormat="1" applyFont="1" applyBorder="1" applyProtection="1">
      <protection locked="0"/>
    </xf>
    <xf numFmtId="199" fontId="19" fillId="35" borderId="0" xfId="41" applyNumberFormat="1" applyFont="1" applyFill="1"/>
    <xf numFmtId="199" fontId="19" fillId="0" borderId="0" xfId="41" applyNumberFormat="1" applyFont="1" applyFill="1" applyBorder="1"/>
    <xf numFmtId="201" fontId="19" fillId="35" borderId="0" xfId="56" applyNumberFormat="1" applyFont="1" applyFill="1"/>
    <xf numFmtId="201" fontId="13" fillId="35" borderId="0" xfId="56" applyNumberFormat="1" applyFont="1" applyFill="1"/>
    <xf numFmtId="201" fontId="13" fillId="35" borderId="8" xfId="56" applyNumberFormat="1" applyFont="1" applyFill="1" applyBorder="1"/>
    <xf numFmtId="0" fontId="0" fillId="0" borderId="0" xfId="0" applyAlignment="1">
      <alignment vertical="top" wrapText="1"/>
    </xf>
    <xf numFmtId="199" fontId="13" fillId="35" borderId="28" xfId="41" applyNumberFormat="1" applyFont="1" applyFill="1" applyBorder="1"/>
    <xf numFmtId="199" fontId="19" fillId="35" borderId="18" xfId="41" applyNumberFormat="1" applyFont="1" applyFill="1" applyBorder="1"/>
    <xf numFmtId="199" fontId="19" fillId="35" borderId="26" xfId="41" applyNumberFormat="1" applyFont="1" applyFill="1" applyBorder="1"/>
    <xf numFmtId="199" fontId="13" fillId="35" borderId="31" xfId="41" applyNumberFormat="1" applyFont="1" applyFill="1" applyBorder="1"/>
    <xf numFmtId="199" fontId="19" fillId="35" borderId="20" xfId="41" applyNumberFormat="1" applyFont="1" applyFill="1" applyBorder="1"/>
    <xf numFmtId="199" fontId="19" fillId="35" borderId="27" xfId="41" applyNumberFormat="1" applyFont="1" applyFill="1" applyBorder="1"/>
    <xf numFmtId="199" fontId="19" fillId="35" borderId="14" xfId="0" applyNumberFormat="1" applyFont="1" applyFill="1" applyBorder="1" applyAlignment="1">
      <alignment horizontal="center"/>
    </xf>
    <xf numFmtId="199" fontId="13" fillId="35" borderId="14" xfId="41" applyNumberFormat="1" applyFont="1" applyFill="1" applyBorder="1"/>
    <xf numFmtId="199" fontId="19" fillId="35" borderId="17" xfId="41" applyNumberFormat="1" applyFont="1" applyFill="1" applyBorder="1"/>
    <xf numFmtId="199" fontId="19" fillId="35" borderId="38" xfId="41" applyNumberFormat="1" applyFont="1" applyFill="1" applyBorder="1"/>
    <xf numFmtId="199" fontId="19" fillId="35" borderId="0" xfId="0" applyNumberFormat="1" applyFont="1" applyFill="1" applyBorder="1" applyAlignment="1">
      <alignment horizontal="center"/>
    </xf>
    <xf numFmtId="199" fontId="13" fillId="35" borderId="29" xfId="41" applyNumberFormat="1" applyFont="1" applyFill="1" applyBorder="1"/>
    <xf numFmtId="199" fontId="19" fillId="35" borderId="0" xfId="41" applyNumberFormat="1" applyFont="1" applyFill="1" applyBorder="1"/>
    <xf numFmtId="199" fontId="19" fillId="35" borderId="24" xfId="41" applyNumberFormat="1" applyFont="1" applyFill="1" applyBorder="1"/>
    <xf numFmtId="199" fontId="19" fillId="35" borderId="0" xfId="178" applyNumberFormat="1" applyFont="1" applyFill="1" applyBorder="1" applyAlignment="1">
      <alignment horizontal="center"/>
    </xf>
    <xf numFmtId="199" fontId="13" fillId="35" borderId="8" xfId="41" applyNumberFormat="1" applyFont="1" applyFill="1" applyBorder="1"/>
    <xf numFmtId="0" fontId="62" fillId="28" borderId="0" xfId="0" applyFont="1" applyFill="1" applyAlignment="1">
      <alignment horizontal="center"/>
    </xf>
    <xf numFmtId="0" fontId="23" fillId="0" borderId="0" xfId="143" applyFont="1"/>
    <xf numFmtId="202" fontId="23" fillId="0" borderId="0" xfId="143" applyNumberFormat="1" applyFont="1"/>
    <xf numFmtId="0" fontId="18" fillId="35" borderId="0" xfId="0" applyFont="1" applyFill="1" applyBorder="1" applyAlignment="1"/>
    <xf numFmtId="0" fontId="22" fillId="35" borderId="0" xfId="0" applyFont="1" applyFill="1" applyBorder="1" applyAlignment="1">
      <alignment vertical="top"/>
    </xf>
    <xf numFmtId="166" fontId="19" fillId="0" borderId="0" xfId="0" applyNumberFormat="1" applyFont="1" applyFill="1" applyBorder="1" applyAlignment="1">
      <alignment horizontal="left"/>
    </xf>
    <xf numFmtId="3" fontId="19" fillId="0" borderId="0" xfId="63" applyNumberFormat="1" applyFont="1" applyFill="1" applyBorder="1" applyProtection="1">
      <protection locked="0"/>
    </xf>
    <xf numFmtId="10" fontId="19" fillId="0" borderId="0" xfId="143" applyNumberFormat="1" applyFont="1" applyFill="1" applyProtection="1">
      <protection locked="0"/>
    </xf>
    <xf numFmtId="10" fontId="19" fillId="0" borderId="0" xfId="143" applyNumberFormat="1" applyFont="1" applyFill="1" applyProtection="1"/>
    <xf numFmtId="204" fontId="19" fillId="0" borderId="0" xfId="143" applyNumberFormat="1" applyFont="1" applyFill="1" applyProtection="1">
      <protection locked="0"/>
    </xf>
    <xf numFmtId="0" fontId="19" fillId="0" borderId="0" xfId="143" applyFont="1"/>
    <xf numFmtId="0" fontId="19" fillId="0" borderId="0" xfId="143" applyFont="1" applyAlignment="1">
      <alignment horizontal="right"/>
    </xf>
    <xf numFmtId="202" fontId="19" fillId="0" borderId="0" xfId="143" applyNumberFormat="1" applyFont="1"/>
    <xf numFmtId="202" fontId="19" fillId="0" borderId="0" xfId="143" applyNumberFormat="1" applyFont="1" applyAlignment="1">
      <alignment horizontal="right"/>
    </xf>
    <xf numFmtId="0" fontId="19" fillId="0" borderId="0" xfId="143" applyFont="1" applyAlignment="1">
      <alignment horizontal="left" indent="2"/>
    </xf>
    <xf numFmtId="0" fontId="19" fillId="0" borderId="0" xfId="143" applyFont="1" applyAlignment="1">
      <alignment horizontal="left" vertical="top" wrapText="1" indent="2"/>
    </xf>
    <xf numFmtId="202" fontId="19" fillId="0" borderId="0" xfId="143" applyNumberFormat="1" applyFont="1" applyFill="1" applyProtection="1">
      <protection locked="0"/>
    </xf>
    <xf numFmtId="0" fontId="19" fillId="0" borderId="0" xfId="143" applyFont="1" applyAlignment="1">
      <alignment horizontal="left"/>
    </xf>
    <xf numFmtId="192" fontId="19" fillId="0" borderId="0" xfId="143" applyNumberFormat="1" applyFont="1" applyFill="1" applyProtection="1"/>
    <xf numFmtId="10" fontId="19" fillId="0" borderId="0" xfId="143" applyNumberFormat="1" applyFont="1"/>
    <xf numFmtId="14" fontId="19" fillId="0" borderId="0" xfId="143" applyNumberFormat="1" applyFont="1" applyAlignment="1">
      <alignment horizontal="center"/>
    </xf>
    <xf numFmtId="0" fontId="24" fillId="0" borderId="0" xfId="143" applyFont="1"/>
    <xf numFmtId="0" fontId="19" fillId="0" borderId="0" xfId="143" applyFont="1" applyAlignment="1">
      <alignment horizontal="center"/>
    </xf>
    <xf numFmtId="0" fontId="13" fillId="0" borderId="22" xfId="143" applyFont="1" applyBorder="1"/>
    <xf numFmtId="0" fontId="19" fillId="0" borderId="18" xfId="143" applyFont="1" applyBorder="1"/>
    <xf numFmtId="0" fontId="19" fillId="0" borderId="18" xfId="143" applyFont="1" applyBorder="1" applyAlignment="1">
      <alignment horizontal="center"/>
    </xf>
    <xf numFmtId="0" fontId="19" fillId="0" borderId="26" xfId="143" applyFont="1" applyBorder="1" applyAlignment="1">
      <alignment horizontal="center"/>
    </xf>
    <xf numFmtId="0" fontId="19" fillId="0" borderId="23" xfId="143" applyFont="1" applyBorder="1" applyAlignment="1">
      <alignment horizontal="right"/>
    </xf>
    <xf numFmtId="0" fontId="19" fillId="0" borderId="0" xfId="143" applyFont="1" applyBorder="1"/>
    <xf numFmtId="203" fontId="19" fillId="0" borderId="0" xfId="143" applyNumberFormat="1" applyFont="1" applyBorder="1"/>
    <xf numFmtId="0" fontId="19" fillId="0" borderId="0" xfId="143" applyFont="1" applyBorder="1" applyAlignment="1">
      <alignment horizontal="left"/>
    </xf>
    <xf numFmtId="9" fontId="19" fillId="0" borderId="0" xfId="143" applyNumberFormat="1" applyFont="1" applyBorder="1"/>
    <xf numFmtId="203" fontId="19" fillId="0" borderId="24" xfId="143" applyNumberFormat="1" applyFont="1" applyBorder="1"/>
    <xf numFmtId="0" fontId="19" fillId="0" borderId="25" xfId="143" applyFont="1" applyBorder="1" applyAlignment="1">
      <alignment horizontal="right"/>
    </xf>
    <xf numFmtId="0" fontId="19" fillId="0" borderId="20" xfId="143" applyFont="1" applyBorder="1"/>
    <xf numFmtId="203" fontId="19" fillId="0" borderId="20" xfId="143" applyNumberFormat="1" applyFont="1" applyBorder="1"/>
    <xf numFmtId="0" fontId="19" fillId="0" borderId="20" xfId="143" applyFont="1" applyBorder="1" applyAlignment="1">
      <alignment horizontal="left"/>
    </xf>
    <xf numFmtId="203" fontId="19" fillId="0" borderId="0" xfId="143" applyNumberFormat="1" applyFont="1"/>
    <xf numFmtId="0" fontId="13" fillId="0" borderId="22" xfId="143" applyFont="1" applyBorder="1" applyAlignment="1">
      <alignment horizontal="left"/>
    </xf>
    <xf numFmtId="0" fontId="19" fillId="0" borderId="18" xfId="143" applyFont="1" applyBorder="1" applyAlignment="1">
      <alignment horizontal="right"/>
    </xf>
    <xf numFmtId="203" fontId="19" fillId="0" borderId="18" xfId="143" applyNumberFormat="1" applyFont="1" applyBorder="1"/>
    <xf numFmtId="0" fontId="19" fillId="0" borderId="26" xfId="143" applyFont="1" applyBorder="1"/>
    <xf numFmtId="203" fontId="19" fillId="0" borderId="0" xfId="143" applyNumberFormat="1" applyFont="1" applyAlignment="1">
      <alignment horizontal="right"/>
    </xf>
    <xf numFmtId="0" fontId="13" fillId="0" borderId="0" xfId="143" applyFont="1"/>
    <xf numFmtId="4" fontId="19" fillId="0" borderId="0" xfId="43" applyFont="1" applyProtection="1"/>
    <xf numFmtId="0" fontId="19" fillId="0" borderId="0" xfId="143" applyFont="1" applyAlignment="1" applyProtection="1">
      <alignment horizontal="right"/>
    </xf>
    <xf numFmtId="10" fontId="19" fillId="0" borderId="0" xfId="143" applyNumberFormat="1" applyFont="1" applyProtection="1"/>
    <xf numFmtId="0" fontId="19" fillId="0" borderId="20" xfId="143" applyFont="1" applyBorder="1" applyAlignment="1" applyProtection="1">
      <alignment horizontal="right"/>
    </xf>
    <xf numFmtId="2" fontId="19" fillId="0" borderId="0" xfId="143" applyNumberFormat="1" applyFont="1" applyProtection="1"/>
    <xf numFmtId="0" fontId="19" fillId="0" borderId="0" xfId="143" applyFont="1" applyBorder="1" applyAlignment="1" applyProtection="1">
      <alignment horizontal="right"/>
    </xf>
    <xf numFmtId="10" fontId="19" fillId="0" borderId="0" xfId="143" applyNumberFormat="1" applyFont="1" applyAlignment="1">
      <alignment horizontal="left"/>
    </xf>
    <xf numFmtId="0" fontId="19" fillId="0" borderId="22" xfId="143" applyFont="1" applyBorder="1"/>
    <xf numFmtId="202" fontId="19" fillId="0" borderId="18" xfId="143" applyNumberFormat="1" applyFont="1" applyBorder="1" applyAlignment="1">
      <alignment horizontal="right"/>
    </xf>
    <xf numFmtId="202" fontId="19" fillId="0" borderId="18" xfId="143" applyNumberFormat="1" applyFont="1" applyBorder="1"/>
    <xf numFmtId="0" fontId="33" fillId="0" borderId="0" xfId="143" applyFont="1" applyBorder="1" applyAlignment="1">
      <alignment horizontal="left"/>
    </xf>
    <xf numFmtId="0" fontId="19" fillId="0" borderId="0" xfId="143" applyFont="1" applyBorder="1" applyAlignment="1">
      <alignment horizontal="right"/>
    </xf>
    <xf numFmtId="0" fontId="13" fillId="0" borderId="0" xfId="143" applyFont="1" applyBorder="1" applyAlignment="1">
      <alignment horizontal="right"/>
    </xf>
    <xf numFmtId="0" fontId="19" fillId="0" borderId="0" xfId="143" applyFont="1" applyBorder="1" applyAlignment="1">
      <alignment horizontal="left" indent="2"/>
    </xf>
    <xf numFmtId="4" fontId="19" fillId="0" borderId="0" xfId="143" applyNumberFormat="1" applyFont="1" applyBorder="1" applyAlignment="1">
      <alignment horizontal="right"/>
    </xf>
    <xf numFmtId="0" fontId="19" fillId="0" borderId="20" xfId="143" applyFont="1" applyBorder="1" applyAlignment="1">
      <alignment horizontal="right"/>
    </xf>
    <xf numFmtId="0" fontId="19" fillId="0" borderId="0" xfId="143" applyFont="1" applyAlignment="1">
      <alignment horizontal="left" indent="1"/>
    </xf>
    <xf numFmtId="185" fontId="19" fillId="0" borderId="0" xfId="143" applyNumberFormat="1" applyFont="1" applyAlignment="1" applyProtection="1">
      <alignment horizontal="right"/>
    </xf>
    <xf numFmtId="4" fontId="19" fillId="0" borderId="0" xfId="63" applyNumberFormat="1" applyFont="1" applyBorder="1" applyProtection="1"/>
    <xf numFmtId="4" fontId="19" fillId="0" borderId="0" xfId="43" applyNumberFormat="1" applyFont="1" applyAlignment="1" applyProtection="1">
      <alignment horizontal="right"/>
    </xf>
    <xf numFmtId="4" fontId="19" fillId="0" borderId="8" xfId="63" applyNumberFormat="1" applyFont="1" applyBorder="1" applyProtection="1"/>
    <xf numFmtId="4" fontId="19" fillId="0" borderId="8" xfId="43" applyNumberFormat="1" applyFont="1" applyBorder="1" applyProtection="1"/>
    <xf numFmtId="4" fontId="19" fillId="0" borderId="20" xfId="143" applyNumberFormat="1" applyFont="1" applyBorder="1" applyProtection="1"/>
    <xf numFmtId="4" fontId="19" fillId="0" borderId="0" xfId="143" applyNumberFormat="1" applyFont="1" applyProtection="1"/>
    <xf numFmtId="4" fontId="19" fillId="0" borderId="0" xfId="143" applyNumberFormat="1" applyFont="1" applyAlignment="1" applyProtection="1">
      <alignment horizontal="right"/>
    </xf>
    <xf numFmtId="4" fontId="19" fillId="0" borderId="0" xfId="43" applyNumberFormat="1" applyFont="1" applyProtection="1"/>
    <xf numFmtId="4" fontId="19" fillId="0" borderId="20" xfId="43" applyNumberFormat="1" applyFont="1" applyBorder="1" applyProtection="1"/>
    <xf numFmtId="0" fontId="19" fillId="0" borderId="0" xfId="143" quotePrefix="1" applyFont="1" applyAlignment="1">
      <alignment horizontal="left" vertical="top" wrapText="1" indent="1"/>
    </xf>
    <xf numFmtId="0" fontId="19" fillId="0" borderId="0" xfId="143" quotePrefix="1" applyFont="1" applyAlignment="1">
      <alignment vertical="top" wrapText="1"/>
    </xf>
    <xf numFmtId="10" fontId="22" fillId="0" borderId="14" xfId="143" applyNumberFormat="1" applyFont="1" applyBorder="1" applyAlignment="1">
      <alignment horizontal="center"/>
    </xf>
    <xf numFmtId="0" fontId="22" fillId="0" borderId="14" xfId="143" applyFont="1" applyBorder="1"/>
    <xf numFmtId="0" fontId="22" fillId="0" borderId="14" xfId="143" applyFont="1" applyBorder="1" applyAlignment="1">
      <alignment horizontal="center" wrapText="1"/>
    </xf>
    <xf numFmtId="14" fontId="22" fillId="0" borderId="14" xfId="143" applyNumberFormat="1" applyFont="1" applyBorder="1" applyAlignment="1">
      <alignment horizontal="center" wrapText="1"/>
    </xf>
    <xf numFmtId="15" fontId="22" fillId="0" borderId="14" xfId="143" applyNumberFormat="1" applyFont="1" applyBorder="1" applyAlignment="1">
      <alignment horizontal="left"/>
    </xf>
    <xf numFmtId="10" fontId="67" fillId="0" borderId="14" xfId="143" applyNumberFormat="1" applyFont="1" applyBorder="1" applyAlignment="1">
      <alignment horizontal="center"/>
    </xf>
    <xf numFmtId="175" fontId="22" fillId="0" borderId="31" xfId="143" applyNumberFormat="1" applyFont="1" applyBorder="1" applyAlignment="1">
      <alignment horizontal="left"/>
    </xf>
    <xf numFmtId="10" fontId="22" fillId="0" borderId="31" xfId="143" applyNumberFormat="1" applyFont="1" applyBorder="1" applyAlignment="1">
      <alignment horizontal="center"/>
    </xf>
    <xf numFmtId="10" fontId="67" fillId="0" borderId="31" xfId="143" applyNumberFormat="1" applyFont="1" applyBorder="1" applyAlignment="1">
      <alignment horizontal="center"/>
    </xf>
    <xf numFmtId="0" fontId="69" fillId="0" borderId="0" xfId="0" applyFont="1" applyAlignment="1"/>
    <xf numFmtId="0" fontId="19" fillId="0" borderId="0" xfId="0" applyFont="1" applyFill="1" applyBorder="1" applyAlignment="1">
      <alignment vertical="top"/>
    </xf>
    <xf numFmtId="0" fontId="92" fillId="0" borderId="0" xfId="0" applyFont="1" applyAlignment="1"/>
    <xf numFmtId="0" fontId="93" fillId="0" borderId="0" xfId="0" applyFont="1"/>
    <xf numFmtId="0" fontId="0" fillId="0" borderId="0" xfId="0" applyAlignment="1">
      <alignment horizontal="center"/>
    </xf>
    <xf numFmtId="0" fontId="13" fillId="0" borderId="0" xfId="0" applyFont="1"/>
    <xf numFmtId="0" fontId="0" fillId="0" borderId="0" xfId="0" applyNumberFormat="1" applyFill="1" applyAlignment="1">
      <alignment vertical="center"/>
    </xf>
    <xf numFmtId="0" fontId="12" fillId="0" borderId="0" xfId="0" applyNumberFormat="1" applyFont="1" applyFill="1" applyAlignment="1">
      <alignment vertical="center"/>
    </xf>
    <xf numFmtId="0" fontId="22" fillId="0" borderId="0" xfId="0" applyNumberFormat="1" applyFont="1" applyFill="1" applyBorder="1" applyAlignment="1">
      <alignment vertical="center"/>
    </xf>
    <xf numFmtId="0" fontId="19" fillId="0" borderId="0" xfId="0" applyNumberFormat="1" applyFont="1" applyFill="1" applyAlignment="1">
      <alignment vertical="center"/>
    </xf>
    <xf numFmtId="0" fontId="13" fillId="0" borderId="0" xfId="0" applyNumberFormat="1" applyFont="1" applyFill="1" applyBorder="1" applyAlignment="1">
      <alignment vertical="center"/>
    </xf>
    <xf numFmtId="0" fontId="18" fillId="0" borderId="0" xfId="0" applyNumberFormat="1" applyFont="1" applyFill="1" applyBorder="1" applyAlignment="1">
      <alignment vertical="center"/>
    </xf>
    <xf numFmtId="0" fontId="18" fillId="0" borderId="0" xfId="0" applyNumberFormat="1" applyFont="1" applyFill="1" applyAlignment="1">
      <alignment vertical="center"/>
    </xf>
    <xf numFmtId="0" fontId="13" fillId="0" borderId="0" xfId="0" applyNumberFormat="1" applyFont="1" applyFill="1" applyAlignment="1">
      <alignment vertical="center"/>
    </xf>
    <xf numFmtId="0" fontId="14" fillId="0" borderId="24" xfId="0" applyNumberFormat="1" applyFont="1" applyFill="1" applyBorder="1" applyAlignment="1">
      <alignment vertical="center"/>
    </xf>
    <xf numFmtId="0" fontId="14" fillId="0" borderId="0" xfId="0" applyNumberFormat="1" applyFont="1" applyFill="1" applyBorder="1" applyAlignment="1">
      <alignment vertical="center"/>
    </xf>
    <xf numFmtId="0" fontId="13" fillId="0" borderId="23" xfId="0" applyNumberFormat="1" applyFont="1" applyFill="1" applyBorder="1" applyAlignment="1">
      <alignment vertical="center"/>
    </xf>
    <xf numFmtId="0" fontId="0" fillId="0" borderId="29" xfId="0" applyNumberFormat="1" applyFill="1" applyBorder="1" applyAlignment="1">
      <alignment vertical="center"/>
    </xf>
    <xf numFmtId="0" fontId="0" fillId="0" borderId="0" xfId="0" applyNumberFormat="1" applyFill="1" applyBorder="1" applyAlignment="1">
      <alignment vertical="center"/>
    </xf>
    <xf numFmtId="0" fontId="0" fillId="0" borderId="31" xfId="0" applyNumberFormat="1" applyFill="1" applyBorder="1" applyAlignment="1">
      <alignment vertical="center"/>
    </xf>
    <xf numFmtId="0" fontId="13" fillId="0" borderId="41" xfId="0" applyNumberFormat="1" applyFont="1" applyFill="1" applyBorder="1" applyAlignment="1">
      <alignment vertical="center"/>
    </xf>
    <xf numFmtId="199" fontId="0" fillId="0" borderId="83" xfId="0" applyNumberFormat="1" applyFill="1" applyBorder="1" applyAlignment="1">
      <alignment vertical="center"/>
    </xf>
    <xf numFmtId="199" fontId="49" fillId="0" borderId="83" xfId="0" applyNumberFormat="1" applyFont="1" applyFill="1" applyBorder="1" applyAlignment="1">
      <alignment vertical="center"/>
    </xf>
    <xf numFmtId="199" fontId="0" fillId="0" borderId="23" xfId="0" applyNumberFormat="1" applyFill="1" applyBorder="1" applyAlignment="1">
      <alignment vertical="center"/>
    </xf>
    <xf numFmtId="199" fontId="0" fillId="0" borderId="24" xfId="0" applyNumberFormat="1" applyFill="1" applyBorder="1" applyAlignment="1">
      <alignment vertical="center"/>
    </xf>
    <xf numFmtId="199" fontId="0" fillId="0" borderId="0" xfId="0" applyNumberFormat="1" applyFill="1" applyBorder="1" applyAlignment="1">
      <alignment vertical="center"/>
    </xf>
    <xf numFmtId="199" fontId="0" fillId="0" borderId="20" xfId="0" applyNumberFormat="1" applyFill="1" applyBorder="1" applyAlignment="1">
      <alignment vertical="center"/>
    </xf>
    <xf numFmtId="199" fontId="0" fillId="0" borderId="25" xfId="0" applyNumberFormat="1" applyFill="1" applyBorder="1" applyAlignment="1">
      <alignment vertical="center"/>
    </xf>
    <xf numFmtId="199" fontId="0" fillId="0" borderId="27" xfId="0" applyNumberFormat="1" applyFill="1" applyBorder="1" applyAlignment="1">
      <alignment vertical="center"/>
    </xf>
    <xf numFmtId="199" fontId="13" fillId="0" borderId="8" xfId="0" applyNumberFormat="1" applyFont="1" applyFill="1" applyBorder="1" applyAlignment="1">
      <alignment vertical="center"/>
    </xf>
    <xf numFmtId="199" fontId="13" fillId="0" borderId="49" xfId="0" applyNumberFormat="1" applyFont="1" applyFill="1" applyBorder="1" applyAlignment="1">
      <alignment vertical="center"/>
    </xf>
    <xf numFmtId="199" fontId="13" fillId="0" borderId="41" xfId="0" applyNumberFormat="1" applyFont="1" applyFill="1" applyBorder="1" applyAlignment="1">
      <alignment vertical="center"/>
    </xf>
    <xf numFmtId="175" fontId="13" fillId="0" borderId="0" xfId="0" applyNumberFormat="1" applyFont="1" applyFill="1" applyAlignment="1" applyProtection="1">
      <alignment vertical="center"/>
      <protection locked="0"/>
    </xf>
    <xf numFmtId="0" fontId="13" fillId="0" borderId="0" xfId="0" applyNumberFormat="1" applyFont="1" applyFill="1" applyBorder="1" applyAlignment="1">
      <alignment horizontal="right" vertical="center"/>
    </xf>
    <xf numFmtId="0" fontId="13" fillId="0" borderId="0" xfId="0" applyNumberFormat="1" applyFont="1" applyFill="1" applyBorder="1" applyAlignment="1">
      <alignment horizontal="center" vertical="center"/>
    </xf>
    <xf numFmtId="0" fontId="13" fillId="0" borderId="0" xfId="0" applyNumberFormat="1" applyFont="1" applyFill="1" applyAlignment="1">
      <alignment horizontal="right" vertical="center"/>
    </xf>
    <xf numFmtId="199" fontId="0" fillId="36" borderId="83" xfId="0" applyNumberFormat="1" applyFill="1" applyBorder="1" applyAlignment="1">
      <alignment vertical="center"/>
    </xf>
    <xf numFmtId="0" fontId="13" fillId="0" borderId="88" xfId="0" applyNumberFormat="1" applyFont="1" applyFill="1" applyBorder="1" applyAlignment="1">
      <alignment horizontal="center" vertical="center" wrapText="1"/>
    </xf>
    <xf numFmtId="0" fontId="13" fillId="0" borderId="88" xfId="0" applyNumberFormat="1" applyFont="1" applyFill="1" applyBorder="1" applyAlignment="1">
      <alignment horizontal="center" vertical="center"/>
    </xf>
    <xf numFmtId="0" fontId="13" fillId="0" borderId="89" xfId="0" applyNumberFormat="1" applyFont="1" applyFill="1" applyBorder="1" applyAlignment="1">
      <alignment horizontal="center" vertical="center"/>
    </xf>
    <xf numFmtId="0" fontId="13" fillId="0" borderId="90" xfId="0" applyNumberFormat="1" applyFont="1" applyFill="1" applyBorder="1" applyAlignment="1">
      <alignment horizontal="center" vertical="center"/>
    </xf>
    <xf numFmtId="0" fontId="13" fillId="0" borderId="20" xfId="0" applyNumberFormat="1" applyFont="1" applyFill="1" applyBorder="1" applyAlignment="1">
      <alignment horizontal="center" vertical="center" wrapText="1"/>
    </xf>
    <xf numFmtId="0" fontId="13" fillId="0" borderId="20" xfId="0" applyNumberFormat="1" applyFont="1" applyFill="1" applyBorder="1" applyAlignment="1">
      <alignment horizontal="center" vertical="center"/>
    </xf>
    <xf numFmtId="0" fontId="13" fillId="0" borderId="25" xfId="0" applyNumberFormat="1" applyFont="1" applyFill="1" applyBorder="1" applyAlignment="1">
      <alignment horizontal="center" vertical="center" wrapText="1"/>
    </xf>
    <xf numFmtId="0" fontId="13" fillId="0" borderId="27" xfId="0" applyNumberFormat="1" applyFont="1" applyFill="1" applyBorder="1" applyAlignment="1">
      <alignment horizontal="center" vertical="center" wrapText="1"/>
    </xf>
    <xf numFmtId="0" fontId="19" fillId="0" borderId="0" xfId="56" applyNumberFormat="1" applyFont="1" applyFill="1" applyAlignment="1">
      <alignment vertical="center"/>
    </xf>
    <xf numFmtId="0" fontId="19" fillId="0" borderId="0" xfId="178" applyNumberFormat="1" applyFont="1" applyFill="1" applyAlignment="1">
      <alignment vertical="center"/>
    </xf>
    <xf numFmtId="175" fontId="13" fillId="0" borderId="0" xfId="0" applyNumberFormat="1" applyFont="1" applyFill="1" applyAlignment="1">
      <alignment vertical="center"/>
    </xf>
    <xf numFmtId="0" fontId="18" fillId="0" borderId="0" xfId="0" applyNumberFormat="1" applyFont="1" applyFill="1" applyAlignment="1">
      <alignment horizontal="left"/>
    </xf>
    <xf numFmtId="0" fontId="19" fillId="0" borderId="0" xfId="56" applyNumberFormat="1" applyFont="1" applyFill="1"/>
    <xf numFmtId="0" fontId="19" fillId="0" borderId="0" xfId="178" applyNumberFormat="1" applyFont="1" applyFill="1" applyAlignment="1">
      <alignment horizontal="center"/>
    </xf>
    <xf numFmtId="0" fontId="13" fillId="0" borderId="0" xfId="0" applyNumberFormat="1" applyFont="1" applyFill="1" applyAlignment="1">
      <alignment horizontal="left"/>
    </xf>
    <xf numFmtId="0" fontId="13" fillId="0" borderId="0" xfId="0" applyNumberFormat="1" applyFont="1" applyFill="1" applyAlignment="1">
      <alignment horizontal="right" vertical="top"/>
    </xf>
    <xf numFmtId="175" fontId="13" fillId="0" borderId="0" xfId="0" applyNumberFormat="1" applyFont="1" applyFill="1" applyAlignment="1">
      <alignment horizontal="right" vertical="top"/>
    </xf>
    <xf numFmtId="0" fontId="19" fillId="0" borderId="0" xfId="0" applyNumberFormat="1" applyFont="1" applyFill="1"/>
    <xf numFmtId="0" fontId="0" fillId="0" borderId="20" xfId="0" applyBorder="1"/>
    <xf numFmtId="166" fontId="13" fillId="35" borderId="0" xfId="56" applyNumberFormat="1" applyFont="1" applyFill="1"/>
    <xf numFmtId="0" fontId="18" fillId="0" borderId="0" xfId="56" applyNumberFormat="1" applyFont="1" applyFill="1" applyBorder="1" applyAlignment="1">
      <alignment vertical="center"/>
    </xf>
    <xf numFmtId="0" fontId="25" fillId="0" borderId="0" xfId="0" applyNumberFormat="1" applyFont="1" applyFill="1" applyAlignment="1">
      <alignment vertical="center"/>
    </xf>
    <xf numFmtId="0" fontId="25" fillId="0" borderId="0" xfId="56" applyNumberFormat="1" applyFont="1" applyFill="1" applyAlignment="1">
      <alignment vertical="center"/>
    </xf>
    <xf numFmtId="0" fontId="19" fillId="0" borderId="0" xfId="0" applyNumberFormat="1" applyFont="1" applyFill="1" applyBorder="1" applyAlignment="1">
      <alignment vertical="center"/>
    </xf>
    <xf numFmtId="0" fontId="19" fillId="0" borderId="0" xfId="56" applyNumberFormat="1" applyFont="1" applyFill="1" applyBorder="1" applyAlignment="1">
      <alignment vertical="center"/>
    </xf>
    <xf numFmtId="0" fontId="13" fillId="0" borderId="22" xfId="0" applyNumberFormat="1" applyFont="1" applyFill="1" applyBorder="1" applyAlignment="1">
      <alignment vertical="center"/>
    </xf>
    <xf numFmtId="0" fontId="19" fillId="0" borderId="18" xfId="0" applyNumberFormat="1" applyFont="1" applyFill="1" applyBorder="1" applyAlignment="1">
      <alignment vertical="center"/>
    </xf>
    <xf numFmtId="0" fontId="19" fillId="0" borderId="18" xfId="56" applyNumberFormat="1" applyFont="1" applyFill="1" applyBorder="1" applyAlignment="1">
      <alignment vertical="center"/>
    </xf>
    <xf numFmtId="0" fontId="19" fillId="0" borderId="26" xfId="56" applyNumberFormat="1" applyFont="1" applyFill="1" applyBorder="1" applyAlignment="1">
      <alignment vertical="center"/>
    </xf>
    <xf numFmtId="0" fontId="19" fillId="0" borderId="23" xfId="0" applyNumberFormat="1" applyFont="1" applyFill="1" applyBorder="1" applyAlignment="1">
      <alignment vertical="center"/>
    </xf>
    <xf numFmtId="0" fontId="19" fillId="0" borderId="24" xfId="56" applyNumberFormat="1" applyFont="1" applyFill="1" applyBorder="1" applyAlignment="1">
      <alignment vertical="center"/>
    </xf>
    <xf numFmtId="0" fontId="19" fillId="0" borderId="25" xfId="0" applyNumberFormat="1" applyFont="1" applyFill="1" applyBorder="1" applyAlignment="1">
      <alignment vertical="center"/>
    </xf>
    <xf numFmtId="0" fontId="19" fillId="0" borderId="20" xfId="0" applyNumberFormat="1" applyFont="1" applyFill="1" applyBorder="1" applyAlignment="1">
      <alignment vertical="center"/>
    </xf>
    <xf numFmtId="0" fontId="19" fillId="0" borderId="20" xfId="56" applyNumberFormat="1" applyFont="1" applyFill="1" applyBorder="1" applyAlignment="1">
      <alignment vertical="center"/>
    </xf>
    <xf numFmtId="0" fontId="19" fillId="0" borderId="27" xfId="56" applyNumberFormat="1" applyFont="1" applyFill="1" applyBorder="1" applyAlignment="1">
      <alignment vertical="center"/>
    </xf>
    <xf numFmtId="199" fontId="19" fillId="0" borderId="24" xfId="56" applyNumberFormat="1" applyFont="1" applyFill="1" applyBorder="1" applyAlignment="1">
      <alignment vertical="center"/>
    </xf>
    <xf numFmtId="199" fontId="13" fillId="0" borderId="41" xfId="56" applyNumberFormat="1" applyFont="1" applyFill="1" applyBorder="1" applyAlignment="1">
      <alignment vertical="center"/>
    </xf>
    <xf numFmtId="199" fontId="19" fillId="0" borderId="0" xfId="0" applyNumberFormat="1" applyFont="1" applyFill="1" applyAlignment="1">
      <alignment vertical="center"/>
    </xf>
    <xf numFmtId="199" fontId="19" fillId="0" borderId="0" xfId="56" applyNumberFormat="1" applyFont="1" applyFill="1" applyAlignment="1">
      <alignment vertical="center"/>
    </xf>
    <xf numFmtId="199" fontId="25" fillId="0" borderId="0" xfId="0" applyNumberFormat="1" applyFont="1" applyFill="1" applyAlignment="1">
      <alignment vertical="center"/>
    </xf>
    <xf numFmtId="199" fontId="25" fillId="0" borderId="0" xfId="56" applyNumberFormat="1" applyFont="1" applyFill="1" applyAlignment="1">
      <alignment vertical="center"/>
    </xf>
    <xf numFmtId="199" fontId="19" fillId="0" borderId="0" xfId="0" applyNumberFormat="1" applyFont="1" applyFill="1" applyBorder="1" applyAlignment="1">
      <alignment vertical="center"/>
    </xf>
    <xf numFmtId="199" fontId="13" fillId="0" borderId="8" xfId="56" applyNumberFormat="1" applyFont="1" applyFill="1" applyBorder="1" applyAlignment="1">
      <alignment vertical="center"/>
    </xf>
    <xf numFmtId="0" fontId="19" fillId="0" borderId="0" xfId="0" applyNumberFormat="1" applyFont="1" applyFill="1" applyAlignment="1">
      <alignment horizontal="center" vertical="center"/>
    </xf>
    <xf numFmtId="0" fontId="19" fillId="0" borderId="0" xfId="56" applyNumberFormat="1" applyFont="1" applyFill="1" applyAlignment="1">
      <alignment horizontal="center" vertical="center"/>
    </xf>
    <xf numFmtId="175" fontId="19" fillId="0" borderId="0" xfId="0" applyNumberFormat="1" applyFont="1" applyFill="1" applyAlignment="1">
      <alignment vertical="center"/>
    </xf>
    <xf numFmtId="175" fontId="19" fillId="0" borderId="0" xfId="0" applyNumberFormat="1" applyFont="1" applyFill="1" applyBorder="1" applyAlignment="1">
      <alignment vertical="center"/>
    </xf>
    <xf numFmtId="0" fontId="14" fillId="35" borderId="0" xfId="148" applyFont="1" applyFill="1"/>
    <xf numFmtId="0" fontId="51" fillId="35" borderId="42" xfId="0" applyFont="1" applyFill="1" applyBorder="1" applyAlignment="1" applyProtection="1">
      <alignment vertical="top"/>
      <protection hidden="1"/>
    </xf>
    <xf numFmtId="0" fontId="0" fillId="35" borderId="0" xfId="0" applyFill="1" applyBorder="1" applyAlignment="1" applyProtection="1">
      <alignment vertical="top"/>
      <protection hidden="1"/>
    </xf>
    <xf numFmtId="164" fontId="52" fillId="36" borderId="92" xfId="0" applyNumberFormat="1" applyFont="1" applyFill="1" applyBorder="1" applyAlignment="1" applyProtection="1">
      <alignment wrapText="1"/>
      <protection locked="0"/>
    </xf>
    <xf numFmtId="188" fontId="51" fillId="36" borderId="74" xfId="41" applyNumberFormat="1" applyFont="1" applyFill="1" applyBorder="1" applyAlignment="1" applyProtection="1">
      <protection locked="0" hidden="1"/>
    </xf>
    <xf numFmtId="166" fontId="51" fillId="35" borderId="93" xfId="41" applyNumberFormat="1" applyFont="1" applyFill="1" applyBorder="1" applyProtection="1">
      <protection locked="0" hidden="1"/>
    </xf>
    <xf numFmtId="166" fontId="51" fillId="35" borderId="14" xfId="41" applyNumberFormat="1" applyFont="1" applyFill="1" applyBorder="1" applyProtection="1">
      <protection hidden="1"/>
    </xf>
    <xf numFmtId="166" fontId="51" fillId="35" borderId="94" xfId="41" applyNumberFormat="1" applyFont="1" applyFill="1" applyBorder="1" applyProtection="1">
      <protection locked="0" hidden="1"/>
    </xf>
    <xf numFmtId="166" fontId="51" fillId="35" borderId="94" xfId="41" applyNumberFormat="1" applyFont="1" applyFill="1" applyBorder="1" applyProtection="1">
      <protection hidden="1"/>
    </xf>
    <xf numFmtId="188" fontId="51" fillId="35" borderId="56" xfId="0" applyNumberFormat="1" applyFont="1" applyFill="1" applyBorder="1" applyAlignment="1" applyProtection="1">
      <protection locked="0" hidden="1"/>
    </xf>
    <xf numFmtId="0" fontId="0" fillId="35" borderId="47" xfId="0" applyFill="1" applyBorder="1" applyAlignment="1">
      <alignment vertical="top"/>
    </xf>
    <xf numFmtId="164" fontId="52" fillId="35" borderId="91" xfId="0" applyNumberFormat="1" applyFont="1" applyFill="1" applyBorder="1" applyAlignment="1" applyProtection="1">
      <alignment wrapText="1"/>
      <protection locked="0"/>
    </xf>
    <xf numFmtId="164" fontId="0" fillId="35" borderId="24" xfId="0" applyNumberFormat="1" applyFill="1" applyBorder="1"/>
    <xf numFmtId="164" fontId="0" fillId="35" borderId="29" xfId="0" applyNumberFormat="1" applyFill="1" applyBorder="1"/>
    <xf numFmtId="166" fontId="51" fillId="35" borderId="14" xfId="41" applyNumberFormat="1" applyFont="1" applyFill="1" applyBorder="1" applyAlignment="1" applyProtection="1"/>
    <xf numFmtId="188" fontId="51" fillId="35" borderId="56" xfId="0" applyNumberFormat="1" applyFont="1" applyFill="1" applyBorder="1" applyProtection="1">
      <protection locked="0"/>
    </xf>
    <xf numFmtId="38" fontId="19" fillId="0" borderId="0" xfId="63" applyNumberFormat="1" applyFont="1" applyFill="1" applyBorder="1" applyProtection="1">
      <protection locked="0"/>
    </xf>
    <xf numFmtId="167" fontId="19" fillId="0" borderId="0" xfId="63" applyNumberFormat="1" applyFont="1" applyFill="1" applyBorder="1" applyProtection="1">
      <protection locked="0"/>
    </xf>
    <xf numFmtId="3" fontId="19" fillId="38" borderId="0" xfId="63" applyNumberFormat="1" applyFont="1" applyFill="1" applyBorder="1" applyProtection="1">
      <protection locked="0"/>
    </xf>
    <xf numFmtId="40" fontId="19" fillId="0" borderId="24" xfId="63" applyNumberFormat="1" applyFont="1" applyFill="1" applyBorder="1" applyProtection="1">
      <protection locked="0"/>
    </xf>
    <xf numFmtId="40" fontId="19" fillId="0" borderId="27" xfId="63" applyNumberFormat="1" applyFont="1" applyFill="1" applyBorder="1" applyAlignment="1" applyProtection="1">
      <alignment horizontal="right"/>
      <protection locked="0"/>
    </xf>
    <xf numFmtId="167" fontId="19" fillId="0" borderId="24" xfId="63" applyNumberFormat="1" applyFont="1" applyFill="1" applyBorder="1" applyProtection="1">
      <protection locked="0"/>
    </xf>
    <xf numFmtId="199" fontId="13" fillId="35" borderId="14" xfId="0" applyNumberFormat="1" applyFont="1" applyFill="1" applyBorder="1" applyAlignment="1"/>
    <xf numFmtId="0" fontId="49" fillId="35" borderId="0" xfId="0" applyFont="1" applyFill="1" applyAlignment="1">
      <alignment horizontal="left"/>
    </xf>
    <xf numFmtId="199" fontId="49" fillId="35" borderId="0" xfId="0" applyNumberFormat="1" applyFont="1" applyFill="1" applyAlignment="1">
      <alignment horizontal="right"/>
    </xf>
    <xf numFmtId="199" fontId="49" fillId="35" borderId="0" xfId="0" applyNumberFormat="1" applyFont="1" applyFill="1" applyBorder="1" applyAlignment="1">
      <alignment horizontal="right"/>
    </xf>
    <xf numFmtId="10" fontId="49" fillId="35" borderId="0" xfId="178" applyNumberFormat="1" applyFont="1" applyFill="1" applyBorder="1" applyAlignment="1">
      <alignment horizontal="right"/>
    </xf>
    <xf numFmtId="218" fontId="49" fillId="35" borderId="0" xfId="178" applyNumberFormat="1" applyFont="1" applyFill="1" applyBorder="1" applyAlignment="1">
      <alignment horizontal="right"/>
    </xf>
    <xf numFmtId="218" fontId="13" fillId="35" borderId="14" xfId="178" applyNumberFormat="1" applyFont="1" applyFill="1" applyBorder="1" applyAlignment="1"/>
    <xf numFmtId="0" fontId="13" fillId="35" borderId="0" xfId="0" applyFont="1" applyFill="1" applyAlignment="1">
      <alignment horizontal="center" vertical="center"/>
    </xf>
    <xf numFmtId="0" fontId="19" fillId="35" borderId="0" xfId="0" applyFont="1" applyFill="1" applyAlignment="1">
      <alignment horizontal="center" vertical="center"/>
    </xf>
    <xf numFmtId="0" fontId="19" fillId="35" borderId="0" xfId="0" applyNumberFormat="1" applyFont="1" applyFill="1" applyAlignment="1"/>
    <xf numFmtId="165" fontId="24" fillId="35" borderId="0" xfId="56" applyFont="1" applyFill="1"/>
    <xf numFmtId="0" fontId="24" fillId="35" borderId="0" xfId="0" applyFont="1" applyFill="1" applyAlignment="1">
      <alignment horizontal="center"/>
    </xf>
    <xf numFmtId="0" fontId="19" fillId="25" borderId="14" xfId="108" applyFont="1" applyBorder="1" applyAlignment="1">
      <alignment horizontal="center" vertical="top" wrapText="1"/>
    </xf>
    <xf numFmtId="178" fontId="19" fillId="35" borderId="0" xfId="148" applyNumberFormat="1" applyFont="1" applyFill="1"/>
    <xf numFmtId="178" fontId="13" fillId="35" borderId="0" xfId="41" applyNumberFormat="1" applyFont="1" applyFill="1" applyAlignment="1">
      <alignment horizontal="right"/>
    </xf>
    <xf numFmtId="178" fontId="19" fillId="35" borderId="20" xfId="148" applyNumberFormat="1" applyFont="1" applyFill="1" applyBorder="1"/>
    <xf numFmtId="178" fontId="19" fillId="35" borderId="18" xfId="148" applyNumberFormat="1" applyFont="1" applyFill="1" applyBorder="1"/>
    <xf numFmtId="178" fontId="13" fillId="35" borderId="8" xfId="56" applyNumberFormat="1" applyFont="1" applyFill="1" applyBorder="1"/>
    <xf numFmtId="166" fontId="19" fillId="35" borderId="0" xfId="148" applyNumberFormat="1" applyFont="1" applyFill="1" applyBorder="1"/>
    <xf numFmtId="0" fontId="94" fillId="35" borderId="0" xfId="146" applyFont="1" applyFill="1" applyBorder="1" applyAlignment="1"/>
    <xf numFmtId="0" fontId="19" fillId="35" borderId="0" xfId="0" applyFont="1" applyFill="1" applyBorder="1" applyAlignment="1">
      <alignment horizontal="center" vertical="center" textRotation="90" shrinkToFit="1"/>
    </xf>
    <xf numFmtId="0" fontId="13" fillId="35" borderId="14" xfId="0" applyFont="1" applyFill="1" applyBorder="1" applyAlignment="1">
      <alignment horizontal="center" vertical="center" wrapText="1"/>
    </xf>
    <xf numFmtId="0" fontId="13" fillId="35" borderId="28" xfId="0" applyFont="1" applyFill="1" applyBorder="1" applyAlignment="1">
      <alignment horizontal="center" vertical="center" wrapText="1"/>
    </xf>
    <xf numFmtId="0" fontId="19" fillId="35" borderId="0" xfId="0" applyFont="1" applyFill="1" applyAlignment="1">
      <alignment horizontal="left" vertical="top"/>
    </xf>
    <xf numFmtId="178" fontId="45" fillId="35" borderId="24" xfId="0" applyNumberFormat="1" applyFont="1" applyFill="1" applyBorder="1"/>
    <xf numFmtId="180" fontId="13" fillId="35" borderId="0" xfId="56" applyNumberFormat="1" applyFont="1" applyFill="1" applyBorder="1" applyAlignment="1">
      <alignment horizontal="center"/>
    </xf>
    <xf numFmtId="180" fontId="13" fillId="35" borderId="0" xfId="0" applyNumberFormat="1" applyFont="1" applyFill="1" applyBorder="1" applyAlignment="1">
      <alignment horizontal="center"/>
    </xf>
    <xf numFmtId="180" fontId="13" fillId="35" borderId="0" xfId="0" applyNumberFormat="1" applyFont="1" applyFill="1" applyBorder="1"/>
    <xf numFmtId="186" fontId="13" fillId="35" borderId="14" xfId="41" applyNumberFormat="1" applyFont="1" applyFill="1" applyBorder="1"/>
    <xf numFmtId="186" fontId="13" fillId="35" borderId="14" xfId="41" applyNumberFormat="1" applyFont="1" applyFill="1" applyBorder="1" applyAlignment="1"/>
    <xf numFmtId="0" fontId="13" fillId="0" borderId="0" xfId="56" applyNumberFormat="1" applyFont="1" applyFill="1" applyAlignment="1">
      <alignment vertical="center"/>
    </xf>
    <xf numFmtId="0" fontId="13" fillId="0" borderId="0" xfId="178" applyNumberFormat="1" applyFont="1" applyFill="1" applyAlignment="1">
      <alignment vertical="center"/>
    </xf>
    <xf numFmtId="0" fontId="13" fillId="0" borderId="0" xfId="0" applyNumberFormat="1" applyFont="1" applyFill="1" applyAlignment="1">
      <alignment horizontal="center" vertical="center"/>
    </xf>
    <xf numFmtId="0" fontId="13" fillId="0" borderId="0" xfId="0" applyNumberFormat="1" applyFont="1" applyFill="1" applyAlignment="1">
      <alignment horizontal="center" vertical="center" wrapText="1"/>
    </xf>
    <xf numFmtId="0" fontId="13" fillId="0" borderId="18" xfId="56" applyNumberFormat="1" applyFont="1" applyFill="1" applyBorder="1" applyAlignment="1">
      <alignment horizontal="center" vertical="center" wrapText="1"/>
    </xf>
    <xf numFmtId="0" fontId="13" fillId="0" borderId="20" xfId="56" applyNumberFormat="1" applyFont="1" applyFill="1" applyBorder="1" applyAlignment="1">
      <alignment horizontal="center" vertical="center" wrapText="1"/>
    </xf>
    <xf numFmtId="0" fontId="13" fillId="0" borderId="0" xfId="0" applyNumberFormat="1" applyFont="1" applyFill="1" applyBorder="1" applyAlignment="1">
      <alignment horizontal="center" vertical="center" wrapText="1"/>
    </xf>
    <xf numFmtId="0" fontId="13" fillId="0" borderId="0" xfId="56" applyNumberFormat="1" applyFont="1" applyFill="1" applyBorder="1" applyAlignment="1">
      <alignment horizontal="center" vertical="center" wrapText="1"/>
    </xf>
    <xf numFmtId="166" fontId="19" fillId="0" borderId="0" xfId="41" applyFont="1" applyFill="1" applyAlignment="1">
      <alignment vertical="center"/>
    </xf>
    <xf numFmtId="186" fontId="19" fillId="0" borderId="0" xfId="41" applyNumberFormat="1" applyFont="1" applyFill="1" applyAlignment="1">
      <alignment vertical="center"/>
    </xf>
    <xf numFmtId="217" fontId="13" fillId="0" borderId="0" xfId="56" applyNumberFormat="1" applyFont="1" applyFill="1" applyBorder="1" applyAlignment="1">
      <alignment vertical="center"/>
    </xf>
    <xf numFmtId="186" fontId="13" fillId="0" borderId="8" xfId="41" applyNumberFormat="1" applyFont="1" applyFill="1" applyBorder="1" applyAlignment="1">
      <alignment vertical="center"/>
    </xf>
    <xf numFmtId="10" fontId="13" fillId="0" borderId="8" xfId="178" applyNumberFormat="1" applyFont="1" applyFill="1" applyBorder="1" applyAlignment="1">
      <alignment vertical="center"/>
    </xf>
    <xf numFmtId="0" fontId="23" fillId="0" borderId="0" xfId="0" applyNumberFormat="1" applyFont="1" applyFill="1" applyAlignment="1">
      <alignment vertical="center"/>
    </xf>
    <xf numFmtId="166" fontId="13" fillId="0" borderId="0" xfId="41" applyFont="1" applyFill="1" applyBorder="1" applyAlignment="1">
      <alignment horizontal="center" vertical="center" wrapText="1"/>
    </xf>
    <xf numFmtId="166" fontId="13" fillId="35" borderId="0" xfId="41" applyFont="1" applyFill="1" applyBorder="1" applyAlignment="1">
      <alignment horizontal="center" vertical="center" wrapText="1"/>
    </xf>
    <xf numFmtId="0" fontId="27" fillId="0" borderId="0" xfId="131" applyNumberFormat="1" applyFill="1" applyAlignment="1" applyProtection="1">
      <alignment vertical="center"/>
    </xf>
    <xf numFmtId="186" fontId="19" fillId="0" borderId="0" xfId="56" applyNumberFormat="1" applyFont="1" applyFill="1" applyAlignment="1">
      <alignment vertical="center"/>
    </xf>
    <xf numFmtId="0" fontId="13" fillId="0" borderId="0" xfId="56" applyNumberFormat="1" applyFont="1" applyFill="1" applyAlignment="1">
      <alignment horizontal="left" vertical="center"/>
    </xf>
    <xf numFmtId="201" fontId="13" fillId="0" borderId="17" xfId="56" applyNumberFormat="1" applyFont="1" applyFill="1" applyBorder="1" applyAlignment="1">
      <alignment vertical="center"/>
    </xf>
    <xf numFmtId="201" fontId="19" fillId="0" borderId="0" xfId="56" applyNumberFormat="1" applyFont="1" applyFill="1" applyBorder="1" applyAlignment="1">
      <alignment vertical="center"/>
    </xf>
    <xf numFmtId="201" fontId="13" fillId="0" borderId="8" xfId="56" applyNumberFormat="1" applyFont="1" applyFill="1" applyBorder="1" applyAlignment="1">
      <alignment vertical="center"/>
    </xf>
    <xf numFmtId="0" fontId="97" fillId="35" borderId="0" xfId="0" applyFont="1" applyFill="1"/>
    <xf numFmtId="0" fontId="0" fillId="0" borderId="0" xfId="0" applyAlignment="1">
      <alignment horizontal="left" indent="3"/>
    </xf>
    <xf numFmtId="9" fontId="19" fillId="0" borderId="0" xfId="56" applyNumberFormat="1" applyFont="1" applyFill="1" applyAlignment="1">
      <alignment vertical="center"/>
    </xf>
    <xf numFmtId="0" fontId="19" fillId="0" borderId="0" xfId="0" applyFont="1" applyFill="1"/>
    <xf numFmtId="0" fontId="96" fillId="0" borderId="0" xfId="150" applyFont="1" applyFill="1" applyBorder="1">
      <alignment vertical="center"/>
    </xf>
    <xf numFmtId="0" fontId="12" fillId="0" borderId="0" xfId="150" applyFont="1" applyFill="1" applyBorder="1" applyAlignment="1">
      <alignment horizontal="left" wrapText="1"/>
    </xf>
    <xf numFmtId="1" fontId="19" fillId="0" borderId="0" xfId="150" applyNumberFormat="1" applyFont="1" applyFill="1" applyBorder="1" applyAlignment="1">
      <alignment horizontal="right"/>
    </xf>
    <xf numFmtId="1" fontId="12" fillId="0" borderId="0" xfId="150" applyNumberFormat="1" applyFont="1" applyFill="1" applyBorder="1" applyAlignment="1">
      <alignment horizontal="right"/>
    </xf>
    <xf numFmtId="0" fontId="12" fillId="0" borderId="0" xfId="150" applyFont="1" applyFill="1" applyBorder="1">
      <alignment vertical="center"/>
    </xf>
    <xf numFmtId="2" fontId="12" fillId="0" borderId="0" xfId="150" applyNumberFormat="1" applyFont="1" applyFill="1" applyBorder="1">
      <alignment vertical="center"/>
    </xf>
    <xf numFmtId="219" fontId="12" fillId="0" borderId="0" xfId="150" applyNumberFormat="1" applyFont="1" applyFill="1" applyBorder="1">
      <alignment vertical="center"/>
    </xf>
    <xf numFmtId="0" fontId="96" fillId="0" borderId="0" xfId="144" applyFont="1" applyFill="1" applyBorder="1"/>
    <xf numFmtId="0" fontId="110" fillId="0" borderId="0" xfId="114" applyAlignment="1">
      <alignment vertical="center"/>
    </xf>
    <xf numFmtId="0" fontId="12" fillId="0" borderId="0" xfId="144" applyFont="1" applyFill="1" applyBorder="1"/>
    <xf numFmtId="0" fontId="18" fillId="0" borderId="0" xfId="144" applyNumberFormat="1" applyFont="1" applyFill="1" applyBorder="1" applyAlignment="1">
      <alignment horizontal="centerContinuous" vertical="center"/>
    </xf>
    <xf numFmtId="0" fontId="19" fillId="0" borderId="0" xfId="150" applyFill="1">
      <alignment vertical="center"/>
    </xf>
    <xf numFmtId="0" fontId="121" fillId="0" borderId="0" xfId="150" applyFont="1" applyFill="1">
      <alignment vertical="center"/>
    </xf>
    <xf numFmtId="0" fontId="19" fillId="0" borderId="0" xfId="150">
      <alignment vertical="center"/>
    </xf>
    <xf numFmtId="0" fontId="12" fillId="0" borderId="0" xfId="150" applyFont="1" applyFill="1" applyBorder="1" applyAlignment="1"/>
    <xf numFmtId="0" fontId="12" fillId="0" borderId="0" xfId="150" applyFont="1" applyFill="1" applyBorder="1" applyAlignment="1">
      <alignment wrapText="1"/>
    </xf>
    <xf numFmtId="205" fontId="31" fillId="0" borderId="0" xfId="198">
      <alignment horizontal="right" vertical="center"/>
    </xf>
    <xf numFmtId="0" fontId="13" fillId="0" borderId="0" xfId="150" applyFont="1" applyFill="1" applyBorder="1" applyAlignment="1">
      <alignment vertical="center"/>
    </xf>
    <xf numFmtId="209" fontId="12" fillId="0" borderId="0" xfId="150" applyNumberFormat="1" applyFont="1" applyFill="1" applyBorder="1" applyAlignment="1">
      <alignment vertical="center"/>
    </xf>
    <xf numFmtId="205" fontId="31" fillId="0" borderId="0" xfId="198" applyBorder="1">
      <alignment horizontal="right" vertical="center"/>
    </xf>
    <xf numFmtId="0" fontId="96" fillId="0" borderId="0" xfId="150" applyFont="1" applyBorder="1" applyAlignment="1">
      <alignment vertical="center"/>
    </xf>
    <xf numFmtId="0" fontId="12" fillId="0" borderId="0" xfId="150" applyFont="1" applyAlignment="1">
      <alignment vertical="center"/>
    </xf>
    <xf numFmtId="0" fontId="14" fillId="0" borderId="0" xfId="0" applyFont="1" applyAlignment="1">
      <alignment horizontal="left" indent="2"/>
    </xf>
    <xf numFmtId="0" fontId="13" fillId="0" borderId="0" xfId="0" applyFont="1" applyAlignment="1">
      <alignment horizontal="left" indent="3"/>
    </xf>
    <xf numFmtId="0" fontId="0" fillId="0" borderId="0" xfId="0" applyAlignment="1">
      <alignment horizontal="left" indent="4"/>
    </xf>
    <xf numFmtId="201" fontId="12" fillId="0" borderId="0" xfId="150" applyNumberFormat="1" applyFont="1" applyFill="1" applyBorder="1" applyAlignment="1">
      <alignment vertical="center" wrapText="1"/>
    </xf>
    <xf numFmtId="201" fontId="13" fillId="0" borderId="0" xfId="0" applyNumberFormat="1" applyFont="1" applyFill="1" applyAlignment="1">
      <alignment horizontal="center" vertical="center"/>
    </xf>
    <xf numFmtId="201" fontId="0" fillId="0" borderId="0" xfId="0" applyNumberFormat="1"/>
    <xf numFmtId="201" fontId="12" fillId="0" borderId="0" xfId="0" applyNumberFormat="1" applyFont="1" applyFill="1" applyBorder="1"/>
    <xf numFmtId="201" fontId="12" fillId="0" borderId="18" xfId="0" applyNumberFormat="1" applyFont="1" applyFill="1" applyBorder="1"/>
    <xf numFmtId="201" fontId="13" fillId="0" borderId="0" xfId="150" applyNumberFormat="1" applyFont="1" applyFill="1" applyBorder="1" applyAlignment="1">
      <alignment vertical="center"/>
    </xf>
    <xf numFmtId="0" fontId="122" fillId="35" borderId="0" xfId="0" applyFont="1" applyFill="1"/>
    <xf numFmtId="0" fontId="123" fillId="35" borderId="0" xfId="0" applyFont="1" applyFill="1" applyBorder="1" applyAlignment="1">
      <alignment horizontal="center" vertical="center"/>
    </xf>
    <xf numFmtId="0" fontId="60" fillId="35" borderId="0" xfId="0" applyFont="1" applyFill="1" applyBorder="1" applyAlignment="1">
      <alignment horizontal="center"/>
    </xf>
    <xf numFmtId="0" fontId="122" fillId="35" borderId="0" xfId="0" applyFont="1" applyFill="1" applyAlignment="1">
      <alignment horizontal="left"/>
    </xf>
    <xf numFmtId="0" fontId="95" fillId="35" borderId="0" xfId="0" applyFont="1" applyFill="1" applyAlignment="1">
      <alignment horizontal="center" vertical="center"/>
    </xf>
    <xf numFmtId="0" fontId="95" fillId="35" borderId="0" xfId="0" applyFont="1" applyFill="1" applyBorder="1" applyAlignment="1">
      <alignment horizontal="center" vertical="center"/>
    </xf>
    <xf numFmtId="0" fontId="13" fillId="35" borderId="0" xfId="0" applyFont="1" applyFill="1" applyBorder="1" applyAlignment="1">
      <alignment horizontal="right" vertical="center"/>
    </xf>
    <xf numFmtId="0" fontId="123" fillId="35" borderId="0" xfId="0" applyFont="1" applyFill="1" applyAlignment="1">
      <alignment horizontal="center" vertical="center"/>
    </xf>
    <xf numFmtId="0" fontId="60" fillId="35" borderId="0" xfId="0" applyFont="1" applyFill="1" applyAlignment="1">
      <alignment horizontal="right" vertical="top"/>
    </xf>
    <xf numFmtId="175" fontId="60" fillId="35" borderId="0" xfId="0" applyNumberFormat="1" applyFont="1" applyFill="1" applyAlignment="1">
      <alignment horizontal="right" vertical="top"/>
    </xf>
    <xf numFmtId="0" fontId="60" fillId="35" borderId="0" xfId="0" applyFont="1" applyFill="1" applyAlignment="1">
      <alignment horizontal="left" wrapText="1"/>
    </xf>
    <xf numFmtId="0" fontId="22" fillId="39" borderId="14" xfId="0" applyFont="1" applyFill="1" applyBorder="1" applyAlignment="1">
      <alignment horizontal="center" vertical="center" wrapText="1"/>
    </xf>
    <xf numFmtId="0" fontId="60" fillId="35" borderId="14" xfId="0" applyFont="1" applyFill="1" applyBorder="1" applyAlignment="1">
      <alignment horizontal="left" vertical="top"/>
    </xf>
    <xf numFmtId="0" fontId="60" fillId="35" borderId="14" xfId="0" applyFont="1" applyFill="1" applyBorder="1" applyAlignment="1">
      <alignment horizontal="center" wrapText="1"/>
    </xf>
    <xf numFmtId="0" fontId="60" fillId="35" borderId="38" xfId="0" applyFont="1" applyFill="1" applyBorder="1" applyAlignment="1">
      <alignment horizontal="center" vertical="center"/>
    </xf>
    <xf numFmtId="0" fontId="60" fillId="35" borderId="28" xfId="0" applyFont="1" applyFill="1" applyBorder="1" applyAlignment="1">
      <alignment horizontal="center" vertical="center"/>
    </xf>
    <xf numFmtId="0" fontId="60" fillId="35" borderId="14" xfId="0" applyFont="1" applyFill="1" applyBorder="1" applyAlignment="1">
      <alignment horizontal="left" vertical="top" wrapText="1"/>
    </xf>
    <xf numFmtId="0" fontId="60" fillId="35" borderId="0" xfId="0" applyFont="1" applyFill="1"/>
    <xf numFmtId="0" fontId="33" fillId="35" borderId="0" xfId="0" applyFont="1" applyFill="1" applyAlignment="1">
      <alignment horizontal="left"/>
    </xf>
    <xf numFmtId="0" fontId="60" fillId="0" borderId="14" xfId="0" applyFont="1" applyFill="1" applyBorder="1" applyAlignment="1">
      <alignment horizontal="left" vertical="top" wrapText="1"/>
    </xf>
    <xf numFmtId="0" fontId="123" fillId="36" borderId="14" xfId="0" applyFont="1" applyFill="1" applyBorder="1" applyAlignment="1">
      <alignment horizontal="center" vertical="center"/>
    </xf>
    <xf numFmtId="0" fontId="123" fillId="0" borderId="14" xfId="0" applyFont="1" applyFill="1" applyBorder="1" applyAlignment="1">
      <alignment horizontal="center" vertical="center"/>
    </xf>
    <xf numFmtId="0" fontId="122" fillId="35" borderId="14" xfId="0" applyFont="1" applyFill="1" applyBorder="1" applyAlignment="1">
      <alignment horizontal="center" vertical="center"/>
    </xf>
    <xf numFmtId="0" fontId="122" fillId="35" borderId="14" xfId="0" applyFont="1" applyFill="1" applyBorder="1" applyAlignment="1">
      <alignment horizontal="left" vertical="top" indent="1"/>
    </xf>
    <xf numFmtId="0" fontId="122" fillId="35" borderId="14" xfId="0" applyFont="1" applyFill="1" applyBorder="1" applyAlignment="1">
      <alignment horizontal="left" vertical="top" wrapText="1" indent="1"/>
    </xf>
    <xf numFmtId="0" fontId="123" fillId="35" borderId="14" xfId="0" applyFont="1" applyFill="1" applyBorder="1" applyAlignment="1">
      <alignment horizontal="center" vertical="center"/>
    </xf>
    <xf numFmtId="0" fontId="122" fillId="35" borderId="14" xfId="0" applyFont="1" applyFill="1" applyBorder="1" applyAlignment="1">
      <alignment horizontal="left" vertical="top" indent="2"/>
    </xf>
    <xf numFmtId="0" fontId="122" fillId="35" borderId="14" xfId="0" applyFont="1" applyFill="1" applyBorder="1" applyAlignment="1">
      <alignment horizontal="left" vertical="top" wrapText="1" indent="2"/>
    </xf>
    <xf numFmtId="0" fontId="122" fillId="0" borderId="14" xfId="0" applyFont="1" applyFill="1" applyBorder="1" applyAlignment="1">
      <alignment horizontal="left" vertical="top" wrapText="1" indent="2"/>
    </xf>
    <xf numFmtId="0" fontId="122" fillId="35" borderId="0" xfId="0" applyFont="1" applyFill="1" applyAlignment="1">
      <alignment horizontal="left" wrapText="1"/>
    </xf>
    <xf numFmtId="0" fontId="122" fillId="35" borderId="14" xfId="0" applyFont="1" applyFill="1" applyBorder="1" applyAlignment="1">
      <alignment horizontal="left" vertical="top" wrapText="1" indent="3"/>
    </xf>
    <xf numFmtId="2" fontId="122" fillId="35" borderId="14" xfId="0" applyNumberFormat="1" applyFont="1" applyFill="1" applyBorder="1" applyAlignment="1">
      <alignment horizontal="left" vertical="top" indent="1"/>
    </xf>
    <xf numFmtId="0" fontId="122" fillId="0" borderId="14" xfId="0" applyFont="1" applyFill="1" applyBorder="1" applyAlignment="1">
      <alignment horizontal="left" vertical="top" wrapText="1" indent="1"/>
    </xf>
    <xf numFmtId="0" fontId="122" fillId="35" borderId="0" xfId="0" quotePrefix="1" applyFont="1" applyFill="1" applyAlignment="1">
      <alignment horizontal="left"/>
    </xf>
    <xf numFmtId="0" fontId="60" fillId="35" borderId="14" xfId="0" applyFont="1" applyFill="1" applyBorder="1" applyAlignment="1">
      <alignment vertical="top" wrapText="1"/>
    </xf>
    <xf numFmtId="0" fontId="122" fillId="35" borderId="14" xfId="0" applyFont="1" applyFill="1" applyBorder="1" applyAlignment="1">
      <alignment horizontal="center" vertical="top" wrapText="1"/>
    </xf>
    <xf numFmtId="0" fontId="124" fillId="0" borderId="14" xfId="131" applyFont="1" applyFill="1" applyBorder="1" applyAlignment="1" applyProtection="1">
      <alignment horizontal="center" vertical="center"/>
    </xf>
    <xf numFmtId="0" fontId="60" fillId="35" borderId="14" xfId="131" applyFont="1" applyFill="1" applyBorder="1" applyAlignment="1" applyProtection="1">
      <alignment horizontal="left" vertical="top" wrapText="1"/>
    </xf>
    <xf numFmtId="0" fontId="122" fillId="35" borderId="14" xfId="131" applyFont="1" applyFill="1" applyBorder="1" applyAlignment="1" applyProtection="1">
      <alignment horizontal="left" vertical="top" wrapText="1" indent="1"/>
    </xf>
    <xf numFmtId="0" fontId="124" fillId="35" borderId="14" xfId="131" applyFont="1" applyFill="1" applyBorder="1" applyAlignment="1" applyProtection="1">
      <alignment horizontal="center" vertical="center"/>
    </xf>
    <xf numFmtId="0" fontId="60" fillId="35" borderId="0" xfId="0" applyFont="1" applyFill="1" applyAlignment="1">
      <alignment horizontal="left" vertical="top"/>
    </xf>
    <xf numFmtId="0" fontId="122" fillId="35" borderId="0" xfId="0" applyFont="1" applyFill="1" applyAlignment="1">
      <alignment horizontal="center" vertical="top"/>
    </xf>
    <xf numFmtId="0" fontId="122" fillId="35" borderId="0" xfId="0" applyFont="1" applyFill="1" applyBorder="1" applyAlignment="1">
      <alignment horizontal="center"/>
    </xf>
    <xf numFmtId="165" fontId="19" fillId="35" borderId="0" xfId="56" applyFont="1" applyFill="1" applyAlignment="1">
      <alignment horizontal="left"/>
    </xf>
    <xf numFmtId="0" fontId="19" fillId="35" borderId="0" xfId="0" applyFont="1" applyFill="1" applyBorder="1" applyAlignment="1">
      <alignment vertical="top" wrapText="1"/>
    </xf>
    <xf numFmtId="0" fontId="19" fillId="35" borderId="0" xfId="0" applyFont="1" applyFill="1" applyBorder="1" applyAlignment="1">
      <alignment horizontal="left" vertical="top" wrapText="1"/>
    </xf>
    <xf numFmtId="0" fontId="69" fillId="0" borderId="0" xfId="0" applyFont="1" applyAlignment="1">
      <alignment vertical="top"/>
    </xf>
    <xf numFmtId="0" fontId="69" fillId="0" borderId="0" xfId="195" applyFont="1" applyAlignment="1">
      <alignment vertical="top"/>
    </xf>
    <xf numFmtId="0" fontId="69" fillId="0" borderId="0" xfId="0" applyFont="1" applyAlignment="1">
      <alignment vertical="top" wrapText="1"/>
    </xf>
    <xf numFmtId="0" fontId="13" fillId="0" borderId="0" xfId="36" applyFont="1" applyFill="1" applyAlignment="1">
      <alignment horizontal="left" vertical="center"/>
    </xf>
    <xf numFmtId="191" fontId="19" fillId="0" borderId="0" xfId="65" applyNumberFormat="1" applyFont="1" applyFill="1" applyBorder="1"/>
    <xf numFmtId="0" fontId="125" fillId="0" borderId="0" xfId="0" applyFont="1" applyFill="1" applyBorder="1"/>
    <xf numFmtId="0" fontId="125" fillId="0" borderId="0" xfId="0" applyFont="1" applyFill="1"/>
    <xf numFmtId="0" fontId="0" fillId="0" borderId="0" xfId="0" applyFill="1"/>
    <xf numFmtId="0" fontId="92" fillId="0" borderId="0" xfId="0" applyFont="1" applyAlignment="1">
      <alignment horizontal="left"/>
    </xf>
    <xf numFmtId="0" fontId="60" fillId="35" borderId="0" xfId="0" applyFont="1" applyFill="1" applyAlignment="1">
      <alignment horizontal="left"/>
    </xf>
    <xf numFmtId="165" fontId="122" fillId="35" borderId="0" xfId="56" applyFont="1" applyFill="1"/>
    <xf numFmtId="4" fontId="13" fillId="35" borderId="8" xfId="56" applyNumberFormat="1" applyFont="1" applyFill="1" applyBorder="1" applyAlignment="1">
      <alignment horizontal="center"/>
    </xf>
    <xf numFmtId="180" fontId="19" fillId="35" borderId="0" xfId="0" applyNumberFormat="1" applyFont="1" applyFill="1" applyBorder="1" applyAlignment="1" applyProtection="1">
      <alignment horizontal="center"/>
      <protection locked="0"/>
    </xf>
    <xf numFmtId="182" fontId="19" fillId="35" borderId="0" xfId="56" applyNumberFormat="1" applyFont="1" applyFill="1" applyBorder="1" applyAlignment="1" applyProtection="1">
      <alignment horizontal="center"/>
      <protection locked="0"/>
    </xf>
    <xf numFmtId="180" fontId="19" fillId="35" borderId="0" xfId="0" applyNumberFormat="1" applyFont="1" applyFill="1" applyBorder="1" applyAlignment="1">
      <alignment horizontal="center"/>
    </xf>
    <xf numFmtId="179" fontId="19" fillId="35" borderId="14" xfId="56" applyNumberFormat="1" applyFont="1" applyFill="1" applyBorder="1" applyAlignment="1" applyProtection="1">
      <alignment horizontal="center"/>
      <protection locked="0"/>
    </xf>
    <xf numFmtId="179" fontId="19" fillId="35" borderId="0" xfId="56" applyNumberFormat="1" applyFont="1" applyFill="1" applyBorder="1" applyAlignment="1" applyProtection="1">
      <alignment horizontal="center"/>
      <protection locked="0"/>
    </xf>
    <xf numFmtId="4" fontId="19" fillId="35" borderId="8" xfId="56" applyNumberFormat="1" applyFont="1" applyFill="1" applyBorder="1" applyAlignment="1">
      <alignment horizontal="center"/>
    </xf>
    <xf numFmtId="180" fontId="19" fillId="35" borderId="8" xfId="0" applyNumberFormat="1" applyFont="1" applyFill="1" applyBorder="1" applyAlignment="1" applyProtection="1">
      <alignment horizontal="center"/>
      <protection locked="0"/>
    </xf>
    <xf numFmtId="182" fontId="19" fillId="35" borderId="14" xfId="56" applyNumberFormat="1" applyFont="1" applyFill="1" applyBorder="1" applyAlignment="1" applyProtection="1">
      <alignment horizontal="center"/>
      <protection locked="0"/>
    </xf>
    <xf numFmtId="0" fontId="18" fillId="0" borderId="0" xfId="0" applyFont="1"/>
    <xf numFmtId="0" fontId="0" fillId="0" borderId="17" xfId="0" applyBorder="1"/>
    <xf numFmtId="0" fontId="0" fillId="0" borderId="18" xfId="0" applyBorder="1"/>
    <xf numFmtId="0" fontId="60" fillId="0" borderId="0" xfId="0" applyFont="1" applyAlignment="1">
      <alignment horizontal="right"/>
    </xf>
    <xf numFmtId="0" fontId="126" fillId="0" borderId="14" xfId="0" applyFont="1" applyBorder="1" applyAlignment="1">
      <alignment vertical="top" wrapText="1"/>
    </xf>
    <xf numFmtId="0" fontId="19" fillId="0" borderId="14" xfId="0" applyFont="1" applyBorder="1" applyAlignment="1">
      <alignment vertical="top" wrapText="1"/>
    </xf>
    <xf numFmtId="0" fontId="13" fillId="0" borderId="14" xfId="0" applyFont="1" applyBorder="1" applyAlignment="1">
      <alignment vertical="top" wrapText="1"/>
    </xf>
    <xf numFmtId="0" fontId="0" fillId="0" borderId="0" xfId="0" applyAlignment="1">
      <alignment vertical="center"/>
    </xf>
    <xf numFmtId="0" fontId="19" fillId="0" borderId="99" xfId="0" applyFont="1" applyBorder="1" applyAlignment="1">
      <alignment wrapText="1"/>
    </xf>
    <xf numFmtId="0" fontId="19" fillId="0" borderId="0" xfId="0" applyFont="1" applyBorder="1" applyAlignment="1">
      <alignment wrapText="1"/>
    </xf>
    <xf numFmtId="0" fontId="13" fillId="0" borderId="0" xfId="0" applyFont="1" applyBorder="1" applyAlignment="1">
      <alignment wrapText="1"/>
    </xf>
    <xf numFmtId="0" fontId="13" fillId="35" borderId="0" xfId="0" applyFont="1" applyFill="1" applyBorder="1" applyAlignment="1">
      <alignment horizontal="center" vertical="center"/>
    </xf>
    <xf numFmtId="1" fontId="19" fillId="35" borderId="0" xfId="0" applyNumberFormat="1" applyFont="1" applyFill="1" applyBorder="1" applyAlignment="1">
      <alignment horizontal="center"/>
    </xf>
    <xf numFmtId="0" fontId="13" fillId="25" borderId="25" xfId="0" applyFont="1" applyFill="1" applyBorder="1" applyAlignment="1">
      <alignment horizontal="center" vertical="center"/>
    </xf>
    <xf numFmtId="0" fontId="13" fillId="25" borderId="20" xfId="0" applyFont="1" applyFill="1" applyBorder="1" applyAlignment="1">
      <alignment horizontal="center" vertical="center"/>
    </xf>
    <xf numFmtId="0" fontId="13" fillId="25" borderId="27" xfId="0" applyFont="1" applyFill="1" applyBorder="1" applyAlignment="1">
      <alignment horizontal="center" vertical="center"/>
    </xf>
    <xf numFmtId="0" fontId="19" fillId="0" borderId="0" xfId="0" applyFont="1" applyFill="1" applyAlignment="1">
      <alignment vertical="top"/>
    </xf>
    <xf numFmtId="0" fontId="22" fillId="0" borderId="0" xfId="0" applyFont="1" applyFill="1" applyBorder="1" applyAlignment="1">
      <alignment horizontal="left" vertical="top"/>
    </xf>
    <xf numFmtId="0" fontId="19" fillId="0" borderId="0" xfId="0" applyFont="1" applyFill="1" applyAlignment="1">
      <alignment horizontal="center" vertical="top"/>
    </xf>
    <xf numFmtId="0" fontId="13" fillId="0" borderId="0" xfId="0" applyFont="1" applyFill="1" applyAlignment="1">
      <alignment horizontal="left" vertical="top"/>
    </xf>
    <xf numFmtId="0" fontId="13" fillId="0" borderId="0" xfId="0" applyFont="1" applyFill="1" applyAlignment="1">
      <alignment horizontal="right" vertical="top" indent="1"/>
    </xf>
    <xf numFmtId="174" fontId="13" fillId="0" borderId="0" xfId="0" applyNumberFormat="1" applyFont="1" applyFill="1" applyAlignment="1">
      <alignment horizontal="right" vertical="top"/>
    </xf>
    <xf numFmtId="0" fontId="13" fillId="0" borderId="0" xfId="0" applyFont="1" applyFill="1"/>
    <xf numFmtId="0" fontId="13" fillId="0" borderId="0" xfId="0" applyFont="1" applyFill="1" applyAlignment="1">
      <alignment vertical="top"/>
    </xf>
    <xf numFmtId="0" fontId="27" fillId="0" borderId="0" xfId="131" applyFont="1" applyFill="1" applyAlignment="1" applyProtection="1"/>
    <xf numFmtId="170" fontId="19" fillId="0" borderId="0" xfId="0" applyNumberFormat="1" applyFont="1" applyFill="1" applyAlignment="1">
      <alignment vertical="top"/>
    </xf>
    <xf numFmtId="0" fontId="27" fillId="0" borderId="0" xfId="131" applyFill="1" applyAlignment="1" applyProtection="1"/>
    <xf numFmtId="0" fontId="95" fillId="0" borderId="0" xfId="0" applyFont="1" applyFill="1" applyAlignment="1">
      <alignment vertical="top"/>
    </xf>
    <xf numFmtId="0" fontId="95" fillId="0" borderId="0" xfId="0" applyFont="1" applyFill="1" applyAlignment="1">
      <alignment horizontal="left" vertical="top"/>
    </xf>
    <xf numFmtId="0" fontId="0" fillId="0" borderId="20" xfId="0" applyFill="1" applyBorder="1"/>
    <xf numFmtId="188" fontId="133" fillId="35" borderId="29" xfId="0" applyNumberFormat="1" applyFont="1" applyFill="1" applyBorder="1" applyAlignment="1">
      <alignment horizontal="center" vertical="center"/>
    </xf>
    <xf numFmtId="0" fontId="27" fillId="0" borderId="0" xfId="131" applyFill="1" applyBorder="1" applyAlignment="1" applyProtection="1">
      <alignment horizontal="left"/>
    </xf>
    <xf numFmtId="0" fontId="69" fillId="0" borderId="0" xfId="0" applyFont="1" applyFill="1" applyAlignment="1"/>
    <xf numFmtId="0" fontId="69" fillId="0" borderId="0" xfId="0" applyFont="1" applyFill="1" applyAlignment="1">
      <alignment vertical="top"/>
    </xf>
    <xf numFmtId="0" fontId="69" fillId="0" borderId="0" xfId="195" applyFont="1" applyFill="1" applyAlignment="1">
      <alignment vertical="top"/>
    </xf>
    <xf numFmtId="0" fontId="92" fillId="0" borderId="0" xfId="0" applyFont="1" applyFill="1" applyAlignment="1"/>
    <xf numFmtId="0" fontId="18" fillId="0" borderId="0" xfId="0" applyFont="1" applyFill="1" applyBorder="1" applyAlignment="1">
      <alignment horizontal="center" vertical="top"/>
    </xf>
    <xf numFmtId="0" fontId="95" fillId="0" borderId="0" xfId="0" applyFont="1" applyFill="1" applyAlignment="1">
      <alignment horizontal="center" vertical="center"/>
    </xf>
    <xf numFmtId="0" fontId="13" fillId="0" borderId="0" xfId="0" applyFont="1" applyFill="1" applyAlignment="1">
      <alignment horizontal="left"/>
    </xf>
    <xf numFmtId="0" fontId="13" fillId="0" borderId="0" xfId="0" applyFont="1" applyFill="1" applyAlignment="1">
      <alignment horizontal="center"/>
    </xf>
    <xf numFmtId="0" fontId="62" fillId="0" borderId="0" xfId="36" applyFont="1" applyFill="1" applyAlignment="1">
      <alignment horizontal="center" vertical="center"/>
    </xf>
    <xf numFmtId="0" fontId="126" fillId="0" borderId="0" xfId="0" applyFont="1" applyFill="1"/>
    <xf numFmtId="191" fontId="19" fillId="0" borderId="0" xfId="0" applyNumberFormat="1" applyFont="1" applyFill="1"/>
    <xf numFmtId="0" fontId="27" fillId="0" borderId="0" xfId="131" applyFill="1" applyAlignment="1" applyProtection="1">
      <alignment horizontal="left"/>
    </xf>
    <xf numFmtId="0" fontId="19" fillId="0" borderId="0" xfId="0" applyFont="1" applyFill="1" applyBorder="1" applyAlignment="1">
      <alignment vertical="center"/>
    </xf>
    <xf numFmtId="0" fontId="127" fillId="0" borderId="0" xfId="0" applyFont="1" applyFill="1"/>
    <xf numFmtId="191" fontId="19" fillId="0" borderId="0" xfId="0" applyNumberFormat="1" applyFont="1" applyFill="1" applyBorder="1"/>
    <xf numFmtId="0" fontId="127" fillId="0" borderId="0" xfId="0" applyFont="1" applyFill="1" applyBorder="1"/>
    <xf numFmtId="0" fontId="19" fillId="0" borderId="0" xfId="0" applyFont="1" applyFill="1" applyBorder="1"/>
    <xf numFmtId="0" fontId="36" fillId="0" borderId="0" xfId="131" applyFont="1" applyFill="1" applyBorder="1" applyAlignment="1" applyProtection="1">
      <alignment horizontal="left"/>
    </xf>
    <xf numFmtId="0" fontId="19" fillId="0" borderId="0" xfId="0" applyNumberFormat="1" applyFont="1" applyFill="1" applyBorder="1" applyAlignment="1">
      <alignment horizontal="left"/>
    </xf>
    <xf numFmtId="0" fontId="19" fillId="0" borderId="0" xfId="0" applyFont="1" applyFill="1" applyAlignment="1">
      <alignment horizontal="left"/>
    </xf>
    <xf numFmtId="174" fontId="13" fillId="0" borderId="0" xfId="0" applyNumberFormat="1" applyFont="1" applyFill="1" applyBorder="1" applyAlignment="1">
      <alignment horizontal="left"/>
    </xf>
    <xf numFmtId="0" fontId="13" fillId="0" borderId="0" xfId="0" applyFont="1" applyFill="1" applyAlignment="1">
      <alignment horizontal="right"/>
    </xf>
    <xf numFmtId="174" fontId="13" fillId="0" borderId="0" xfId="0" applyNumberFormat="1" applyFont="1" applyFill="1" applyBorder="1" applyAlignment="1">
      <alignment horizontal="right"/>
    </xf>
    <xf numFmtId="0" fontId="13" fillId="0" borderId="0" xfId="0" applyFont="1" applyFill="1" applyBorder="1" applyAlignment="1">
      <alignment horizontal="left"/>
    </xf>
    <xf numFmtId="0" fontId="13" fillId="0" borderId="0" xfId="0" applyFont="1" applyFill="1" applyAlignment="1"/>
    <xf numFmtId="0" fontId="13" fillId="0" borderId="0" xfId="0" applyFont="1" applyFill="1" applyAlignment="1">
      <alignment horizontal="left" indent="7"/>
    </xf>
    <xf numFmtId="0" fontId="13" fillId="0" borderId="0" xfId="0" applyFont="1" applyFill="1" applyBorder="1" applyAlignment="1">
      <alignment horizontal="center"/>
    </xf>
    <xf numFmtId="0" fontId="13" fillId="0" borderId="0" xfId="0" applyFont="1" applyFill="1" applyBorder="1" applyAlignment="1">
      <alignment horizontal="center" wrapText="1"/>
    </xf>
    <xf numFmtId="220" fontId="13" fillId="0" borderId="0" xfId="0" applyNumberFormat="1" applyFont="1" applyFill="1" applyAlignment="1">
      <alignment horizontal="left" indent="3"/>
    </xf>
    <xf numFmtId="0" fontId="13" fillId="0" borderId="0" xfId="0" applyFont="1" applyFill="1" applyAlignment="1">
      <alignment horizontal="right" indent="2"/>
    </xf>
    <xf numFmtId="0" fontId="19" fillId="0" borderId="0" xfId="0" applyFont="1" applyFill="1" applyBorder="1" applyAlignment="1">
      <alignment horizontal="center"/>
    </xf>
    <xf numFmtId="0" fontId="27" fillId="0" borderId="0" xfId="131" applyFont="1" applyFill="1" applyAlignment="1" applyProtection="1">
      <alignment horizontal="left"/>
    </xf>
    <xf numFmtId="0" fontId="13" fillId="0" borderId="0" xfId="0" quotePrefix="1" applyFont="1" applyFill="1" applyAlignment="1"/>
    <xf numFmtId="0" fontId="13" fillId="0" borderId="0" xfId="0" quotePrefix="1" applyFont="1" applyFill="1" applyAlignment="1">
      <alignment horizontal="right" indent="4"/>
    </xf>
    <xf numFmtId="0" fontId="27" fillId="0" borderId="0" xfId="131" applyFont="1" applyFill="1" applyAlignment="1" applyProtection="1">
      <alignment horizontal="left" indent="2"/>
    </xf>
    <xf numFmtId="0" fontId="27" fillId="0" borderId="0" xfId="131" applyFill="1" applyAlignment="1" applyProtection="1">
      <alignment horizontal="left" indent="2"/>
    </xf>
    <xf numFmtId="0" fontId="19" fillId="0" borderId="0" xfId="0" applyFont="1" applyFill="1" applyAlignment="1">
      <alignment horizontal="left" indent="2"/>
    </xf>
    <xf numFmtId="0" fontId="60" fillId="35" borderId="0" xfId="0" applyNumberFormat="1" applyFont="1" applyFill="1" applyBorder="1" applyAlignment="1">
      <alignment horizontal="right"/>
    </xf>
    <xf numFmtId="0" fontId="19" fillId="35" borderId="0" xfId="0" applyFont="1" applyFill="1" applyBorder="1" applyAlignment="1">
      <alignment vertical="top"/>
    </xf>
    <xf numFmtId="49" fontId="13" fillId="0" borderId="0" xfId="0" applyNumberFormat="1" applyFont="1" applyFill="1" applyBorder="1" applyAlignment="1">
      <alignment horizontal="center"/>
    </xf>
    <xf numFmtId="0" fontId="13" fillId="0" borderId="0" xfId="0" applyFont="1" applyFill="1" applyBorder="1" applyAlignment="1">
      <alignment horizontal="right"/>
    </xf>
    <xf numFmtId="165" fontId="19" fillId="0" borderId="0" xfId="56" applyFont="1" applyFill="1"/>
    <xf numFmtId="166" fontId="19" fillId="0" borderId="0" xfId="41" applyFont="1" applyFill="1"/>
    <xf numFmtId="166" fontId="19" fillId="0" borderId="0" xfId="0" applyNumberFormat="1" applyFont="1" applyFill="1" applyBorder="1"/>
    <xf numFmtId="0" fontId="135" fillId="0" borderId="0" xfId="0" applyFont="1"/>
    <xf numFmtId="0" fontId="137" fillId="35" borderId="0" xfId="0" applyFont="1" applyFill="1" applyBorder="1" applyAlignment="1">
      <alignment horizontal="right" vertical="center"/>
    </xf>
    <xf numFmtId="0" fontId="139" fillId="35" borderId="0" xfId="0" applyFont="1" applyFill="1" applyBorder="1" applyAlignment="1">
      <alignment horizontal="center"/>
    </xf>
    <xf numFmtId="14" fontId="140" fillId="35" borderId="0" xfId="0" applyNumberFormat="1" applyFont="1" applyFill="1" applyBorder="1" applyAlignment="1">
      <alignment horizontal="left"/>
    </xf>
    <xf numFmtId="0" fontId="141" fillId="35" borderId="0" xfId="0" applyFont="1" applyFill="1" applyBorder="1" applyAlignment="1">
      <alignment horizontal="right"/>
    </xf>
    <xf numFmtId="170" fontId="140" fillId="0" borderId="0" xfId="0" applyNumberFormat="1" applyFont="1" applyFill="1" applyBorder="1" applyAlignment="1">
      <alignment horizontal="right"/>
    </xf>
    <xf numFmtId="170" fontId="140" fillId="0" borderId="0" xfId="0" applyNumberFormat="1" applyFont="1" applyFill="1" applyBorder="1" applyAlignment="1">
      <alignment horizontal="left"/>
    </xf>
    <xf numFmtId="14" fontId="140" fillId="35" borderId="0" xfId="0" applyNumberFormat="1" applyFont="1" applyFill="1" applyBorder="1"/>
    <xf numFmtId="0" fontId="135" fillId="0" borderId="0" xfId="0" applyFont="1" applyBorder="1" applyAlignment="1">
      <alignment vertical="center"/>
    </xf>
    <xf numFmtId="0" fontId="140" fillId="0" borderId="0" xfId="0" applyFont="1" applyBorder="1" applyAlignment="1">
      <alignment vertical="center"/>
    </xf>
    <xf numFmtId="0" fontId="138" fillId="0" borderId="0" xfId="0" applyFont="1" applyBorder="1"/>
    <xf numFmtId="0" fontId="135" fillId="0" borderId="0" xfId="0" applyFont="1" applyBorder="1"/>
    <xf numFmtId="0" fontId="143" fillId="25" borderId="0" xfId="0" applyFont="1" applyFill="1" applyBorder="1" applyAlignment="1">
      <alignment vertical="center"/>
    </xf>
    <xf numFmtId="14" fontId="125" fillId="0" borderId="0" xfId="0" applyNumberFormat="1" applyFont="1" applyFill="1" applyBorder="1"/>
    <xf numFmtId="0" fontId="36" fillId="35" borderId="0" xfId="131" applyFont="1" applyFill="1" applyAlignment="1" applyProtection="1">
      <alignment horizontal="left" vertical="top"/>
    </xf>
    <xf numFmtId="164" fontId="52" fillId="36" borderId="55" xfId="0" applyNumberFormat="1" applyFont="1" applyFill="1" applyBorder="1" applyAlignment="1" applyProtection="1">
      <alignment wrapText="1"/>
    </xf>
    <xf numFmtId="164" fontId="52" fillId="35" borderId="44" xfId="0" applyNumberFormat="1" applyFont="1" applyFill="1" applyBorder="1" applyAlignment="1" applyProtection="1">
      <alignment wrapText="1"/>
    </xf>
    <xf numFmtId="164" fontId="0" fillId="35" borderId="45" xfId="0" applyNumberFormat="1" applyFill="1" applyBorder="1" applyProtection="1"/>
    <xf numFmtId="188" fontId="51" fillId="35" borderId="114" xfId="0" applyNumberFormat="1" applyFont="1" applyFill="1" applyBorder="1" applyProtection="1"/>
    <xf numFmtId="188" fontId="51" fillId="35" borderId="45" xfId="41" applyNumberFormat="1" applyFont="1" applyFill="1" applyBorder="1" applyProtection="1"/>
    <xf numFmtId="188" fontId="51" fillId="35" borderId="20" xfId="0" applyNumberFormat="1" applyFont="1" applyFill="1" applyBorder="1" applyProtection="1"/>
    <xf numFmtId="188" fontId="0" fillId="35" borderId="43" xfId="0" applyNumberFormat="1" applyFill="1" applyBorder="1" applyProtection="1"/>
    <xf numFmtId="164" fontId="52" fillId="36" borderId="92" xfId="0" applyNumberFormat="1" applyFont="1" applyFill="1" applyBorder="1" applyAlignment="1" applyProtection="1">
      <alignment wrapText="1"/>
    </xf>
    <xf numFmtId="164" fontId="52" fillId="35" borderId="91" xfId="0" applyNumberFormat="1" applyFont="1" applyFill="1" applyBorder="1" applyAlignment="1" applyProtection="1">
      <alignment wrapText="1"/>
    </xf>
    <xf numFmtId="164" fontId="0" fillId="35" borderId="29" xfId="0" applyNumberFormat="1" applyFill="1" applyBorder="1" applyProtection="1"/>
    <xf numFmtId="188" fontId="51" fillId="37" borderId="32" xfId="41" applyNumberFormat="1" applyFont="1" applyFill="1" applyBorder="1" applyAlignment="1" applyProtection="1">
      <protection hidden="1"/>
    </xf>
    <xf numFmtId="188" fontId="51" fillId="37" borderId="18" xfId="41" applyNumberFormat="1" applyFont="1" applyFill="1" applyBorder="1" applyAlignment="1" applyProtection="1">
      <protection hidden="1"/>
    </xf>
    <xf numFmtId="164" fontId="52" fillId="35" borderId="45" xfId="0" applyNumberFormat="1" applyFont="1" applyFill="1" applyBorder="1" applyAlignment="1" applyProtection="1">
      <alignment horizontal="center" vertical="top" wrapText="1"/>
    </xf>
    <xf numFmtId="164" fontId="52" fillId="35" borderId="55" xfId="0" applyNumberFormat="1" applyFont="1" applyFill="1" applyBorder="1" applyAlignment="1" applyProtection="1">
      <alignment wrapText="1"/>
    </xf>
    <xf numFmtId="188" fontId="51" fillId="37" borderId="67" xfId="41" applyNumberFormat="1" applyFont="1" applyFill="1" applyBorder="1" applyAlignment="1" applyProtection="1">
      <protection hidden="1"/>
    </xf>
    <xf numFmtId="188" fontId="51" fillId="37" borderId="68" xfId="41" applyNumberFormat="1" applyFont="1" applyFill="1" applyBorder="1" applyAlignment="1" applyProtection="1">
      <alignment horizontal="right"/>
      <protection hidden="1"/>
    </xf>
    <xf numFmtId="188" fontId="51" fillId="37" borderId="59" xfId="41" applyNumberFormat="1" applyFont="1" applyFill="1" applyBorder="1" applyAlignment="1" applyProtection="1">
      <protection hidden="1"/>
    </xf>
    <xf numFmtId="188" fontId="51" fillId="37" borderId="67" xfId="0" applyNumberFormat="1" applyFont="1" applyFill="1" applyBorder="1" applyAlignment="1" applyProtection="1">
      <protection hidden="1"/>
    </xf>
    <xf numFmtId="188" fontId="51" fillId="0" borderId="45" xfId="0" applyNumberFormat="1" applyFont="1" applyBorder="1" applyAlignment="1" applyProtection="1">
      <protection hidden="1"/>
    </xf>
    <xf numFmtId="10" fontId="51" fillId="35" borderId="67" xfId="0" applyNumberFormat="1" applyFont="1" applyFill="1" applyBorder="1" applyAlignment="1" applyProtection="1">
      <protection hidden="1"/>
    </xf>
    <xf numFmtId="188" fontId="51" fillId="35" borderId="67" xfId="178" applyNumberFormat="1" applyFont="1" applyFill="1" applyBorder="1" applyAlignment="1" applyProtection="1">
      <protection hidden="1"/>
    </xf>
    <xf numFmtId="188" fontId="51" fillId="35" borderId="117" xfId="41" applyNumberFormat="1" applyFont="1" applyFill="1" applyBorder="1" applyAlignment="1" applyProtection="1">
      <protection hidden="1"/>
    </xf>
    <xf numFmtId="188" fontId="51" fillId="0" borderId="45" xfId="0" applyNumberFormat="1" applyFont="1" applyFill="1" applyBorder="1" applyAlignment="1" applyProtection="1">
      <alignment horizontal="right"/>
      <protection hidden="1"/>
    </xf>
    <xf numFmtId="188" fontId="51" fillId="37" borderId="17" xfId="41" applyNumberFormat="1" applyFont="1" applyFill="1" applyBorder="1" applyAlignment="1" applyProtection="1">
      <alignment horizontal="right"/>
      <protection hidden="1"/>
    </xf>
    <xf numFmtId="188" fontId="51" fillId="0" borderId="0" xfId="41" applyNumberFormat="1" applyFont="1" applyFill="1" applyBorder="1" applyAlignment="1" applyProtection="1">
      <protection locked="0" hidden="1"/>
    </xf>
    <xf numFmtId="164" fontId="52" fillId="35" borderId="29" xfId="0" applyNumberFormat="1" applyFont="1" applyFill="1" applyBorder="1" applyAlignment="1" applyProtection="1">
      <alignment horizontal="center" vertical="top" wrapText="1"/>
    </xf>
    <xf numFmtId="164" fontId="52" fillId="35" borderId="92" xfId="0" applyNumberFormat="1" applyFont="1" applyFill="1" applyBorder="1" applyAlignment="1" applyProtection="1">
      <alignment wrapText="1"/>
    </xf>
    <xf numFmtId="188" fontId="51" fillId="37" borderId="28" xfId="41" applyNumberFormat="1" applyFont="1" applyFill="1" applyBorder="1" applyAlignment="1" applyProtection="1">
      <alignment horizontal="right"/>
      <protection hidden="1"/>
    </xf>
    <xf numFmtId="188" fontId="51" fillId="37" borderId="31" xfId="41" applyNumberFormat="1" applyFont="1" applyFill="1" applyBorder="1" applyAlignment="1" applyProtection="1">
      <protection hidden="1"/>
    </xf>
    <xf numFmtId="0" fontId="26" fillId="0" borderId="0" xfId="0" applyNumberFormat="1" applyFont="1" applyFill="1" applyBorder="1" applyAlignment="1">
      <alignment vertical="center"/>
    </xf>
    <xf numFmtId="17" fontId="22" fillId="35" borderId="0" xfId="145" applyNumberFormat="1" applyFont="1" applyFill="1" applyBorder="1" applyAlignment="1">
      <alignment vertical="top"/>
    </xf>
    <xf numFmtId="0" fontId="22" fillId="35" borderId="0" xfId="0" applyFont="1" applyFill="1" applyBorder="1" applyAlignment="1">
      <alignment horizontal="center" vertical="top"/>
    </xf>
    <xf numFmtId="0" fontId="14" fillId="35" borderId="0" xfId="0" applyFont="1" applyFill="1" applyAlignment="1">
      <alignment horizontal="left"/>
    </xf>
    <xf numFmtId="0" fontId="139" fillId="0" borderId="0" xfId="0" applyFont="1"/>
    <xf numFmtId="0" fontId="24" fillId="0" borderId="0" xfId="0" applyFont="1"/>
    <xf numFmtId="0" fontId="45" fillId="0" borderId="14" xfId="235" applyFont="1" applyBorder="1">
      <alignment horizontal="center" vertical="center" wrapText="1"/>
    </xf>
    <xf numFmtId="0" fontId="0" fillId="0" borderId="25" xfId="0" applyBorder="1"/>
    <xf numFmtId="0" fontId="0" fillId="0" borderId="27" xfId="0" applyBorder="1"/>
    <xf numFmtId="0" fontId="19" fillId="0" borderId="0" xfId="0" applyNumberFormat="1" applyFont="1" applyFill="1" applyBorder="1"/>
    <xf numFmtId="0" fontId="45" fillId="0" borderId="29" xfId="235" applyFont="1" applyFill="1" applyBorder="1">
      <alignment horizontal="center" vertical="center" wrapText="1"/>
    </xf>
    <xf numFmtId="0" fontId="13" fillId="0" borderId="0" xfId="56" applyNumberFormat="1" applyFont="1" applyFill="1"/>
    <xf numFmtId="0" fontId="13" fillId="0" borderId="0" xfId="0" applyNumberFormat="1" applyFont="1" applyFill="1"/>
    <xf numFmtId="0" fontId="13" fillId="0" borderId="0" xfId="0" applyFont="1" applyBorder="1"/>
    <xf numFmtId="0" fontId="13" fillId="0" borderId="20" xfId="0" applyFont="1" applyBorder="1"/>
    <xf numFmtId="166" fontId="23" fillId="0" borderId="0" xfId="68" applyFill="1" applyBorder="1">
      <protection locked="0"/>
    </xf>
    <xf numFmtId="0" fontId="45" fillId="0" borderId="14" xfId="235" applyFont="1" applyBorder="1" applyAlignment="1">
      <alignment horizontal="left" vertical="center" wrapText="1"/>
    </xf>
    <xf numFmtId="0" fontId="13" fillId="0" borderId="23" xfId="0" applyFont="1" applyBorder="1"/>
    <xf numFmtId="0" fontId="19" fillId="35" borderId="22" xfId="0" applyFont="1" applyFill="1" applyBorder="1" applyAlignment="1">
      <alignment vertical="top"/>
    </xf>
    <xf numFmtId="199" fontId="19" fillId="35" borderId="26" xfId="0" applyNumberFormat="1" applyFont="1" applyFill="1" applyBorder="1" applyAlignment="1">
      <alignment vertical="top"/>
    </xf>
    <xf numFmtId="0" fontId="19" fillId="35" borderId="23" xfId="0" applyFont="1" applyFill="1" applyBorder="1" applyAlignment="1">
      <alignment vertical="top"/>
    </xf>
    <xf numFmtId="199" fontId="19" fillId="35" borderId="24" xfId="0" applyNumberFormat="1" applyFont="1" applyFill="1" applyBorder="1" applyAlignment="1">
      <alignment vertical="top"/>
    </xf>
    <xf numFmtId="199" fontId="19" fillId="35" borderId="24" xfId="0" applyNumberFormat="1" applyFont="1" applyFill="1" applyBorder="1"/>
    <xf numFmtId="199" fontId="19" fillId="35" borderId="27" xfId="0" applyNumberFormat="1" applyFont="1" applyFill="1" applyBorder="1"/>
    <xf numFmtId="0" fontId="27" fillId="0" borderId="0" xfId="131" applyAlignment="1" applyProtection="1"/>
    <xf numFmtId="164" fontId="51" fillId="35" borderId="0" xfId="0" applyNumberFormat="1" applyFont="1" applyFill="1" applyBorder="1" applyProtection="1">
      <protection hidden="1"/>
    </xf>
    <xf numFmtId="199" fontId="19" fillId="35" borderId="0" xfId="0" applyNumberFormat="1" applyFont="1" applyFill="1"/>
    <xf numFmtId="199" fontId="19" fillId="35" borderId="0" xfId="0" applyNumberFormat="1" applyFont="1" applyFill="1" applyAlignment="1">
      <alignment horizontal="center"/>
    </xf>
    <xf numFmtId="199" fontId="19" fillId="35" borderId="0" xfId="0" applyNumberFormat="1" applyFont="1" applyFill="1" applyAlignment="1"/>
    <xf numFmtId="199" fontId="19" fillId="35" borderId="8" xfId="0" applyNumberFormat="1" applyFont="1" applyFill="1" applyBorder="1" applyAlignment="1"/>
    <xf numFmtId="199" fontId="13" fillId="35" borderId="0" xfId="0" applyNumberFormat="1" applyFont="1" applyFill="1"/>
    <xf numFmtId="199" fontId="13" fillId="35" borderId="8" xfId="56" applyNumberFormat="1" applyFont="1" applyFill="1" applyBorder="1"/>
    <xf numFmtId="0" fontId="135" fillId="0" borderId="0" xfId="0" applyFont="1" applyAlignment="1">
      <alignment horizontal="center"/>
    </xf>
    <xf numFmtId="0" fontId="13" fillId="35" borderId="32" xfId="0" applyNumberFormat="1" applyFont="1" applyFill="1" applyBorder="1" applyAlignment="1">
      <alignment horizontal="center"/>
    </xf>
    <xf numFmtId="10" fontId="19" fillId="0" borderId="0" xfId="178" applyNumberFormat="1" applyFont="1" applyFill="1" applyAlignment="1">
      <alignment vertical="center"/>
    </xf>
    <xf numFmtId="0" fontId="13" fillId="0" borderId="0" xfId="56" applyNumberFormat="1" applyFont="1" applyFill="1" applyAlignment="1">
      <alignment horizontal="center" vertical="center" wrapText="1"/>
    </xf>
    <xf numFmtId="165" fontId="19" fillId="0" borderId="0" xfId="56" applyFont="1" applyFill="1" applyAlignment="1">
      <alignment vertical="center"/>
    </xf>
    <xf numFmtId="165" fontId="19" fillId="0" borderId="0" xfId="56" applyFont="1" applyFill="1" applyBorder="1" applyAlignment="1">
      <alignment vertical="center" wrapText="1"/>
    </xf>
    <xf numFmtId="165" fontId="19" fillId="0" borderId="0" xfId="56" applyFont="1" applyFill="1" applyBorder="1" applyAlignment="1">
      <alignment horizontal="left"/>
    </xf>
    <xf numFmtId="165" fontId="13" fillId="0" borderId="17" xfId="56" applyFont="1" applyFill="1" applyBorder="1" applyAlignment="1">
      <alignment vertical="center"/>
    </xf>
    <xf numFmtId="165" fontId="13" fillId="0" borderId="8" xfId="56" applyFont="1" applyFill="1" applyBorder="1" applyAlignment="1">
      <alignment vertical="center"/>
    </xf>
    <xf numFmtId="0" fontId="144" fillId="0" borderId="0" xfId="0" applyFont="1"/>
    <xf numFmtId="0" fontId="134" fillId="0" borderId="0" xfId="0" applyFont="1" applyBorder="1" applyAlignment="1">
      <alignment horizontal="left" vertical="center"/>
    </xf>
    <xf numFmtId="0" fontId="136" fillId="0" borderId="0" xfId="0" applyFont="1" applyAlignment="1">
      <alignment vertical="center"/>
    </xf>
    <xf numFmtId="0" fontId="145" fillId="35" borderId="0" xfId="0" applyFont="1" applyFill="1" applyBorder="1" applyAlignment="1">
      <alignment horizontal="right" vertical="center"/>
    </xf>
    <xf numFmtId="0" fontId="138" fillId="0" borderId="0" xfId="0" applyFont="1"/>
    <xf numFmtId="14" fontId="143" fillId="35" borderId="0" xfId="0" applyNumberFormat="1" applyFont="1" applyFill="1" applyBorder="1" applyAlignment="1">
      <alignment horizontal="left"/>
    </xf>
    <xf numFmtId="0" fontId="140" fillId="0" borderId="122" xfId="0" applyFont="1" applyBorder="1" applyAlignment="1">
      <alignment vertical="center" wrapText="1"/>
    </xf>
    <xf numFmtId="0" fontId="140" fillId="0" borderId="123" xfId="0" applyFont="1" applyBorder="1" applyAlignment="1">
      <alignment vertical="center" wrapText="1"/>
    </xf>
    <xf numFmtId="0" fontId="140" fillId="0" borderId="123" xfId="0" applyFont="1" applyBorder="1" applyAlignment="1">
      <alignment horizontal="left" vertical="center" wrapText="1"/>
    </xf>
    <xf numFmtId="9" fontId="140" fillId="0" borderId="123" xfId="0" applyNumberFormat="1" applyFont="1" applyBorder="1" applyAlignment="1">
      <alignment horizontal="left" vertical="center" wrapText="1"/>
    </xf>
    <xf numFmtId="0" fontId="140" fillId="0" borderId="124" xfId="0" applyFont="1" applyFill="1" applyBorder="1" applyAlignment="1">
      <alignment vertical="center" wrapText="1"/>
    </xf>
    <xf numFmtId="0" fontId="140" fillId="0" borderId="125" xfId="0" applyFont="1" applyBorder="1" applyAlignment="1">
      <alignment vertical="center" wrapText="1"/>
    </xf>
    <xf numFmtId="0" fontId="140" fillId="0" borderId="0" xfId="0" applyFont="1" applyBorder="1" applyAlignment="1">
      <alignment vertical="center" wrapText="1"/>
    </xf>
    <xf numFmtId="169" fontId="140" fillId="0" borderId="0" xfId="0" applyNumberFormat="1" applyFont="1" applyBorder="1" applyAlignment="1">
      <alignment vertical="center"/>
    </xf>
    <xf numFmtId="14" fontId="140" fillId="0" borderId="126" xfId="0" applyNumberFormat="1" applyFont="1" applyBorder="1" applyAlignment="1">
      <alignment horizontal="center" vertical="center" wrapText="1"/>
    </xf>
    <xf numFmtId="0" fontId="66" fillId="0" borderId="126" xfId="0" applyFont="1" applyBorder="1" applyAlignment="1">
      <alignment horizontal="center" vertical="center"/>
    </xf>
    <xf numFmtId="0" fontId="66" fillId="0" borderId="126" xfId="0" applyFont="1" applyBorder="1" applyAlignment="1">
      <alignment vertical="center"/>
    </xf>
    <xf numFmtId="0" fontId="140" fillId="0" borderId="126" xfId="0" applyFont="1" applyBorder="1" applyAlignment="1">
      <alignment vertical="center" wrapText="1"/>
    </xf>
    <xf numFmtId="0" fontId="135" fillId="0" borderId="0" xfId="0" applyFont="1" applyAlignment="1">
      <alignment horizontal="left"/>
    </xf>
    <xf numFmtId="0" fontId="147" fillId="0" borderId="0" xfId="0" applyFont="1" applyAlignment="1">
      <alignment horizontal="center"/>
    </xf>
    <xf numFmtId="0" fontId="147" fillId="0" borderId="0" xfId="0" applyFont="1" applyAlignment="1"/>
    <xf numFmtId="169" fontId="140" fillId="25" borderId="85" xfId="0" applyNumberFormat="1" applyFont="1" applyFill="1" applyBorder="1" applyAlignment="1">
      <alignment vertical="center"/>
    </xf>
    <xf numFmtId="0" fontId="143" fillId="25" borderId="124" xfId="0" applyFont="1" applyFill="1" applyBorder="1" applyAlignment="1">
      <alignment vertical="center"/>
    </xf>
    <xf numFmtId="0" fontId="143" fillId="25" borderId="127" xfId="0" applyNumberFormat="1" applyFont="1" applyFill="1" applyBorder="1" applyAlignment="1">
      <alignment horizontal="center" vertical="center"/>
    </xf>
    <xf numFmtId="0" fontId="143" fillId="25" borderId="127" xfId="0" applyFont="1" applyFill="1" applyBorder="1" applyAlignment="1">
      <alignment horizontal="center" vertical="center"/>
    </xf>
    <xf numFmtId="0" fontId="143" fillId="25" borderId="122" xfId="0" applyFont="1" applyFill="1" applyBorder="1" applyAlignment="1">
      <alignment vertical="center" wrapText="1"/>
    </xf>
    <xf numFmtId="0" fontId="140" fillId="0" borderId="0" xfId="0" applyFont="1" applyBorder="1" applyAlignment="1">
      <alignment horizontal="left" vertical="center" wrapText="1"/>
    </xf>
    <xf numFmtId="0" fontId="0" fillId="0" borderId="0" xfId="0" applyBorder="1" applyAlignment="1">
      <alignment horizontal="left" vertical="center" wrapText="1"/>
    </xf>
    <xf numFmtId="222" fontId="140" fillId="0" borderId="0" xfId="0" applyNumberFormat="1" applyFont="1" applyBorder="1" applyAlignment="1">
      <alignment horizontal="left" vertical="center" wrapText="1"/>
    </xf>
    <xf numFmtId="199" fontId="66" fillId="0" borderId="126" xfId="0" applyNumberFormat="1" applyFont="1" applyBorder="1" applyAlignment="1">
      <alignment horizontal="center" vertical="center"/>
    </xf>
    <xf numFmtId="0" fontId="143" fillId="25" borderId="136" xfId="0" applyFont="1" applyFill="1" applyBorder="1" applyAlignment="1">
      <alignment vertical="center"/>
    </xf>
    <xf numFmtId="0" fontId="140" fillId="0" borderId="137" xfId="0" applyFont="1" applyBorder="1" applyAlignment="1">
      <alignment vertical="center" wrapText="1"/>
    </xf>
    <xf numFmtId="0" fontId="143" fillId="25" borderId="137" xfId="0" applyFont="1" applyFill="1" applyBorder="1" applyAlignment="1">
      <alignment vertical="center" wrapText="1"/>
    </xf>
    <xf numFmtId="0" fontId="140" fillId="0" borderId="136" xfId="0" applyFont="1" applyFill="1" applyBorder="1" applyAlignment="1">
      <alignment vertical="center" wrapText="1"/>
    </xf>
    <xf numFmtId="0" fontId="140" fillId="0" borderId="138" xfId="0" applyFont="1" applyBorder="1" applyAlignment="1">
      <alignment vertical="center" wrapText="1"/>
    </xf>
    <xf numFmtId="0" fontId="140" fillId="0" borderId="139" xfId="0" applyFont="1" applyBorder="1" applyAlignment="1">
      <alignment vertical="center" wrapText="1"/>
    </xf>
    <xf numFmtId="0" fontId="143" fillId="0" borderId="140" xfId="0" applyFont="1" applyBorder="1" applyAlignment="1">
      <alignment vertical="center" wrapText="1"/>
    </xf>
    <xf numFmtId="0" fontId="143" fillId="0" borderId="141" xfId="0" applyFont="1" applyBorder="1" applyAlignment="1">
      <alignment vertical="center" wrapText="1"/>
    </xf>
    <xf numFmtId="14" fontId="140" fillId="0" borderId="142" xfId="0" applyNumberFormat="1" applyFont="1" applyBorder="1" applyAlignment="1">
      <alignment horizontal="center" vertical="center" wrapText="1"/>
    </xf>
    <xf numFmtId="199" fontId="66" fillId="0" borderId="142" xfId="0" applyNumberFormat="1" applyFont="1" applyBorder="1" applyAlignment="1">
      <alignment horizontal="center" vertical="center"/>
    </xf>
    <xf numFmtId="0" fontId="66" fillId="0" borderId="142" xfId="0" applyFont="1" applyBorder="1" applyAlignment="1">
      <alignment horizontal="center" vertical="center"/>
    </xf>
    <xf numFmtId="0" fontId="23" fillId="0" borderId="20" xfId="143" applyFont="1" applyBorder="1"/>
    <xf numFmtId="0" fontId="22" fillId="0" borderId="0" xfId="0" applyFont="1" applyFill="1" applyBorder="1" applyAlignment="1">
      <alignment horizontal="center" vertical="top"/>
    </xf>
    <xf numFmtId="0" fontId="18" fillId="0" borderId="0" xfId="0" applyFont="1" applyFill="1" applyBorder="1" applyAlignment="1">
      <alignment horizontal="center"/>
    </xf>
    <xf numFmtId="0" fontId="18" fillId="0" borderId="0" xfId="0" applyFont="1" applyFill="1" applyAlignment="1">
      <alignment horizontal="left"/>
    </xf>
    <xf numFmtId="165" fontId="13" fillId="0" borderId="0" xfId="56" applyFont="1" applyFill="1" applyAlignment="1">
      <alignment horizontal="center"/>
    </xf>
    <xf numFmtId="166" fontId="13" fillId="0" borderId="8" xfId="56" applyNumberFormat="1" applyFont="1" applyFill="1" applyBorder="1"/>
    <xf numFmtId="0" fontId="50" fillId="0" borderId="0" xfId="0" applyFont="1" applyFill="1"/>
    <xf numFmtId="0" fontId="18" fillId="0" borderId="0" xfId="56" applyNumberFormat="1" applyFont="1" applyFill="1" applyBorder="1" applyAlignment="1">
      <alignment horizontal="right"/>
    </xf>
    <xf numFmtId="173" fontId="19" fillId="0" borderId="0" xfId="0" applyNumberFormat="1" applyFont="1" applyFill="1" applyBorder="1" applyAlignment="1">
      <alignment horizontal="center"/>
    </xf>
    <xf numFmtId="0" fontId="36" fillId="0" borderId="0" xfId="131" applyFont="1" applyFill="1" applyBorder="1" applyAlignment="1" applyProtection="1">
      <alignment horizontal="center"/>
    </xf>
    <xf numFmtId="0" fontId="27" fillId="0" borderId="0" xfId="131" applyFill="1" applyBorder="1" applyAlignment="1" applyProtection="1">
      <alignment horizontal="right" vertical="top"/>
    </xf>
    <xf numFmtId="166" fontId="19" fillId="0" borderId="0" xfId="41" applyFont="1" applyFill="1" applyBorder="1"/>
    <xf numFmtId="0" fontId="13" fillId="0" borderId="0" xfId="41" applyNumberFormat="1" applyFont="1" applyFill="1" applyBorder="1" applyAlignment="1">
      <alignment horizontal="center"/>
    </xf>
    <xf numFmtId="178" fontId="19" fillId="0" borderId="0" xfId="41" applyNumberFormat="1" applyFont="1" applyFill="1" applyBorder="1"/>
    <xf numFmtId="178" fontId="19" fillId="0" borderId="0" xfId="0" applyNumberFormat="1" applyFont="1" applyFill="1" applyBorder="1"/>
    <xf numFmtId="166" fontId="19" fillId="0" borderId="0" xfId="41" applyNumberFormat="1" applyFont="1" applyFill="1" applyBorder="1"/>
    <xf numFmtId="166" fontId="13" fillId="0" borderId="0" xfId="41" applyNumberFormat="1" applyFont="1" applyFill="1" applyBorder="1" applyAlignment="1">
      <alignment horizontal="center"/>
    </xf>
    <xf numFmtId="178" fontId="37" fillId="0" borderId="0" xfId="0" applyNumberFormat="1" applyFont="1" applyFill="1" applyBorder="1" applyAlignment="1">
      <alignment horizontal="center"/>
    </xf>
    <xf numFmtId="0" fontId="19" fillId="0" borderId="0" xfId="41" applyNumberFormat="1" applyFont="1" applyFill="1" applyBorder="1" applyAlignment="1">
      <alignment horizontal="left" wrapText="1"/>
    </xf>
    <xf numFmtId="178" fontId="13" fillId="0" borderId="0" xfId="41" applyNumberFormat="1" applyFont="1" applyFill="1" applyBorder="1"/>
    <xf numFmtId="178" fontId="13" fillId="0" borderId="0" xfId="41" applyNumberFormat="1" applyFont="1" applyFill="1"/>
    <xf numFmtId="178" fontId="19" fillId="0" borderId="0" xfId="0" applyNumberFormat="1" applyFont="1" applyFill="1"/>
    <xf numFmtId="49" fontId="19" fillId="0" borderId="0" xfId="41" applyNumberFormat="1" applyFont="1" applyFill="1" applyBorder="1" applyAlignment="1">
      <alignment horizontal="center" vertical="top" wrapText="1"/>
    </xf>
    <xf numFmtId="0" fontId="18" fillId="0" borderId="0" xfId="0" applyFont="1" applyFill="1" applyBorder="1" applyAlignment="1">
      <alignment horizontal="right" vertical="top"/>
    </xf>
    <xf numFmtId="0" fontId="35" fillId="0" borderId="0" xfId="0" applyFont="1" applyFill="1" applyAlignment="1">
      <alignment horizontal="center"/>
    </xf>
    <xf numFmtId="9" fontId="19" fillId="0" borderId="0" xfId="178" applyFont="1" applyFill="1" applyAlignment="1">
      <alignment horizontal="center"/>
    </xf>
    <xf numFmtId="165" fontId="13" fillId="0" borderId="0" xfId="56" applyFont="1" applyFill="1"/>
    <xf numFmtId="0" fontId="20" fillId="0" borderId="0" xfId="0" applyFont="1" applyFill="1"/>
    <xf numFmtId="0" fontId="35" fillId="0" borderId="0" xfId="0" applyFont="1" applyFill="1" applyAlignment="1" applyProtection="1">
      <alignment horizontal="center"/>
      <protection hidden="1"/>
    </xf>
    <xf numFmtId="0" fontId="28" fillId="0" borderId="0" xfId="0" applyFont="1" applyFill="1" applyBorder="1"/>
    <xf numFmtId="165" fontId="19" fillId="0" borderId="0" xfId="56" applyFont="1" applyFill="1" applyBorder="1"/>
    <xf numFmtId="9" fontId="19" fillId="0" borderId="0" xfId="178" applyFont="1" applyFill="1" applyBorder="1" applyAlignment="1">
      <alignment horizontal="center"/>
    </xf>
    <xf numFmtId="0" fontId="22" fillId="0" borderId="0" xfId="0" applyFont="1" applyFill="1"/>
    <xf numFmtId="0" fontId="14" fillId="0" borderId="0" xfId="0" applyFont="1" applyFill="1" applyBorder="1"/>
    <xf numFmtId="0" fontId="45" fillId="0" borderId="0" xfId="0" applyFont="1" applyFill="1" applyAlignment="1">
      <alignment horizontal="center"/>
    </xf>
    <xf numFmtId="0" fontId="22" fillId="0" borderId="0" xfId="0" applyFont="1" applyFill="1" applyAlignment="1">
      <alignment horizontal="center"/>
    </xf>
    <xf numFmtId="200" fontId="13" fillId="0" borderId="0" xfId="41" applyNumberFormat="1" applyFont="1" applyFill="1" applyBorder="1" applyAlignment="1">
      <alignment horizontal="right"/>
    </xf>
    <xf numFmtId="178" fontId="19" fillId="0" borderId="17" xfId="41" applyNumberFormat="1" applyFont="1" applyFill="1" applyBorder="1"/>
    <xf numFmtId="0" fontId="13" fillId="0" borderId="0" xfId="0" applyFont="1" applyFill="1" applyBorder="1"/>
    <xf numFmtId="178" fontId="13" fillId="0" borderId="17" xfId="0" applyNumberFormat="1" applyFont="1" applyFill="1" applyBorder="1"/>
    <xf numFmtId="0" fontId="19" fillId="0" borderId="145" xfId="41" applyNumberFormat="1" applyFont="1" applyFill="1" applyBorder="1"/>
    <xf numFmtId="166" fontId="19" fillId="0" borderId="145" xfId="41" applyNumberFormat="1" applyFont="1" applyFill="1" applyBorder="1"/>
    <xf numFmtId="0" fontId="19" fillId="0" borderId="146" xfId="0" applyFont="1" applyFill="1" applyBorder="1"/>
    <xf numFmtId="166" fontId="19" fillId="0" borderId="146" xfId="0" applyNumberFormat="1" applyFont="1" applyFill="1" applyBorder="1"/>
    <xf numFmtId="0" fontId="37" fillId="0" borderId="0" xfId="0" applyFont="1" applyFill="1" applyBorder="1" applyAlignment="1">
      <alignment horizontal="center"/>
    </xf>
    <xf numFmtId="187" fontId="13" fillId="0" borderId="0" xfId="41" applyNumberFormat="1" applyFont="1" applyFill="1" applyBorder="1" applyAlignment="1">
      <alignment horizontal="left"/>
    </xf>
    <xf numFmtId="0" fontId="19" fillId="0" borderId="0" xfId="41" applyNumberFormat="1" applyFont="1" applyFill="1" applyBorder="1"/>
    <xf numFmtId="0" fontId="14" fillId="0" borderId="0" xfId="41" applyNumberFormat="1" applyFont="1" applyFill="1" applyBorder="1"/>
    <xf numFmtId="0" fontId="33" fillId="0" borderId="0" xfId="41" applyNumberFormat="1" applyFont="1" applyFill="1" applyBorder="1"/>
    <xf numFmtId="166" fontId="33" fillId="0" borderId="0" xfId="41" applyFont="1" applyFill="1" applyBorder="1"/>
    <xf numFmtId="0" fontId="19" fillId="0" borderId="0" xfId="41" applyNumberFormat="1" applyFont="1" applyFill="1"/>
    <xf numFmtId="0" fontId="28" fillId="0" borderId="32" xfId="41" applyNumberFormat="1" applyFont="1" applyFill="1" applyBorder="1"/>
    <xf numFmtId="166" fontId="19" fillId="0" borderId="17" xfId="41" applyFont="1" applyFill="1" applyBorder="1"/>
    <xf numFmtId="166" fontId="19" fillId="0" borderId="38" xfId="41" applyFont="1" applyFill="1" applyBorder="1"/>
    <xf numFmtId="0" fontId="13" fillId="0" borderId="0" xfId="41" applyNumberFormat="1" applyFont="1" applyFill="1"/>
    <xf numFmtId="0" fontId="13" fillId="0" borderId="0" xfId="41" applyNumberFormat="1" applyFont="1" applyFill="1" applyBorder="1" applyAlignment="1">
      <alignment horizontal="left"/>
    </xf>
    <xf numFmtId="178" fontId="13" fillId="0" borderId="20" xfId="41" applyNumberFormat="1" applyFont="1" applyFill="1" applyBorder="1"/>
    <xf numFmtId="166" fontId="13" fillId="0" borderId="0" xfId="41" applyFont="1" applyFill="1"/>
    <xf numFmtId="165" fontId="19" fillId="0" borderId="20" xfId="56" applyFont="1" applyFill="1" applyBorder="1"/>
    <xf numFmtId="166" fontId="19" fillId="0" borderId="0" xfId="41" applyNumberFormat="1" applyFont="1" applyFill="1"/>
    <xf numFmtId="186" fontId="13" fillId="0" borderId="22" xfId="41" applyNumberFormat="1" applyFont="1" applyFill="1" applyBorder="1"/>
    <xf numFmtId="166" fontId="13" fillId="0" borderId="18" xfId="41" applyFont="1" applyFill="1" applyBorder="1"/>
    <xf numFmtId="166" fontId="13" fillId="0" borderId="26" xfId="41" applyNumberFormat="1" applyFont="1" applyFill="1" applyBorder="1"/>
    <xf numFmtId="178" fontId="19" fillId="0" borderId="20" xfId="41" applyNumberFormat="1" applyFont="1" applyFill="1" applyBorder="1"/>
    <xf numFmtId="186" fontId="13" fillId="0" borderId="23" xfId="41" applyNumberFormat="1" applyFont="1" applyFill="1" applyBorder="1" applyAlignment="1">
      <alignment vertical="top" wrapText="1"/>
    </xf>
    <xf numFmtId="178" fontId="13" fillId="0" borderId="8" xfId="41" applyNumberFormat="1" applyFont="1" applyFill="1" applyBorder="1"/>
    <xf numFmtId="166" fontId="13" fillId="0" borderId="25" xfId="41" applyFont="1" applyFill="1" applyBorder="1"/>
    <xf numFmtId="166" fontId="13" fillId="0" borderId="20" xfId="41" applyFont="1" applyFill="1" applyBorder="1"/>
    <xf numFmtId="166" fontId="13" fillId="0" borderId="0" xfId="41" applyFont="1" applyFill="1" applyBorder="1"/>
    <xf numFmtId="166" fontId="13" fillId="0" borderId="0" xfId="41" applyNumberFormat="1" applyFont="1" applyFill="1" applyBorder="1"/>
    <xf numFmtId="166" fontId="33" fillId="0" borderId="0" xfId="41" applyFont="1" applyFill="1"/>
    <xf numFmtId="164" fontId="13" fillId="0" borderId="0" xfId="41" applyNumberFormat="1" applyFont="1" applyFill="1"/>
    <xf numFmtId="166" fontId="13" fillId="0" borderId="17" xfId="41" applyFont="1" applyFill="1" applyBorder="1"/>
    <xf numFmtId="164" fontId="13" fillId="0" borderId="17" xfId="41" applyNumberFormat="1" applyFont="1" applyFill="1" applyBorder="1"/>
    <xf numFmtId="166" fontId="13" fillId="0" borderId="38" xfId="41" applyFont="1" applyFill="1" applyBorder="1"/>
    <xf numFmtId="0" fontId="19" fillId="0" borderId="0" xfId="0" applyFont="1" applyFill="1" applyAlignment="1">
      <alignment horizontal="right"/>
    </xf>
    <xf numFmtId="178" fontId="19" fillId="0" borderId="8" xfId="0" applyNumberFormat="1" applyFont="1" applyFill="1" applyBorder="1"/>
    <xf numFmtId="0" fontId="19" fillId="0" borderId="0" xfId="56" applyNumberFormat="1" applyFont="1" applyFill="1" applyAlignment="1">
      <alignment horizontal="centerContinuous" vertical="center"/>
    </xf>
    <xf numFmtId="0" fontId="13" fillId="0" borderId="0" xfId="178" applyNumberFormat="1" applyFont="1" applyFill="1" applyAlignment="1">
      <alignment horizontal="center" vertical="center"/>
    </xf>
    <xf numFmtId="0" fontId="13" fillId="0" borderId="0" xfId="56" applyNumberFormat="1" applyFont="1" applyFill="1" applyAlignment="1">
      <alignment horizontal="center" vertical="center"/>
    </xf>
    <xf numFmtId="9" fontId="19" fillId="0" borderId="0" xfId="178" applyFont="1" applyFill="1" applyAlignment="1">
      <alignment vertical="center"/>
    </xf>
    <xf numFmtId="0" fontId="19" fillId="0" borderId="0" xfId="0" applyNumberFormat="1" applyFont="1" applyFill="1" applyAlignment="1">
      <alignment horizontal="left" vertical="center" indent="1"/>
    </xf>
    <xf numFmtId="0" fontId="13" fillId="0" borderId="0" xfId="0" applyNumberFormat="1" applyFont="1" applyFill="1" applyAlignment="1">
      <alignment horizontal="left" vertical="center"/>
    </xf>
    <xf numFmtId="0" fontId="19" fillId="0" borderId="0" xfId="178" applyNumberFormat="1" applyFont="1" applyFill="1" applyBorder="1" applyAlignment="1">
      <alignment vertical="center"/>
    </xf>
    <xf numFmtId="0" fontId="14" fillId="0" borderId="0" xfId="0" applyNumberFormat="1" applyFont="1" applyFill="1" applyAlignment="1">
      <alignment vertical="center"/>
    </xf>
    <xf numFmtId="199" fontId="13" fillId="0" borderId="17" xfId="56" applyNumberFormat="1" applyFont="1" applyFill="1" applyBorder="1" applyAlignment="1">
      <alignment vertical="center"/>
    </xf>
    <xf numFmtId="199" fontId="13" fillId="0" borderId="0" xfId="56" applyNumberFormat="1" applyFont="1" applyFill="1" applyAlignment="1">
      <alignment vertical="center"/>
    </xf>
    <xf numFmtId="199" fontId="19" fillId="0" borderId="18" xfId="56" applyNumberFormat="1" applyFont="1" applyFill="1" applyBorder="1" applyAlignment="1">
      <alignment vertical="center"/>
    </xf>
    <xf numFmtId="9" fontId="13" fillId="0" borderId="0" xfId="178" applyFont="1" applyFill="1" applyAlignment="1">
      <alignment vertical="center"/>
    </xf>
    <xf numFmtId="199" fontId="13" fillId="0" borderId="18" xfId="56" applyNumberFormat="1" applyFont="1" applyFill="1" applyBorder="1" applyAlignment="1">
      <alignment vertical="center"/>
    </xf>
    <xf numFmtId="0" fontId="13" fillId="0" borderId="0" xfId="56" applyNumberFormat="1" applyFont="1" applyFill="1" applyAlignment="1">
      <alignment horizontal="centerContinuous" vertical="center"/>
    </xf>
    <xf numFmtId="217" fontId="13" fillId="35" borderId="20" xfId="56" applyNumberFormat="1" applyFont="1" applyFill="1" applyBorder="1"/>
    <xf numFmtId="0" fontId="18" fillId="0" borderId="32" xfId="0" applyNumberFormat="1" applyFont="1" applyFill="1" applyBorder="1" applyAlignment="1">
      <alignment horizontal="centerContinuous" vertical="center"/>
    </xf>
    <xf numFmtId="0" fontId="18" fillId="0" borderId="17" xfId="0" applyNumberFormat="1" applyFont="1" applyFill="1" applyBorder="1" applyAlignment="1">
      <alignment horizontal="centerContinuous" vertical="center"/>
    </xf>
    <xf numFmtId="0" fontId="18" fillId="0" borderId="38" xfId="0" applyNumberFormat="1" applyFont="1" applyFill="1" applyBorder="1" applyAlignment="1">
      <alignment horizontal="centerContinuous" vertical="center"/>
    </xf>
    <xf numFmtId="0" fontId="19" fillId="0" borderId="81" xfId="0" applyNumberFormat="1" applyFont="1" applyFill="1" applyBorder="1" applyAlignment="1">
      <alignment vertical="center"/>
    </xf>
    <xf numFmtId="0" fontId="19" fillId="0" borderId="120" xfId="56" applyNumberFormat="1" applyFont="1" applyFill="1" applyBorder="1" applyAlignment="1">
      <alignment vertical="center"/>
    </xf>
    <xf numFmtId="0" fontId="19" fillId="0" borderId="120" xfId="178" applyNumberFormat="1" applyFont="1" applyFill="1" applyBorder="1" applyAlignment="1">
      <alignment vertical="center"/>
    </xf>
    <xf numFmtId="0" fontId="19" fillId="0" borderId="76" xfId="56" applyNumberFormat="1" applyFont="1" applyFill="1" applyBorder="1" applyAlignment="1">
      <alignment vertical="center"/>
    </xf>
    <xf numFmtId="0" fontId="19" fillId="0" borderId="75" xfId="0" applyNumberFormat="1" applyFont="1" applyFill="1" applyBorder="1" applyAlignment="1">
      <alignment vertical="center"/>
    </xf>
    <xf numFmtId="0" fontId="19" fillId="0" borderId="5" xfId="56" applyNumberFormat="1" applyFont="1" applyFill="1" applyBorder="1" applyAlignment="1">
      <alignment vertical="center"/>
    </xf>
    <xf numFmtId="0" fontId="19" fillId="0" borderId="5" xfId="178" applyNumberFormat="1" applyFont="1" applyFill="1" applyBorder="1" applyAlignment="1">
      <alignment vertical="center"/>
    </xf>
    <xf numFmtId="0" fontId="19" fillId="0" borderId="40" xfId="56" applyNumberFormat="1" applyFont="1" applyFill="1" applyBorder="1" applyAlignment="1">
      <alignment vertical="center"/>
    </xf>
    <xf numFmtId="0" fontId="19" fillId="0" borderId="82" xfId="0" applyNumberFormat="1" applyFont="1" applyFill="1" applyBorder="1" applyAlignment="1">
      <alignment vertical="center"/>
    </xf>
    <xf numFmtId="0" fontId="19" fillId="0" borderId="6" xfId="56" applyNumberFormat="1" applyFont="1" applyFill="1" applyBorder="1" applyAlignment="1">
      <alignment vertical="center"/>
    </xf>
    <xf numFmtId="0" fontId="19" fillId="0" borderId="6" xfId="178" applyNumberFormat="1" applyFont="1" applyFill="1" applyBorder="1" applyAlignment="1">
      <alignment vertical="center"/>
    </xf>
    <xf numFmtId="0" fontId="19" fillId="0" borderId="73" xfId="56" applyNumberFormat="1" applyFont="1" applyFill="1" applyBorder="1" applyAlignment="1">
      <alignment vertical="center"/>
    </xf>
    <xf numFmtId="0" fontId="13" fillId="0" borderId="78" xfId="56" applyNumberFormat="1" applyFont="1" applyFill="1" applyBorder="1" applyAlignment="1">
      <alignment horizontal="center" vertical="center" wrapText="1"/>
    </xf>
    <xf numFmtId="0" fontId="13" fillId="0" borderId="78" xfId="178" applyNumberFormat="1" applyFont="1" applyFill="1" applyBorder="1" applyAlignment="1">
      <alignment horizontal="center" vertical="center" wrapText="1"/>
    </xf>
    <xf numFmtId="0" fontId="13" fillId="0" borderId="147" xfId="0" applyNumberFormat="1" applyFont="1" applyFill="1" applyBorder="1" applyAlignment="1">
      <alignment horizontal="center" vertical="center" wrapText="1"/>
    </xf>
    <xf numFmtId="0" fontId="13" fillId="0" borderId="79" xfId="0" applyNumberFormat="1" applyFont="1" applyFill="1" applyBorder="1" applyAlignment="1">
      <alignment horizontal="center" vertical="center" wrapText="1"/>
    </xf>
    <xf numFmtId="0" fontId="152" fillId="0" borderId="0" xfId="0" applyNumberFormat="1" applyFont="1" applyFill="1" applyBorder="1" applyAlignment="1">
      <alignment vertical="center"/>
    </xf>
    <xf numFmtId="0" fontId="36" fillId="0" borderId="0" xfId="131" applyFont="1" applyFill="1" applyAlignment="1" applyProtection="1">
      <alignment horizontal="left" vertical="top"/>
    </xf>
    <xf numFmtId="165" fontId="19" fillId="0" borderId="0" xfId="56" applyFont="1" applyFill="1" applyAlignment="1">
      <alignment horizontal="center"/>
    </xf>
    <xf numFmtId="165" fontId="19" fillId="0" borderId="18" xfId="56" applyFont="1" applyFill="1" applyBorder="1" applyAlignment="1">
      <alignment horizontal="center"/>
    </xf>
    <xf numFmtId="0" fontId="19" fillId="0" borderId="18" xfId="0" applyFont="1" applyFill="1" applyBorder="1" applyAlignment="1">
      <alignment horizontal="center"/>
    </xf>
    <xf numFmtId="165" fontId="19" fillId="0" borderId="20" xfId="56" applyFont="1" applyFill="1" applyBorder="1" applyAlignment="1">
      <alignment horizontal="center"/>
    </xf>
    <xf numFmtId="0" fontId="14" fillId="0" borderId="22" xfId="0" applyFont="1" applyFill="1" applyBorder="1"/>
    <xf numFmtId="0" fontId="19" fillId="0" borderId="18" xfId="0" applyFont="1" applyFill="1" applyBorder="1"/>
    <xf numFmtId="165" fontId="19" fillId="0" borderId="18" xfId="56" applyFont="1" applyFill="1" applyBorder="1"/>
    <xf numFmtId="0" fontId="19" fillId="0" borderId="26" xfId="0" applyFont="1" applyFill="1" applyBorder="1"/>
    <xf numFmtId="165" fontId="13" fillId="0" borderId="0" xfId="56" applyFont="1" applyFill="1" applyBorder="1" applyAlignment="1">
      <alignment horizontal="center"/>
    </xf>
    <xf numFmtId="165" fontId="13" fillId="0" borderId="24" xfId="56" applyFont="1" applyFill="1" applyBorder="1" applyAlignment="1">
      <alignment horizontal="center"/>
    </xf>
    <xf numFmtId="0" fontId="13" fillId="0" borderId="23" xfId="0" applyFont="1" applyFill="1" applyBorder="1"/>
    <xf numFmtId="165" fontId="13" fillId="0" borderId="0" xfId="56" applyFont="1" applyFill="1" applyBorder="1"/>
    <xf numFmtId="14" fontId="13" fillId="0" borderId="0" xfId="0" applyNumberFormat="1" applyFont="1" applyFill="1" applyBorder="1"/>
    <xf numFmtId="181" fontId="19" fillId="0" borderId="0" xfId="56" applyNumberFormat="1" applyFont="1" applyFill="1" applyBorder="1"/>
    <xf numFmtId="166" fontId="19" fillId="0" borderId="0" xfId="56" applyNumberFormat="1" applyFont="1" applyFill="1" applyBorder="1"/>
    <xf numFmtId="166" fontId="19" fillId="0" borderId="24" xfId="56" applyNumberFormat="1" applyFont="1" applyFill="1" applyBorder="1" applyAlignment="1">
      <alignment horizontal="right"/>
    </xf>
    <xf numFmtId="0" fontId="19" fillId="0" borderId="22" xfId="0" applyFont="1" applyFill="1" applyBorder="1" applyAlignment="1">
      <alignment horizontal="left"/>
    </xf>
    <xf numFmtId="0" fontId="19" fillId="0" borderId="18" xfId="0" applyFont="1" applyFill="1" applyBorder="1" applyAlignment="1">
      <alignment horizontal="left"/>
    </xf>
    <xf numFmtId="166" fontId="19" fillId="0" borderId="18" xfId="56" applyNumberFormat="1" applyFont="1" applyFill="1" applyBorder="1"/>
    <xf numFmtId="166" fontId="13" fillId="0" borderId="41" xfId="56" applyNumberFormat="1" applyFont="1" applyFill="1" applyBorder="1" applyAlignment="1">
      <alignment horizontal="right"/>
    </xf>
    <xf numFmtId="0" fontId="19" fillId="0" borderId="25" xfId="0" applyFont="1" applyFill="1" applyBorder="1"/>
    <xf numFmtId="0" fontId="19" fillId="0" borderId="20" xfId="0" applyFont="1" applyFill="1" applyBorder="1"/>
    <xf numFmtId="0" fontId="19" fillId="0" borderId="149" xfId="0" applyFont="1" applyFill="1" applyBorder="1"/>
    <xf numFmtId="0" fontId="19" fillId="0" borderId="23" xfId="0" applyFont="1" applyFill="1" applyBorder="1"/>
    <xf numFmtId="0" fontId="13" fillId="0" borderId="0" xfId="56" applyNumberFormat="1" applyFont="1" applyFill="1" applyBorder="1" applyAlignment="1">
      <alignment horizontal="center"/>
    </xf>
    <xf numFmtId="0" fontId="19" fillId="0" borderId="0" xfId="56" applyNumberFormat="1" applyFont="1" applyFill="1" applyBorder="1"/>
    <xf numFmtId="166" fontId="13" fillId="0" borderId="0" xfId="56" applyNumberFormat="1" applyFont="1" applyFill="1" applyBorder="1"/>
    <xf numFmtId="166" fontId="19" fillId="0" borderId="0" xfId="56" applyNumberFormat="1" applyFont="1" applyFill="1" applyBorder="1" applyAlignment="1">
      <alignment horizontal="right"/>
    </xf>
    <xf numFmtId="0" fontId="19" fillId="0" borderId="23" xfId="0" applyFont="1" applyFill="1" applyBorder="1" applyAlignment="1">
      <alignment horizontal="left"/>
    </xf>
    <xf numFmtId="166" fontId="13" fillId="0" borderId="8" xfId="56" applyNumberFormat="1" applyFont="1" applyFill="1" applyBorder="1" applyAlignment="1">
      <alignment horizontal="center"/>
    </xf>
    <xf numFmtId="0" fontId="19" fillId="0" borderId="20" xfId="0" applyNumberFormat="1" applyFont="1" applyFill="1" applyBorder="1"/>
    <xf numFmtId="0" fontId="19" fillId="0" borderId="20" xfId="56" applyNumberFormat="1" applyFont="1" applyFill="1" applyBorder="1"/>
    <xf numFmtId="0" fontId="19" fillId="0" borderId="27" xfId="0" applyFont="1" applyFill="1" applyBorder="1"/>
    <xf numFmtId="0" fontId="19" fillId="0" borderId="29" xfId="0" applyFont="1" applyFill="1" applyBorder="1" applyAlignment="1">
      <alignment horizontal="center"/>
    </xf>
    <xf numFmtId="165" fontId="13" fillId="0" borderId="0" xfId="56" applyFont="1" applyFill="1" applyAlignment="1">
      <alignment horizontal="right"/>
    </xf>
    <xf numFmtId="165" fontId="19" fillId="0" borderId="0" xfId="56" applyFont="1" applyFill="1" applyBorder="1" applyAlignment="1">
      <alignment horizontal="center"/>
    </xf>
    <xf numFmtId="166" fontId="22" fillId="35" borderId="24" xfId="0" applyNumberFormat="1" applyFont="1" applyFill="1" applyBorder="1"/>
    <xf numFmtId="166" fontId="22" fillId="35" borderId="0" xfId="41" applyNumberFormat="1" applyFont="1" applyFill="1" applyBorder="1"/>
    <xf numFmtId="166" fontId="22" fillId="35" borderId="0" xfId="0" applyNumberFormat="1" applyFont="1" applyFill="1" applyBorder="1"/>
    <xf numFmtId="166" fontId="22" fillId="35" borderId="25" xfId="0" applyNumberFormat="1" applyFont="1" applyFill="1" applyBorder="1" applyAlignment="1">
      <alignment horizontal="right"/>
    </xf>
    <xf numFmtId="166" fontId="22" fillId="35" borderId="23" xfId="0" applyNumberFormat="1" applyFont="1" applyFill="1" applyBorder="1" applyAlignment="1">
      <alignment horizontal="right"/>
    </xf>
    <xf numFmtId="166" fontId="45" fillId="35" borderId="27" xfId="0" applyNumberFormat="1" applyFont="1" applyFill="1" applyBorder="1" applyAlignment="1">
      <alignment horizontal="right"/>
    </xf>
    <xf numFmtId="166" fontId="45" fillId="35" borderId="24" xfId="0" applyNumberFormat="1" applyFont="1" applyFill="1" applyBorder="1" applyAlignment="1">
      <alignment horizontal="right"/>
    </xf>
    <xf numFmtId="224" fontId="45" fillId="35" borderId="23" xfId="0" applyNumberFormat="1" applyFont="1" applyFill="1" applyBorder="1" applyAlignment="1">
      <alignment horizontal="center"/>
    </xf>
    <xf numFmtId="223" fontId="13" fillId="35" borderId="0" xfId="60" applyNumberFormat="1" applyFont="1" applyFill="1" applyBorder="1" applyAlignment="1"/>
    <xf numFmtId="223" fontId="13" fillId="35" borderId="17" xfId="60" applyNumberFormat="1" applyFont="1" applyFill="1" applyBorder="1" applyAlignment="1"/>
    <xf numFmtId="223" fontId="19" fillId="0" borderId="0" xfId="140" applyNumberFormat="1"/>
    <xf numFmtId="223" fontId="13" fillId="35" borderId="8" xfId="60" applyNumberFormat="1" applyFont="1" applyFill="1" applyBorder="1" applyAlignment="1"/>
    <xf numFmtId="223" fontId="19" fillId="35" borderId="0" xfId="60" applyNumberFormat="1" applyFont="1" applyFill="1" applyAlignment="1"/>
    <xf numFmtId="223" fontId="19" fillId="0" borderId="0" xfId="56" applyNumberFormat="1" applyFont="1" applyFill="1" applyBorder="1" applyAlignment="1">
      <alignment horizontal="right"/>
    </xf>
    <xf numFmtId="223" fontId="19" fillId="0" borderId="0" xfId="56" applyNumberFormat="1" applyFont="1" applyFill="1" applyBorder="1"/>
    <xf numFmtId="223" fontId="13" fillId="0" borderId="8" xfId="56" applyNumberFormat="1" applyFont="1" applyFill="1" applyBorder="1" applyAlignment="1">
      <alignment horizontal="center"/>
    </xf>
    <xf numFmtId="223" fontId="19" fillId="0" borderId="0" xfId="0" applyNumberFormat="1" applyFont="1" applyFill="1" applyBorder="1"/>
    <xf numFmtId="223" fontId="13" fillId="0" borderId="8" xfId="56" applyNumberFormat="1" applyFont="1" applyFill="1" applyBorder="1"/>
    <xf numFmtId="223" fontId="19" fillId="0" borderId="18" xfId="0" applyNumberFormat="1" applyFont="1" applyFill="1" applyBorder="1" applyAlignment="1">
      <alignment horizontal="center"/>
    </xf>
    <xf numFmtId="0" fontId="19" fillId="0" borderId="0" xfId="140"/>
    <xf numFmtId="165" fontId="19" fillId="35" borderId="0" xfId="60" applyFont="1" applyFill="1"/>
    <xf numFmtId="165" fontId="13" fillId="35" borderId="0" xfId="60" applyFont="1" applyFill="1"/>
    <xf numFmtId="165" fontId="150" fillId="35" borderId="0" xfId="60" applyFont="1" applyFill="1"/>
    <xf numFmtId="186" fontId="140" fillId="0" borderId="150" xfId="41" applyNumberFormat="1" applyFont="1" applyBorder="1" applyAlignment="1">
      <alignment vertical="center" wrapText="1"/>
    </xf>
    <xf numFmtId="186" fontId="140" fillId="0" borderId="150" xfId="41" applyNumberFormat="1" applyFont="1" applyBorder="1" applyAlignment="1">
      <alignment vertical="center"/>
    </xf>
    <xf numFmtId="186" fontId="143" fillId="25" borderId="150" xfId="41" applyNumberFormat="1" applyFont="1" applyFill="1" applyBorder="1" applyAlignment="1">
      <alignment vertical="center" wrapText="1"/>
    </xf>
    <xf numFmtId="186" fontId="140" fillId="25" borderId="150" xfId="41" applyNumberFormat="1" applyFont="1" applyFill="1" applyBorder="1" applyAlignment="1">
      <alignment vertical="center"/>
    </xf>
    <xf numFmtId="186" fontId="143" fillId="25" borderId="127" xfId="41" applyNumberFormat="1" applyFont="1" applyFill="1" applyBorder="1" applyAlignment="1">
      <alignment vertical="center"/>
    </xf>
    <xf numFmtId="186" fontId="140" fillId="25" borderId="127" xfId="41" applyNumberFormat="1" applyFont="1" applyFill="1" applyBorder="1" applyAlignment="1">
      <alignment horizontal="center" vertical="center"/>
    </xf>
    <xf numFmtId="186" fontId="140" fillId="0" borderId="127" xfId="41" applyNumberFormat="1" applyFont="1" applyFill="1" applyBorder="1" applyAlignment="1">
      <alignment vertical="center" wrapText="1"/>
    </xf>
    <xf numFmtId="186" fontId="140" fillId="0" borderId="127" xfId="41" applyNumberFormat="1" applyFont="1" applyFill="1" applyBorder="1" applyAlignment="1">
      <alignment vertical="center"/>
    </xf>
    <xf numFmtId="186" fontId="140" fillId="0" borderId="151" xfId="41" applyNumberFormat="1" applyFont="1" applyBorder="1" applyAlignment="1">
      <alignment vertical="center" wrapText="1"/>
    </xf>
    <xf numFmtId="186" fontId="140" fillId="0" borderId="151" xfId="41" applyNumberFormat="1" applyFont="1" applyBorder="1" applyAlignment="1">
      <alignment vertical="center"/>
    </xf>
    <xf numFmtId="186" fontId="140" fillId="0" borderId="126" xfId="41" applyNumberFormat="1" applyFont="1" applyBorder="1" applyAlignment="1">
      <alignment horizontal="center" vertical="center" wrapText="1"/>
    </xf>
    <xf numFmtId="186" fontId="140" fillId="0" borderId="152" xfId="41" applyNumberFormat="1" applyFont="1" applyBorder="1" applyAlignment="1">
      <alignment horizontal="center" vertical="center"/>
    </xf>
    <xf numFmtId="186" fontId="140" fillId="0" borderId="126" xfId="41" applyNumberFormat="1" applyFont="1" applyBorder="1" applyAlignment="1">
      <alignment horizontal="center" vertical="center"/>
    </xf>
    <xf numFmtId="223" fontId="19" fillId="35" borderId="8" xfId="60" applyNumberFormat="1" applyFont="1" applyFill="1" applyBorder="1" applyAlignment="1"/>
    <xf numFmtId="0" fontId="0" fillId="0" borderId="45" xfId="0" applyBorder="1"/>
    <xf numFmtId="0" fontId="0" fillId="0" borderId="42" xfId="0" applyFont="1" applyBorder="1" applyAlignment="1">
      <alignment vertical="center" wrapText="1"/>
    </xf>
    <xf numFmtId="0" fontId="156" fillId="0" borderId="45" xfId="0" applyFont="1" applyFill="1" applyBorder="1"/>
    <xf numFmtId="186" fontId="0" fillId="0" borderId="45" xfId="0" applyNumberFormat="1" applyBorder="1"/>
    <xf numFmtId="0" fontId="19" fillId="0" borderId="120" xfId="56" applyNumberFormat="1" applyFont="1" applyFill="1" applyBorder="1" applyAlignment="1">
      <alignment vertical="center" wrapText="1"/>
    </xf>
    <xf numFmtId="0" fontId="19" fillId="0" borderId="5" xfId="56" applyNumberFormat="1" applyFont="1" applyFill="1" applyBorder="1" applyAlignment="1">
      <alignment vertical="center" wrapText="1"/>
    </xf>
    <xf numFmtId="0" fontId="19" fillId="0" borderId="6" xfId="56" applyNumberFormat="1" applyFont="1" applyFill="1" applyBorder="1" applyAlignment="1">
      <alignment vertical="center" wrapText="1"/>
    </xf>
    <xf numFmtId="226" fontId="19" fillId="0" borderId="120" xfId="56" applyNumberFormat="1" applyFont="1" applyFill="1" applyBorder="1" applyAlignment="1">
      <alignment vertical="center"/>
    </xf>
    <xf numFmtId="226" fontId="19" fillId="0" borderId="5" xfId="56" applyNumberFormat="1" applyFont="1" applyFill="1" applyBorder="1" applyAlignment="1">
      <alignment vertical="center"/>
    </xf>
    <xf numFmtId="226" fontId="19" fillId="0" borderId="6" xfId="56" applyNumberFormat="1" applyFont="1" applyFill="1" applyBorder="1" applyAlignment="1">
      <alignment vertical="center"/>
    </xf>
    <xf numFmtId="227" fontId="19" fillId="0" borderId="120" xfId="56" applyNumberFormat="1" applyFont="1" applyFill="1" applyBorder="1" applyAlignment="1">
      <alignment vertical="center"/>
    </xf>
    <xf numFmtId="227" fontId="19" fillId="0" borderId="5" xfId="56" applyNumberFormat="1" applyFont="1" applyFill="1" applyBorder="1" applyAlignment="1">
      <alignment vertical="center"/>
    </xf>
    <xf numFmtId="227" fontId="19" fillId="0" borderId="6" xfId="56" applyNumberFormat="1" applyFont="1" applyFill="1" applyBorder="1" applyAlignment="1">
      <alignment vertical="center"/>
    </xf>
    <xf numFmtId="0" fontId="32" fillId="0" borderId="0" xfId="143" applyFont="1"/>
    <xf numFmtId="0" fontId="12" fillId="35" borderId="0" xfId="0" applyFont="1" applyFill="1"/>
    <xf numFmtId="0" fontId="23" fillId="0" borderId="18" xfId="143" applyFont="1" applyBorder="1"/>
    <xf numFmtId="166" fontId="24" fillId="35" borderId="0" xfId="41" applyFont="1" applyFill="1"/>
    <xf numFmtId="178" fontId="27" fillId="35" borderId="0" xfId="131" applyNumberFormat="1" applyFill="1" applyAlignment="1" applyProtection="1">
      <alignment horizontal="center"/>
    </xf>
    <xf numFmtId="0" fontId="12" fillId="0" borderId="0" xfId="0" applyFont="1"/>
    <xf numFmtId="0" fontId="12" fillId="0" borderId="0" xfId="143" applyFont="1"/>
    <xf numFmtId="0" fontId="23" fillId="0" borderId="17" xfId="143" applyFont="1" applyBorder="1" applyAlignment="1">
      <alignment horizontal="centerContinuous"/>
    </xf>
    <xf numFmtId="0" fontId="23" fillId="0" borderId="38" xfId="143" applyFont="1" applyBorder="1" applyAlignment="1">
      <alignment horizontal="centerContinuous"/>
    </xf>
    <xf numFmtId="0" fontId="12" fillId="0" borderId="0" xfId="143" applyFont="1" applyAlignment="1">
      <alignment horizontal="right"/>
    </xf>
    <xf numFmtId="0" fontId="12" fillId="0" borderId="0" xfId="143" quotePrefix="1" applyFont="1" applyAlignment="1">
      <alignment horizontal="right"/>
    </xf>
    <xf numFmtId="0" fontId="23" fillId="0" borderId="18" xfId="143" applyFont="1" applyBorder="1" applyAlignment="1">
      <alignment horizontal="centerContinuous"/>
    </xf>
    <xf numFmtId="0" fontId="23" fillId="0" borderId="26" xfId="143" applyFont="1" applyBorder="1" applyAlignment="1">
      <alignment horizontal="centerContinuous"/>
    </xf>
    <xf numFmtId="228" fontId="23" fillId="0" borderId="176" xfId="41" applyNumberFormat="1" applyFont="1" applyBorder="1"/>
    <xf numFmtId="9" fontId="23" fillId="0" borderId="176" xfId="178" applyFont="1" applyBorder="1"/>
    <xf numFmtId="186" fontId="23" fillId="0" borderId="177" xfId="41" applyNumberFormat="1" applyFont="1" applyBorder="1"/>
    <xf numFmtId="9" fontId="23" fillId="0" borderId="177" xfId="178" applyFont="1" applyBorder="1"/>
    <xf numFmtId="186" fontId="23" fillId="0" borderId="178" xfId="41" applyNumberFormat="1" applyFont="1" applyBorder="1"/>
    <xf numFmtId="9" fontId="23" fillId="0" borderId="178" xfId="178" applyFont="1" applyBorder="1"/>
    <xf numFmtId="9" fontId="23" fillId="0" borderId="179" xfId="178" applyFont="1" applyBorder="1"/>
    <xf numFmtId="9" fontId="23" fillId="0" borderId="180" xfId="178" applyFont="1" applyBorder="1"/>
    <xf numFmtId="9" fontId="23" fillId="0" borderId="182" xfId="178" applyFont="1" applyBorder="1"/>
    <xf numFmtId="9" fontId="23" fillId="0" borderId="183" xfId="178" applyFont="1" applyBorder="1"/>
    <xf numFmtId="9" fontId="23" fillId="0" borderId="184" xfId="178" applyFont="1" applyBorder="1"/>
    <xf numFmtId="9" fontId="23" fillId="0" borderId="185" xfId="178" applyFont="1" applyBorder="1"/>
    <xf numFmtId="9" fontId="23" fillId="0" borderId="186" xfId="178" applyFont="1" applyBorder="1"/>
    <xf numFmtId="9" fontId="23" fillId="0" borderId="187" xfId="178" applyFont="1" applyBorder="1"/>
    <xf numFmtId="0" fontId="31" fillId="0" borderId="17" xfId="143" applyFont="1" applyBorder="1" applyAlignment="1">
      <alignment horizontal="centerContinuous"/>
    </xf>
    <xf numFmtId="0" fontId="31" fillId="0" borderId="22" xfId="143" applyFont="1" applyBorder="1" applyAlignment="1">
      <alignment horizontal="centerContinuous"/>
    </xf>
    <xf numFmtId="0" fontId="31" fillId="0" borderId="28" xfId="143" applyFont="1" applyBorder="1" applyAlignment="1">
      <alignment horizontal="center"/>
    </xf>
    <xf numFmtId="230" fontId="31" fillId="0" borderId="31" xfId="143" applyNumberFormat="1" applyFont="1" applyBorder="1" applyAlignment="1">
      <alignment horizontal="center"/>
    </xf>
    <xf numFmtId="14" fontId="31" fillId="0" borderId="185" xfId="143" applyNumberFormat="1" applyFont="1" applyBorder="1"/>
    <xf numFmtId="14" fontId="31" fillId="0" borderId="186" xfId="143" applyNumberFormat="1" applyFont="1" applyBorder="1"/>
    <xf numFmtId="14" fontId="31" fillId="0" borderId="187" xfId="143" applyNumberFormat="1" applyFont="1" applyBorder="1"/>
    <xf numFmtId="0" fontId="52" fillId="0" borderId="14" xfId="0" applyFont="1" applyFill="1" applyBorder="1" applyAlignment="1">
      <alignment horizontal="left" vertical="top" wrapText="1"/>
    </xf>
    <xf numFmtId="0" fontId="19" fillId="44" borderId="0" xfId="0" applyFont="1" applyFill="1"/>
    <xf numFmtId="0" fontId="19" fillId="44" borderId="0" xfId="0" applyFont="1" applyFill="1" applyAlignment="1">
      <alignment vertical="top"/>
    </xf>
    <xf numFmtId="0" fontId="51" fillId="35" borderId="45" xfId="0" applyFont="1" applyFill="1" applyBorder="1" applyProtection="1"/>
    <xf numFmtId="165" fontId="150" fillId="0" borderId="0" xfId="56" applyFont="1" applyFill="1" applyAlignment="1">
      <alignment horizontal="left"/>
    </xf>
    <xf numFmtId="165" fontId="19" fillId="0" borderId="0" xfId="56" applyFont="1" applyFill="1" applyAlignment="1">
      <alignment horizontal="left"/>
    </xf>
    <xf numFmtId="217" fontId="19" fillId="0" borderId="0" xfId="56" applyNumberFormat="1" applyFont="1" applyFill="1" applyAlignment="1">
      <alignment horizontal="center"/>
    </xf>
    <xf numFmtId="0" fontId="12" fillId="35" borderId="0" xfId="0" applyFont="1" applyFill="1" applyBorder="1" applyAlignment="1">
      <alignment horizontal="right"/>
    </xf>
    <xf numFmtId="166" fontId="51" fillId="35" borderId="57" xfId="0" applyNumberFormat="1" applyFont="1" applyFill="1" applyBorder="1" applyAlignment="1" applyProtection="1">
      <protection hidden="1"/>
    </xf>
    <xf numFmtId="0" fontId="15" fillId="45" borderId="0" xfId="0" applyFont="1" applyFill="1" applyBorder="1" applyAlignment="1">
      <alignment horizontal="right"/>
    </xf>
    <xf numFmtId="165" fontId="13" fillId="35" borderId="0" xfId="56" applyFont="1" applyFill="1" applyAlignment="1">
      <alignment horizontal="center" vertical="center"/>
    </xf>
    <xf numFmtId="166" fontId="13" fillId="35" borderId="0" xfId="41" applyNumberFormat="1" applyFont="1" applyFill="1"/>
    <xf numFmtId="166" fontId="19" fillId="35" borderId="0" xfId="148" applyNumberFormat="1" applyFont="1" applyFill="1"/>
    <xf numFmtId="0" fontId="12" fillId="35" borderId="0" xfId="0" quotePrefix="1" applyFont="1" applyFill="1" applyBorder="1" applyAlignment="1">
      <alignment horizontal="right"/>
    </xf>
    <xf numFmtId="0" fontId="51" fillId="35" borderId="0" xfId="0" quotePrefix="1" applyFont="1" applyFill="1" applyBorder="1" applyAlignment="1">
      <alignment horizontal="right"/>
    </xf>
    <xf numFmtId="188" fontId="51" fillId="0" borderId="56" xfId="0" applyNumberFormat="1" applyFont="1" applyFill="1" applyBorder="1" applyProtection="1"/>
    <xf numFmtId="0" fontId="12" fillId="35" borderId="0" xfId="0" applyFont="1" applyFill="1" applyBorder="1"/>
    <xf numFmtId="10" fontId="45" fillId="35" borderId="24" xfId="178" applyNumberFormat="1" applyFont="1" applyFill="1" applyBorder="1" applyAlignment="1">
      <alignment horizontal="center"/>
    </xf>
    <xf numFmtId="4" fontId="45" fillId="35" borderId="24" xfId="178" applyNumberFormat="1" applyFont="1" applyFill="1" applyBorder="1"/>
    <xf numFmtId="14" fontId="45" fillId="35" borderId="24" xfId="178" applyNumberFormat="1" applyFont="1" applyFill="1" applyBorder="1"/>
    <xf numFmtId="0" fontId="19" fillId="35" borderId="0" xfId="0" applyNumberFormat="1" applyFont="1" applyFill="1"/>
    <xf numFmtId="178" fontId="45" fillId="35" borderId="17" xfId="0" applyNumberFormat="1" applyFont="1" applyFill="1" applyBorder="1"/>
    <xf numFmtId="231" fontId="45" fillId="35" borderId="23" xfId="0" applyNumberFormat="1" applyFont="1" applyFill="1" applyBorder="1"/>
    <xf numFmtId="22" fontId="19" fillId="35" borderId="0" xfId="0" applyNumberFormat="1" applyFont="1" applyFill="1"/>
    <xf numFmtId="188" fontId="51" fillId="35" borderId="29" xfId="41" applyNumberFormat="1" applyFont="1" applyFill="1" applyBorder="1" applyProtection="1"/>
    <xf numFmtId="188" fontId="51" fillId="35" borderId="57" xfId="41" applyNumberFormat="1" applyFont="1" applyFill="1" applyBorder="1" applyAlignment="1" applyProtection="1">
      <protection hidden="1"/>
    </xf>
    <xf numFmtId="188" fontId="51" fillId="35" borderId="158" xfId="41" applyNumberFormat="1" applyFont="1" applyFill="1" applyBorder="1" applyAlignment="1" applyProtection="1">
      <protection hidden="1"/>
    </xf>
    <xf numFmtId="191" fontId="51" fillId="35" borderId="159" xfId="56" applyNumberFormat="1" applyFont="1" applyFill="1" applyBorder="1"/>
    <xf numFmtId="188" fontId="51" fillId="35" borderId="106" xfId="0" applyNumberFormat="1" applyFont="1" applyFill="1" applyBorder="1" applyAlignment="1"/>
    <xf numFmtId="188" fontId="51" fillId="35" borderId="144" xfId="41" applyNumberFormat="1" applyFont="1" applyFill="1" applyBorder="1" applyProtection="1"/>
    <xf numFmtId="188" fontId="51" fillId="35" borderId="106" xfId="0" applyNumberFormat="1" applyFont="1" applyFill="1" applyBorder="1"/>
    <xf numFmtId="188" fontId="51" fillId="35" borderId="144" xfId="0" applyNumberFormat="1" applyFont="1" applyFill="1" applyBorder="1" applyProtection="1"/>
    <xf numFmtId="188" fontId="51" fillId="0" borderId="144" xfId="0" applyNumberFormat="1" applyFont="1" applyFill="1" applyBorder="1" applyProtection="1"/>
    <xf numFmtId="188" fontId="51" fillId="47" borderId="74" xfId="41" applyNumberFormat="1" applyFont="1" applyFill="1" applyBorder="1" applyAlignment="1" applyProtection="1">
      <protection locked="0"/>
    </xf>
    <xf numFmtId="188" fontId="51" fillId="47" borderId="56" xfId="41" applyNumberFormat="1" applyFont="1" applyFill="1" applyBorder="1" applyAlignment="1" applyProtection="1">
      <protection locked="0"/>
    </xf>
    <xf numFmtId="188" fontId="51" fillId="35" borderId="160" xfId="41" applyNumberFormat="1" applyFont="1" applyFill="1" applyBorder="1" applyAlignment="1" applyProtection="1">
      <protection hidden="1"/>
    </xf>
    <xf numFmtId="188" fontId="51" fillId="35" borderId="144" xfId="41" applyNumberFormat="1" applyFont="1" applyFill="1" applyBorder="1" applyAlignment="1" applyProtection="1">
      <protection hidden="1"/>
    </xf>
    <xf numFmtId="188" fontId="51" fillId="35" borderId="144" xfId="41" applyNumberFormat="1" applyFont="1" applyFill="1" applyBorder="1" applyAlignment="1"/>
    <xf numFmtId="188" fontId="51" fillId="47" borderId="144" xfId="41" applyNumberFormat="1" applyFont="1" applyFill="1" applyBorder="1" applyAlignment="1" applyProtection="1">
      <protection locked="0"/>
    </xf>
    <xf numFmtId="188" fontId="51" fillId="35" borderId="144" xfId="0" applyNumberFormat="1" applyFont="1" applyFill="1" applyBorder="1" applyProtection="1">
      <protection locked="0"/>
    </xf>
    <xf numFmtId="188" fontId="51" fillId="35" borderId="17" xfId="41" applyNumberFormat="1" applyFont="1" applyFill="1" applyBorder="1" applyAlignment="1" applyProtection="1">
      <protection hidden="1"/>
    </xf>
    <xf numFmtId="0" fontId="51" fillId="46" borderId="0" xfId="0" applyFont="1" applyFill="1" applyBorder="1" applyAlignment="1">
      <alignment horizontal="right"/>
    </xf>
    <xf numFmtId="166" fontId="51" fillId="47" borderId="148" xfId="41" applyFont="1" applyFill="1" applyBorder="1" applyAlignment="1" applyProtection="1">
      <alignment horizontal="center"/>
      <protection locked="0"/>
    </xf>
    <xf numFmtId="188" fontId="51" fillId="47" borderId="60" xfId="41" applyNumberFormat="1" applyFont="1" applyFill="1" applyBorder="1" applyAlignment="1" applyProtection="1">
      <protection locked="0" hidden="1"/>
    </xf>
    <xf numFmtId="188" fontId="51" fillId="47" borderId="115" xfId="41" applyNumberFormat="1" applyFont="1" applyFill="1" applyBorder="1" applyAlignment="1" applyProtection="1">
      <protection locked="0" hidden="1"/>
    </xf>
    <xf numFmtId="188" fontId="51" fillId="47" borderId="56" xfId="0" applyNumberFormat="1" applyFont="1" applyFill="1" applyBorder="1" applyAlignment="1" applyProtection="1">
      <protection locked="0" hidden="1"/>
    </xf>
    <xf numFmtId="188" fontId="51" fillId="35" borderId="162" xfId="0" applyNumberFormat="1" applyFont="1" applyFill="1" applyBorder="1" applyAlignment="1"/>
    <xf numFmtId="188" fontId="51" fillId="35" borderId="38" xfId="0" applyNumberFormat="1" applyFont="1" applyFill="1" applyBorder="1" applyAlignment="1" applyProtection="1">
      <protection hidden="1"/>
    </xf>
    <xf numFmtId="188" fontId="51" fillId="36" borderId="163" xfId="41" applyNumberFormat="1" applyFont="1" applyFill="1" applyBorder="1" applyAlignment="1" applyProtection="1">
      <protection locked="0" hidden="1"/>
    </xf>
    <xf numFmtId="191" fontId="51" fillId="35" borderId="161" xfId="56" applyNumberFormat="1" applyFont="1" applyFill="1" applyBorder="1" applyProtection="1">
      <protection hidden="1"/>
    </xf>
    <xf numFmtId="166" fontId="51" fillId="47" borderId="164" xfId="41" applyFont="1" applyFill="1" applyBorder="1" applyAlignment="1" applyProtection="1">
      <alignment horizontal="center"/>
      <protection locked="0"/>
    </xf>
    <xf numFmtId="188" fontId="51" fillId="47" borderId="163" xfId="41" applyNumberFormat="1" applyFont="1" applyFill="1" applyBorder="1" applyAlignment="1" applyProtection="1">
      <protection locked="0"/>
    </xf>
    <xf numFmtId="188" fontId="51" fillId="35" borderId="106" xfId="0" applyNumberFormat="1" applyFont="1" applyFill="1" applyBorder="1" applyAlignment="1" applyProtection="1">
      <protection hidden="1"/>
    </xf>
    <xf numFmtId="14" fontId="12" fillId="35" borderId="0" xfId="0" applyNumberFormat="1" applyFont="1" applyFill="1"/>
    <xf numFmtId="15" fontId="0" fillId="35" borderId="0" xfId="0" applyNumberFormat="1" applyFill="1" applyBorder="1"/>
    <xf numFmtId="10" fontId="12" fillId="35" borderId="0" xfId="178" applyNumberFormat="1" applyFill="1" applyBorder="1" applyAlignment="1">
      <alignment horizontal="center"/>
    </xf>
    <xf numFmtId="0" fontId="12" fillId="35" borderId="0" xfId="0" applyFont="1" applyFill="1" applyBorder="1" applyAlignment="1">
      <alignment horizontal="left" vertical="top"/>
    </xf>
    <xf numFmtId="0" fontId="18" fillId="0" borderId="0" xfId="0" applyFont="1" applyBorder="1" applyAlignment="1"/>
    <xf numFmtId="232" fontId="0" fillId="35" borderId="0" xfId="0" applyNumberFormat="1" applyFill="1"/>
    <xf numFmtId="232" fontId="0" fillId="35" borderId="28" xfId="0" applyNumberFormat="1" applyFill="1" applyBorder="1"/>
    <xf numFmtId="232" fontId="0" fillId="35" borderId="0" xfId="0" applyNumberFormat="1" applyFill="1" applyBorder="1"/>
    <xf numFmtId="232" fontId="12" fillId="35" borderId="28" xfId="56" applyNumberFormat="1" applyFill="1" applyBorder="1"/>
    <xf numFmtId="232" fontId="0" fillId="35" borderId="29" xfId="0" applyNumberFormat="1" applyFill="1" applyBorder="1"/>
    <xf numFmtId="232" fontId="12" fillId="35" borderId="29" xfId="56" applyNumberFormat="1" applyFill="1" applyBorder="1"/>
    <xf numFmtId="232" fontId="13" fillId="35" borderId="38" xfId="56" applyNumberFormat="1" applyFont="1" applyFill="1" applyBorder="1"/>
    <xf numFmtId="232" fontId="0" fillId="0" borderId="24" xfId="0" applyNumberFormat="1" applyBorder="1"/>
    <xf numFmtId="232" fontId="12" fillId="35" borderId="27" xfId="56" applyNumberFormat="1" applyFill="1" applyBorder="1"/>
    <xf numFmtId="232" fontId="0" fillId="35" borderId="24" xfId="0" applyNumberFormat="1" applyFill="1" applyBorder="1"/>
    <xf numFmtId="232" fontId="12" fillId="35" borderId="0" xfId="56" applyNumberFormat="1" applyFill="1" applyBorder="1"/>
    <xf numFmtId="232" fontId="13" fillId="35" borderId="24" xfId="56" applyNumberFormat="1" applyFont="1" applyFill="1" applyBorder="1"/>
    <xf numFmtId="232" fontId="13" fillId="35" borderId="34" xfId="56" applyNumberFormat="1" applyFont="1" applyFill="1" applyBorder="1"/>
    <xf numFmtId="173" fontId="19" fillId="35" borderId="18" xfId="0" applyNumberFormat="1" applyFont="1" applyFill="1" applyBorder="1" applyAlignment="1">
      <alignment horizontal="center"/>
    </xf>
    <xf numFmtId="0" fontId="18" fillId="35" borderId="17" xfId="131" applyFont="1" applyFill="1" applyBorder="1" applyAlignment="1" applyProtection="1">
      <alignment horizontal="center"/>
    </xf>
    <xf numFmtId="0" fontId="51" fillId="35" borderId="0" xfId="0" applyFont="1" applyFill="1" applyBorder="1" applyAlignment="1">
      <alignment horizontal="left" vertical="top"/>
    </xf>
    <xf numFmtId="0" fontId="51" fillId="35" borderId="0" xfId="0" applyFont="1" applyFill="1" applyAlignment="1">
      <alignment vertical="top"/>
    </xf>
    <xf numFmtId="0" fontId="12" fillId="0" borderId="0" xfId="0" applyFont="1" applyAlignment="1">
      <alignment horizontal="center"/>
    </xf>
    <xf numFmtId="0" fontId="13" fillId="35" borderId="31" xfId="0" applyFont="1" applyFill="1" applyBorder="1" applyAlignment="1">
      <alignment vertical="top" wrapText="1"/>
    </xf>
    <xf numFmtId="0" fontId="13" fillId="35" borderId="31" xfId="0" applyFont="1" applyFill="1" applyBorder="1" applyAlignment="1">
      <alignment horizontal="center" vertical="top" wrapText="1"/>
    </xf>
    <xf numFmtId="165" fontId="13" fillId="35" borderId="31" xfId="56" applyFont="1" applyFill="1" applyBorder="1" applyAlignment="1">
      <alignment horizontal="center" vertical="top" wrapText="1"/>
    </xf>
    <xf numFmtId="165" fontId="13" fillId="35" borderId="31" xfId="56" applyFont="1" applyFill="1" applyBorder="1" applyAlignment="1">
      <alignment horizontal="center" vertical="top"/>
    </xf>
    <xf numFmtId="0" fontId="160" fillId="35" borderId="0" xfId="0" applyFont="1" applyFill="1"/>
    <xf numFmtId="0" fontId="13" fillId="35" borderId="14" xfId="0" applyNumberFormat="1" applyFont="1" applyFill="1" applyBorder="1" applyAlignment="1">
      <alignment horizontal="center"/>
    </xf>
    <xf numFmtId="0" fontId="13" fillId="35" borderId="14" xfId="0" applyFont="1" applyFill="1" applyBorder="1"/>
    <xf numFmtId="186" fontId="13" fillId="35" borderId="0" xfId="41" applyNumberFormat="1" applyFont="1" applyFill="1" applyBorder="1"/>
    <xf numFmtId="201" fontId="13" fillId="35" borderId="14" xfId="0" applyNumberFormat="1" applyFont="1" applyFill="1" applyBorder="1"/>
    <xf numFmtId="201" fontId="13" fillId="35" borderId="32" xfId="0" applyNumberFormat="1" applyFont="1" applyFill="1" applyBorder="1"/>
    <xf numFmtId="0" fontId="27" fillId="35" borderId="0" xfId="131" applyFill="1" applyAlignment="1" applyProtection="1"/>
    <xf numFmtId="0" fontId="160" fillId="35" borderId="0" xfId="148" applyFont="1" applyFill="1"/>
    <xf numFmtId="0" fontId="27" fillId="47" borderId="0" xfId="131" applyFill="1" applyAlignment="1" applyProtection="1"/>
    <xf numFmtId="0" fontId="12" fillId="47" borderId="47" xfId="0" applyFont="1" applyFill="1" applyBorder="1" applyAlignment="1">
      <alignment vertical="top"/>
    </xf>
    <xf numFmtId="14" fontId="158" fillId="47" borderId="38" xfId="131" applyNumberFormat="1" applyFont="1" applyFill="1" applyBorder="1" applyAlignment="1" applyProtection="1">
      <alignment horizontal="center" vertical="top" wrapText="1"/>
    </xf>
    <xf numFmtId="0" fontId="0" fillId="47" borderId="0" xfId="0" applyFill="1"/>
    <xf numFmtId="0" fontId="0" fillId="47" borderId="0" xfId="0" applyFill="1" applyBorder="1"/>
    <xf numFmtId="0" fontId="95" fillId="47" borderId="0" xfId="272" applyFont="1" applyFill="1" applyAlignment="1">
      <alignment vertical="top"/>
    </xf>
    <xf numFmtId="0" fontId="27" fillId="47" borderId="0" xfId="131" applyFill="1" applyAlignment="1" applyProtection="1">
      <alignment vertical="top"/>
    </xf>
    <xf numFmtId="0" fontId="95" fillId="47" borderId="0" xfId="0" applyFont="1" applyFill="1" applyAlignment="1">
      <alignment vertical="top"/>
    </xf>
    <xf numFmtId="0" fontId="19" fillId="47" borderId="0" xfId="0" applyFont="1" applyFill="1" applyAlignment="1">
      <alignment vertical="top"/>
    </xf>
    <xf numFmtId="0" fontId="13" fillId="47" borderId="32" xfId="0" applyFont="1" applyFill="1" applyBorder="1" applyAlignment="1">
      <alignment horizontal="left" vertical="top"/>
    </xf>
    <xf numFmtId="10" fontId="19" fillId="0" borderId="0" xfId="178" applyNumberFormat="1" applyFont="1" applyFill="1" applyProtection="1">
      <protection locked="0"/>
    </xf>
    <xf numFmtId="233" fontId="19" fillId="0" borderId="0" xfId="41" applyNumberFormat="1" applyFont="1" applyFill="1" applyProtection="1">
      <protection locked="0"/>
    </xf>
    <xf numFmtId="0" fontId="22" fillId="47" borderId="0" xfId="0" applyNumberFormat="1" applyFont="1" applyFill="1" applyBorder="1" applyAlignment="1">
      <alignment vertical="center"/>
    </xf>
    <xf numFmtId="0" fontId="18" fillId="47" borderId="0" xfId="0" applyNumberFormat="1" applyFont="1" applyFill="1" applyBorder="1" applyAlignment="1">
      <alignment vertical="center"/>
    </xf>
    <xf numFmtId="0" fontId="12" fillId="47" borderId="0" xfId="0" applyFont="1" applyFill="1"/>
    <xf numFmtId="0" fontId="12" fillId="47" borderId="0" xfId="0" applyNumberFormat="1" applyFont="1" applyFill="1" applyAlignment="1">
      <alignment vertical="center"/>
    </xf>
    <xf numFmtId="0" fontId="13" fillId="47" borderId="0" xfId="0" applyNumberFormat="1" applyFont="1" applyFill="1" applyBorder="1" applyAlignment="1">
      <alignment vertical="center"/>
    </xf>
    <xf numFmtId="0" fontId="13" fillId="47" borderId="0" xfId="0" applyNumberFormat="1" applyFont="1" applyFill="1" applyBorder="1" applyAlignment="1">
      <alignment horizontal="right" vertical="center"/>
    </xf>
    <xf numFmtId="0" fontId="12" fillId="47" borderId="0" xfId="0" applyFont="1" applyFill="1" applyAlignment="1">
      <alignment vertical="top"/>
    </xf>
    <xf numFmtId="0" fontId="12" fillId="47" borderId="0" xfId="56" applyNumberFormat="1" applyFont="1" applyFill="1" applyAlignment="1">
      <alignment vertical="center"/>
    </xf>
    <xf numFmtId="0" fontId="12" fillId="47" borderId="0" xfId="178" applyNumberFormat="1" applyFont="1" applyFill="1" applyAlignment="1">
      <alignment vertical="center"/>
    </xf>
    <xf numFmtId="0" fontId="27" fillId="47" borderId="0" xfId="131" applyNumberFormat="1" applyFill="1" applyAlignment="1" applyProtection="1">
      <alignment horizontal="right" vertical="center"/>
    </xf>
    <xf numFmtId="0" fontId="13" fillId="47" borderId="0" xfId="0" applyNumberFormat="1" applyFont="1" applyFill="1" applyAlignment="1">
      <alignment horizontal="right" vertical="center"/>
    </xf>
    <xf numFmtId="0" fontId="164" fillId="47" borderId="0" xfId="300" applyFont="1" applyFill="1"/>
    <xf numFmtId="0" fontId="158" fillId="47" borderId="0" xfId="300" applyFont="1" applyFill="1"/>
    <xf numFmtId="0" fontId="11" fillId="47" borderId="0" xfId="300" applyFill="1"/>
    <xf numFmtId="0" fontId="13" fillId="47" borderId="0" xfId="0" applyFont="1" applyFill="1" applyAlignment="1">
      <alignment horizontal="center"/>
    </xf>
    <xf numFmtId="234" fontId="12" fillId="47" borderId="0" xfId="301" applyNumberFormat="1" applyFont="1" applyFill="1"/>
    <xf numFmtId="234" fontId="164" fillId="47" borderId="17" xfId="301" applyNumberFormat="1" applyFont="1" applyFill="1" applyBorder="1"/>
    <xf numFmtId="166" fontId="12" fillId="47" borderId="0" xfId="301" applyFont="1" applyFill="1"/>
    <xf numFmtId="186" fontId="12" fillId="47" borderId="0" xfId="301" applyNumberFormat="1" applyFont="1" applyFill="1"/>
    <xf numFmtId="234" fontId="164" fillId="47" borderId="0" xfId="301" applyNumberFormat="1" applyFont="1" applyFill="1"/>
    <xf numFmtId="10" fontId="12" fillId="47" borderId="0" xfId="302" applyNumberFormat="1" applyFont="1" applyFill="1"/>
    <xf numFmtId="234" fontId="164" fillId="47" borderId="8" xfId="301" applyNumberFormat="1" applyFont="1" applyFill="1" applyBorder="1"/>
    <xf numFmtId="186" fontId="19" fillId="35" borderId="31" xfId="41" applyNumberFormat="1" applyFont="1" applyFill="1" applyBorder="1" applyAlignment="1">
      <alignment horizontal="center"/>
    </xf>
    <xf numFmtId="186" fontId="19" fillId="35" borderId="197" xfId="41" applyNumberFormat="1" applyFont="1" applyFill="1" applyBorder="1" applyAlignment="1">
      <alignment horizontal="center"/>
    </xf>
    <xf numFmtId="186" fontId="19" fillId="35" borderId="198" xfId="41" applyNumberFormat="1" applyFont="1" applyFill="1" applyBorder="1" applyAlignment="1">
      <alignment horizontal="center"/>
    </xf>
    <xf numFmtId="0" fontId="19" fillId="47" borderId="0" xfId="0" applyFont="1" applyFill="1"/>
    <xf numFmtId="180" fontId="19" fillId="47" borderId="0" xfId="56" applyNumberFormat="1" applyFont="1" applyFill="1" applyAlignment="1">
      <alignment horizontal="center"/>
    </xf>
    <xf numFmtId="165" fontId="13" fillId="0" borderId="222" xfId="56" applyFont="1" applyFill="1" applyBorder="1" applyAlignment="1">
      <alignment horizontal="left"/>
    </xf>
    <xf numFmtId="165" fontId="13" fillId="0" borderId="192" xfId="0" applyNumberFormat="1" applyFont="1" applyFill="1" applyBorder="1" applyProtection="1">
      <protection locked="0"/>
    </xf>
    <xf numFmtId="0" fontId="19" fillId="0" borderId="198" xfId="0" applyFont="1" applyFill="1" applyBorder="1" applyAlignment="1">
      <alignment horizontal="center"/>
    </xf>
    <xf numFmtId="0" fontId="19" fillId="0" borderId="199" xfId="0" applyFont="1" applyFill="1" applyBorder="1" applyAlignment="1">
      <alignment horizontal="center"/>
    </xf>
    <xf numFmtId="0" fontId="19" fillId="35" borderId="20" xfId="0" applyFont="1" applyFill="1" applyBorder="1" applyAlignment="1">
      <alignment vertical="top"/>
    </xf>
    <xf numFmtId="224" fontId="45" fillId="47" borderId="23" xfId="0" applyNumberFormat="1" applyFont="1" applyFill="1" applyBorder="1" applyAlignment="1">
      <alignment horizontal="center"/>
    </xf>
    <xf numFmtId="166" fontId="45" fillId="47" borderId="0" xfId="0" applyNumberFormat="1" applyFont="1" applyFill="1" applyBorder="1" applyAlignment="1">
      <alignment horizontal="right"/>
    </xf>
    <xf numFmtId="0" fontId="0" fillId="0" borderId="209" xfId="0" applyBorder="1"/>
    <xf numFmtId="166" fontId="23" fillId="0" borderId="192" xfId="110" applyFill="1" applyBorder="1"/>
    <xf numFmtId="166" fontId="23" fillId="0" borderId="209" xfId="110" applyFill="1" applyBorder="1"/>
    <xf numFmtId="165" fontId="23" fillId="0" borderId="222" xfId="71" applyFill="1" applyBorder="1"/>
    <xf numFmtId="166" fontId="23" fillId="0" borderId="193" xfId="110" applyFill="1" applyBorder="1"/>
    <xf numFmtId="166" fontId="23" fillId="0" borderId="191" xfId="110" applyFill="1" applyBorder="1"/>
    <xf numFmtId="165" fontId="23" fillId="0" borderId="38" xfId="70" applyFill="1" applyBorder="1"/>
    <xf numFmtId="165" fontId="23" fillId="0" borderId="241" xfId="70" applyFill="1" applyBorder="1"/>
    <xf numFmtId="0" fontId="0" fillId="0" borderId="191" xfId="0" applyFill="1" applyBorder="1"/>
    <xf numFmtId="165" fontId="23" fillId="0" borderId="41" xfId="71" applyFill="1" applyBorder="1"/>
    <xf numFmtId="178" fontId="13" fillId="0" borderId="27" xfId="41" applyNumberFormat="1" applyFont="1" applyFill="1" applyBorder="1"/>
    <xf numFmtId="178" fontId="19" fillId="40" borderId="80" xfId="41" applyNumberFormat="1" applyFont="1" applyFill="1" applyBorder="1"/>
    <xf numFmtId="165" fontId="31" fillId="25" borderId="221" xfId="71" applyFont="1" applyBorder="1"/>
    <xf numFmtId="165" fontId="31" fillId="0" borderId="0" xfId="71" applyFont="1" applyFill="1" applyBorder="1"/>
    <xf numFmtId="165" fontId="31" fillId="25" borderId="222" xfId="71" applyFont="1" applyBorder="1"/>
    <xf numFmtId="165" fontId="31" fillId="25" borderId="243" xfId="71" applyFont="1" applyBorder="1"/>
    <xf numFmtId="0" fontId="19" fillId="0" borderId="28" xfId="0" applyFont="1" applyFill="1" applyBorder="1" applyAlignment="1">
      <alignment horizontal="center"/>
    </xf>
    <xf numFmtId="0" fontId="19" fillId="47" borderId="0" xfId="0" applyFont="1" applyFill="1" applyBorder="1" applyAlignment="1">
      <alignment horizontal="center"/>
    </xf>
    <xf numFmtId="173" fontId="19" fillId="47" borderId="0" xfId="0" applyNumberFormat="1" applyFont="1" applyFill="1" applyBorder="1" applyAlignment="1">
      <alignment horizontal="center"/>
    </xf>
    <xf numFmtId="199" fontId="19" fillId="47" borderId="14" xfId="0" applyNumberFormat="1" applyFont="1" applyFill="1" applyBorder="1" applyAlignment="1">
      <alignment horizontal="center"/>
    </xf>
    <xf numFmtId="0" fontId="13" fillId="47" borderId="0" xfId="0" applyFont="1" applyFill="1"/>
    <xf numFmtId="0" fontId="19" fillId="47" borderId="0" xfId="0" applyFont="1" applyFill="1" applyBorder="1"/>
    <xf numFmtId="38" fontId="19" fillId="47" borderId="0" xfId="63" applyNumberFormat="1" applyFont="1" applyFill="1" applyBorder="1" applyProtection="1">
      <protection locked="0"/>
    </xf>
    <xf numFmtId="229" fontId="19" fillId="47" borderId="0" xfId="0" applyNumberFormat="1" applyFont="1" applyFill="1" applyBorder="1" applyAlignment="1">
      <alignment horizontal="left"/>
    </xf>
    <xf numFmtId="10" fontId="19" fillId="0" borderId="0" xfId="178" applyNumberFormat="1" applyFont="1" applyFill="1" applyBorder="1" applyAlignment="1">
      <alignment horizontal="right"/>
    </xf>
    <xf numFmtId="166" fontId="19" fillId="35" borderId="197" xfId="41" applyNumberFormat="1" applyFont="1" applyFill="1" applyBorder="1" applyAlignment="1">
      <alignment horizontal="center"/>
    </xf>
    <xf numFmtId="166" fontId="19" fillId="35" borderId="210" xfId="41" applyNumberFormat="1" applyFont="1" applyFill="1" applyBorder="1" applyAlignment="1">
      <alignment horizontal="center"/>
    </xf>
    <xf numFmtId="166" fontId="19" fillId="35" borderId="197" xfId="0" applyNumberFormat="1" applyFont="1" applyFill="1" applyBorder="1"/>
    <xf numFmtId="166" fontId="19" fillId="35" borderId="198" xfId="41" applyNumberFormat="1" applyFont="1" applyFill="1" applyBorder="1" applyAlignment="1">
      <alignment horizontal="center"/>
    </xf>
    <xf numFmtId="0" fontId="13" fillId="47" borderId="0" xfId="0" applyFont="1" applyFill="1" applyBorder="1"/>
    <xf numFmtId="0" fontId="0" fillId="35" borderId="244" xfId="0" applyFill="1" applyBorder="1" applyProtection="1">
      <protection hidden="1"/>
    </xf>
    <xf numFmtId="0" fontId="122" fillId="35" borderId="0" xfId="0" applyFont="1" applyFill="1" applyBorder="1" applyAlignment="1">
      <alignment vertical="top"/>
    </xf>
    <xf numFmtId="0" fontId="18" fillId="0" borderId="20" xfId="0" applyNumberFormat="1" applyFont="1" applyFill="1" applyBorder="1" applyAlignment="1">
      <alignment vertical="center"/>
    </xf>
    <xf numFmtId="0" fontId="159" fillId="0" borderId="0" xfId="0" applyFont="1" applyFill="1" applyProtection="1">
      <protection hidden="1"/>
    </xf>
    <xf numFmtId="0" fontId="159" fillId="0" borderId="0" xfId="0" applyFont="1" applyFill="1"/>
    <xf numFmtId="0" fontId="13" fillId="35" borderId="0" xfId="0" applyFont="1" applyFill="1" applyBorder="1" applyAlignment="1">
      <alignment horizontal="center"/>
    </xf>
    <xf numFmtId="0" fontId="10" fillId="0" borderId="0" xfId="304"/>
    <xf numFmtId="0" fontId="164" fillId="0" borderId="192" xfId="304" applyFont="1" applyFill="1" applyBorder="1" applyAlignment="1">
      <alignment horizontal="center" wrapText="1"/>
    </xf>
    <xf numFmtId="0" fontId="164" fillId="0" borderId="192" xfId="304" applyFont="1" applyBorder="1" applyAlignment="1">
      <alignment horizontal="center" wrapText="1"/>
    </xf>
    <xf numFmtId="0" fontId="164" fillId="0" borderId="192" xfId="304" applyFont="1" applyFill="1" applyBorder="1" applyAlignment="1">
      <alignment horizontal="center"/>
    </xf>
    <xf numFmtId="0" fontId="158" fillId="0" borderId="192" xfId="304" applyFont="1" applyFill="1" applyBorder="1" applyAlignment="1">
      <alignment horizontal="center" wrapText="1"/>
    </xf>
    <xf numFmtId="0" fontId="158" fillId="0" borderId="192" xfId="304" applyFont="1" applyFill="1" applyBorder="1" applyAlignment="1">
      <alignment horizontal="center"/>
    </xf>
    <xf numFmtId="14" fontId="158" fillId="0" borderId="192" xfId="304" applyNumberFormat="1" applyFont="1" applyBorder="1" applyAlignment="1">
      <alignment horizontal="center"/>
    </xf>
    <xf numFmtId="14" fontId="158" fillId="0" borderId="192" xfId="304" applyNumberFormat="1" applyFont="1" applyFill="1" applyBorder="1" applyAlignment="1">
      <alignment horizontal="center"/>
    </xf>
    <xf numFmtId="40" fontId="12" fillId="0" borderId="0" xfId="308" applyNumberFormat="1" applyFont="1"/>
    <xf numFmtId="40" fontId="12" fillId="47" borderId="0" xfId="308" applyNumberFormat="1" applyFont="1" applyFill="1"/>
    <xf numFmtId="177" fontId="12" fillId="47" borderId="0" xfId="178" applyNumberFormat="1" applyFont="1" applyFill="1"/>
    <xf numFmtId="0" fontId="12" fillId="47" borderId="0" xfId="308" applyFill="1"/>
    <xf numFmtId="9" fontId="12" fillId="47" borderId="0" xfId="178" applyFont="1" applyFill="1"/>
    <xf numFmtId="0" fontId="13" fillId="47" borderId="0" xfId="308" applyFont="1" applyFill="1" applyAlignment="1">
      <alignment horizontal="center"/>
    </xf>
    <xf numFmtId="0" fontId="13" fillId="47" borderId="0" xfId="308" applyFont="1" applyFill="1"/>
    <xf numFmtId="166" fontId="13" fillId="47" borderId="0" xfId="309" applyFont="1" applyFill="1" applyAlignment="1">
      <alignment horizontal="center" wrapText="1"/>
    </xf>
    <xf numFmtId="40" fontId="165" fillId="47" borderId="0" xfId="308" applyNumberFormat="1" applyFont="1" applyFill="1"/>
    <xf numFmtId="235" fontId="12" fillId="47" borderId="0" xfId="309" applyNumberFormat="1" applyFont="1" applyFill="1" applyBorder="1"/>
    <xf numFmtId="166" fontId="12" fillId="47" borderId="0" xfId="310" applyFont="1" applyFill="1" applyBorder="1"/>
    <xf numFmtId="0" fontId="12" fillId="47" borderId="0" xfId="311" applyFont="1" applyFill="1"/>
    <xf numFmtId="0" fontId="13" fillId="47" borderId="0" xfId="311" applyFont="1" applyFill="1"/>
    <xf numFmtId="165" fontId="12" fillId="47" borderId="8" xfId="312" applyFont="1" applyFill="1" applyBorder="1"/>
    <xf numFmtId="166" fontId="12" fillId="47" borderId="8" xfId="310" applyFont="1" applyFill="1" applyBorder="1"/>
    <xf numFmtId="0" fontId="12" fillId="47" borderId="8" xfId="311" applyFont="1" applyFill="1" applyBorder="1"/>
    <xf numFmtId="0" fontId="13" fillId="47" borderId="8" xfId="311" applyFont="1" applyFill="1" applyBorder="1"/>
    <xf numFmtId="166" fontId="12" fillId="47" borderId="0" xfId="309" applyFont="1" applyFill="1"/>
    <xf numFmtId="0" fontId="12" fillId="47" borderId="0" xfId="311" applyFont="1" applyFill="1" applyAlignment="1">
      <alignment horizontal="left"/>
    </xf>
    <xf numFmtId="0" fontId="13" fillId="47" borderId="0" xfId="311" quotePrefix="1" applyFont="1" applyFill="1" applyAlignment="1">
      <alignment horizontal="left"/>
    </xf>
    <xf numFmtId="0" fontId="12" fillId="47" borderId="0" xfId="311" quotePrefix="1" applyFont="1" applyFill="1" applyAlignment="1">
      <alignment horizontal="left"/>
    </xf>
    <xf numFmtId="166" fontId="12" fillId="47" borderId="0" xfId="309" applyFont="1" applyFill="1" applyBorder="1"/>
    <xf numFmtId="0" fontId="13" fillId="47" borderId="0" xfId="313" applyFont="1" applyFill="1"/>
    <xf numFmtId="166" fontId="12" fillId="47" borderId="8" xfId="314" applyFont="1" applyFill="1" applyBorder="1"/>
    <xf numFmtId="166" fontId="12" fillId="47" borderId="20" xfId="309" applyFont="1" applyFill="1" applyBorder="1"/>
    <xf numFmtId="0" fontId="12" fillId="47" borderId="0" xfId="315" applyFont="1" applyFill="1"/>
    <xf numFmtId="165" fontId="12" fillId="47" borderId="17" xfId="312" applyFont="1" applyFill="1" applyBorder="1"/>
    <xf numFmtId="166" fontId="12" fillId="47" borderId="17" xfId="309" applyFont="1" applyFill="1" applyBorder="1"/>
    <xf numFmtId="0" fontId="12" fillId="47" borderId="17" xfId="311" applyFont="1" applyFill="1" applyBorder="1"/>
    <xf numFmtId="0" fontId="13" fillId="47" borderId="17" xfId="311" applyFont="1" applyFill="1" applyBorder="1" applyAlignment="1">
      <alignment horizontal="left"/>
    </xf>
    <xf numFmtId="166" fontId="12" fillId="47" borderId="0" xfId="309" applyFont="1" applyFill="1" applyAlignment="1">
      <alignment horizontal="center"/>
    </xf>
    <xf numFmtId="0" fontId="13" fillId="47" borderId="0" xfId="311" applyFont="1" applyFill="1" applyAlignment="1">
      <alignment horizontal="left"/>
    </xf>
    <xf numFmtId="166" fontId="12" fillId="47" borderId="17" xfId="309" applyNumberFormat="1" applyFont="1" applyFill="1" applyBorder="1"/>
    <xf numFmtId="0" fontId="13" fillId="47" borderId="17" xfId="311" applyFont="1" applyFill="1" applyBorder="1"/>
    <xf numFmtId="0" fontId="61" fillId="47" borderId="0" xfId="115" applyFill="1">
      <alignment horizontal="right" vertical="center"/>
    </xf>
    <xf numFmtId="0" fontId="12" fillId="47" borderId="0" xfId="316" applyFill="1">
      <alignment vertical="center"/>
    </xf>
    <xf numFmtId="0" fontId="18" fillId="47" borderId="0" xfId="144" applyNumberFormat="1" applyFont="1" applyFill="1" applyBorder="1" applyAlignment="1">
      <alignment horizontal="centerContinuous" vertical="center"/>
    </xf>
    <xf numFmtId="0" fontId="110" fillId="47" borderId="0" xfId="114" applyFill="1" applyAlignment="1">
      <alignment vertical="center"/>
    </xf>
    <xf numFmtId="0" fontId="13" fillId="47" borderId="8" xfId="313" applyFont="1" applyFill="1" applyBorder="1" applyAlignment="1"/>
    <xf numFmtId="0" fontId="13" fillId="0" borderId="0" xfId="0" applyFont="1" applyFill="1" applyBorder="1" applyAlignment="1">
      <alignment horizontal="center"/>
    </xf>
    <xf numFmtId="0" fontId="12" fillId="47" borderId="0" xfId="317" applyFill="1"/>
    <xf numFmtId="0" fontId="12" fillId="0" borderId="0" xfId="317"/>
    <xf numFmtId="0" fontId="12" fillId="47" borderId="0" xfId="317" applyFont="1" applyFill="1"/>
    <xf numFmtId="0" fontId="9" fillId="47" borderId="0" xfId="319" applyFont="1" applyFill="1" applyBorder="1" applyAlignment="1">
      <alignment vertical="center"/>
    </xf>
    <xf numFmtId="0" fontId="167" fillId="47" borderId="0" xfId="319" applyFont="1" applyFill="1" applyBorder="1" applyAlignment="1">
      <alignment vertical="center"/>
    </xf>
    <xf numFmtId="0" fontId="168" fillId="47" borderId="0" xfId="319" applyFont="1" applyFill="1" applyBorder="1" applyAlignment="1">
      <alignment vertical="center"/>
    </xf>
    <xf numFmtId="0" fontId="169" fillId="47" borderId="0" xfId="319" applyFont="1" applyFill="1" applyBorder="1" applyAlignment="1">
      <alignment vertical="center"/>
    </xf>
    <xf numFmtId="0" fontId="31" fillId="47" borderId="0" xfId="317" applyFont="1" applyFill="1"/>
    <xf numFmtId="0" fontId="23" fillId="47" borderId="0" xfId="317" applyFont="1" applyFill="1"/>
    <xf numFmtId="164" fontId="23" fillId="47" borderId="0" xfId="317" applyNumberFormat="1" applyFont="1" applyFill="1" applyAlignment="1">
      <alignment horizontal="center" vertical="center"/>
    </xf>
    <xf numFmtId="0" fontId="23" fillId="47" borderId="0" xfId="317" quotePrefix="1" applyFont="1" applyFill="1"/>
    <xf numFmtId="164" fontId="23" fillId="47" borderId="0" xfId="41" applyNumberFormat="1" applyFont="1" applyFill="1" applyAlignment="1">
      <alignment horizontal="center" vertical="center"/>
    </xf>
    <xf numFmtId="164" fontId="23" fillId="47" borderId="20" xfId="41" applyNumberFormat="1" applyFont="1" applyFill="1" applyBorder="1" applyAlignment="1">
      <alignment horizontal="center" vertical="center"/>
    </xf>
    <xf numFmtId="0" fontId="46" fillId="47" borderId="0" xfId="317" applyFont="1" applyFill="1"/>
    <xf numFmtId="164" fontId="23" fillId="47" borderId="17" xfId="41" applyNumberFormat="1" applyFont="1" applyFill="1" applyBorder="1" applyAlignment="1">
      <alignment horizontal="center" vertical="center"/>
    </xf>
    <xf numFmtId="0" fontId="31" fillId="47" borderId="0" xfId="317" applyFont="1" applyFill="1" applyBorder="1"/>
    <xf numFmtId="0" fontId="23" fillId="47" borderId="0" xfId="317" applyFont="1" applyFill="1" applyBorder="1"/>
    <xf numFmtId="166" fontId="23" fillId="47" borderId="0" xfId="41" applyFont="1" applyFill="1" applyBorder="1"/>
    <xf numFmtId="166" fontId="23" fillId="47" borderId="0" xfId="41" applyNumberFormat="1" applyFont="1" applyFill="1" applyBorder="1"/>
    <xf numFmtId="166" fontId="23" fillId="47" borderId="20" xfId="41" applyNumberFormat="1" applyFont="1" applyFill="1" applyBorder="1"/>
    <xf numFmtId="166" fontId="23" fillId="47" borderId="0" xfId="41" applyNumberFormat="1" applyFont="1" applyFill="1" applyBorder="1"/>
    <xf numFmtId="166" fontId="31" fillId="47" borderId="17" xfId="41" applyNumberFormat="1" applyFont="1" applyFill="1" applyBorder="1"/>
    <xf numFmtId="236" fontId="23" fillId="47" borderId="0" xfId="41" applyNumberFormat="1" applyFont="1" applyFill="1"/>
    <xf numFmtId="166" fontId="23" fillId="47" borderId="0" xfId="41" applyFont="1" applyFill="1"/>
    <xf numFmtId="236" fontId="12" fillId="47" borderId="0" xfId="41" applyNumberFormat="1" applyFill="1"/>
    <xf numFmtId="166" fontId="12" fillId="47" borderId="0" xfId="41" applyFill="1"/>
    <xf numFmtId="40" fontId="23" fillId="47" borderId="0" xfId="317" applyNumberFormat="1" applyFont="1" applyFill="1"/>
    <xf numFmtId="40" fontId="23" fillId="47" borderId="0" xfId="320" applyNumberFormat="1" applyFont="1" applyFill="1"/>
    <xf numFmtId="40" fontId="23" fillId="47" borderId="17" xfId="320" applyNumberFormat="1" applyFont="1" applyFill="1" applyBorder="1"/>
    <xf numFmtId="0" fontId="170" fillId="47" borderId="0" xfId="317" applyFont="1" applyFill="1"/>
    <xf numFmtId="166" fontId="12" fillId="0" borderId="0" xfId="41"/>
    <xf numFmtId="0" fontId="13" fillId="0" borderId="0" xfId="199" applyFont="1">
      <alignment vertical="center"/>
    </xf>
    <xf numFmtId="201" fontId="13" fillId="0" borderId="0" xfId="198" applyNumberFormat="1" applyFont="1">
      <alignment horizontal="right" vertical="center"/>
    </xf>
    <xf numFmtId="0" fontId="13" fillId="0" borderId="0" xfId="200" applyFont="1">
      <alignment vertical="center"/>
    </xf>
    <xf numFmtId="201" fontId="13" fillId="0" borderId="18" xfId="198" applyNumberFormat="1" applyFont="1" applyBorder="1">
      <alignment horizontal="right" vertical="center"/>
    </xf>
    <xf numFmtId="188" fontId="33" fillId="35" borderId="0" xfId="0" applyNumberFormat="1" applyFont="1" applyFill="1"/>
    <xf numFmtId="0" fontId="10" fillId="47" borderId="0" xfId="304" applyFill="1"/>
    <xf numFmtId="0" fontId="158" fillId="47" borderId="0" xfId="304" applyFont="1" applyFill="1"/>
    <xf numFmtId="0" fontId="19" fillId="47" borderId="0" xfId="0" applyNumberFormat="1" applyFont="1" applyFill="1" applyAlignment="1">
      <alignment vertical="center"/>
    </xf>
    <xf numFmtId="0" fontId="19" fillId="47" borderId="0" xfId="56" applyNumberFormat="1" applyFont="1" applyFill="1" applyAlignment="1">
      <alignment vertical="center"/>
    </xf>
    <xf numFmtId="0" fontId="19" fillId="47" borderId="0" xfId="178" applyNumberFormat="1" applyFont="1" applyFill="1" applyAlignment="1">
      <alignment vertical="center"/>
    </xf>
    <xf numFmtId="0" fontId="36" fillId="47" borderId="0" xfId="131" applyFont="1" applyFill="1" applyAlignment="1" applyProtection="1">
      <alignment horizontal="left" vertical="top"/>
    </xf>
    <xf numFmtId="0" fontId="13" fillId="47" borderId="0" xfId="0" applyNumberFormat="1" applyFont="1" applyFill="1" applyAlignment="1">
      <alignment vertical="center"/>
    </xf>
    <xf numFmtId="175" fontId="13" fillId="47" borderId="0" xfId="0" applyNumberFormat="1" applyFont="1" applyFill="1" applyAlignment="1">
      <alignment vertical="center"/>
    </xf>
    <xf numFmtId="0" fontId="12" fillId="47" borderId="0" xfId="303" applyFont="1" applyFill="1"/>
    <xf numFmtId="175" fontId="12" fillId="47" borderId="0" xfId="303" applyNumberFormat="1" applyFont="1" applyFill="1" applyAlignment="1">
      <alignment horizontal="left"/>
    </xf>
    <xf numFmtId="166" fontId="12" fillId="47" borderId="0" xfId="306" applyFont="1" applyFill="1" applyBorder="1"/>
    <xf numFmtId="0" fontId="24" fillId="47" borderId="0" xfId="303" applyFont="1" applyFill="1"/>
    <xf numFmtId="166" fontId="12" fillId="47" borderId="0" xfId="306" applyFont="1" applyFill="1"/>
    <xf numFmtId="0" fontId="158" fillId="47" borderId="20" xfId="304" applyFont="1" applyFill="1" applyBorder="1"/>
    <xf numFmtId="166" fontId="12" fillId="47" borderId="20" xfId="306" applyFont="1" applyFill="1" applyBorder="1"/>
    <xf numFmtId="0" fontId="164" fillId="47" borderId="0" xfId="304" applyFont="1" applyFill="1"/>
    <xf numFmtId="175" fontId="164" fillId="47" borderId="0" xfId="304" applyNumberFormat="1" applyFont="1" applyFill="1"/>
    <xf numFmtId="165" fontId="13" fillId="47" borderId="8" xfId="307" applyFont="1" applyFill="1" applyBorder="1"/>
    <xf numFmtId="0" fontId="160" fillId="47" borderId="0" xfId="304" applyFont="1" applyFill="1" applyAlignment="1">
      <alignment horizontal="center"/>
    </xf>
    <xf numFmtId="166" fontId="160" fillId="47" borderId="0" xfId="306" applyFont="1" applyFill="1"/>
    <xf numFmtId="166" fontId="158" fillId="47" borderId="0" xfId="304" applyNumberFormat="1" applyFont="1" applyFill="1"/>
    <xf numFmtId="166" fontId="164" fillId="47" borderId="0" xfId="304" applyNumberFormat="1" applyFont="1" applyFill="1"/>
    <xf numFmtId="166" fontId="12" fillId="47" borderId="0" xfId="304" applyNumberFormat="1" applyFont="1" applyFill="1"/>
    <xf numFmtId="0" fontId="19" fillId="47" borderId="0" xfId="0" applyFont="1" applyFill="1" applyAlignment="1">
      <alignment horizontal="center"/>
    </xf>
    <xf numFmtId="0" fontId="19" fillId="47" borderId="28" xfId="0" applyFont="1" applyFill="1" applyBorder="1" applyAlignment="1">
      <alignment horizontal="center"/>
    </xf>
    <xf numFmtId="9" fontId="23" fillId="48" borderId="181" xfId="178" applyFont="1" applyFill="1" applyBorder="1"/>
    <xf numFmtId="166" fontId="19" fillId="47" borderId="0" xfId="41" applyFont="1" applyFill="1" applyBorder="1" applyAlignment="1"/>
    <xf numFmtId="166" fontId="19" fillId="47" borderId="0" xfId="56" applyNumberFormat="1" applyFont="1" applyFill="1"/>
    <xf numFmtId="180" fontId="19" fillId="47" borderId="0" xfId="0" applyNumberFormat="1" applyFont="1" applyFill="1" applyAlignment="1">
      <alignment horizontal="center"/>
    </xf>
    <xf numFmtId="4" fontId="19" fillId="47" borderId="0" xfId="56" applyNumberFormat="1" applyFont="1" applyFill="1" applyAlignment="1">
      <alignment horizontal="center"/>
    </xf>
    <xf numFmtId="10" fontId="0" fillId="40" borderId="106" xfId="0" applyNumberFormat="1" applyFill="1" applyBorder="1"/>
    <xf numFmtId="10" fontId="0" fillId="40" borderId="109" xfId="0" applyNumberFormat="1" applyFill="1" applyBorder="1"/>
    <xf numFmtId="0" fontId="13" fillId="40" borderId="100" xfId="0" applyFont="1" applyFill="1" applyBorder="1" applyAlignment="1">
      <alignment horizontal="center"/>
    </xf>
    <xf numFmtId="0" fontId="13" fillId="40" borderId="101" xfId="0" applyFont="1" applyFill="1" applyBorder="1" applyAlignment="1">
      <alignment horizontal="center"/>
    </xf>
    <xf numFmtId="0" fontId="13" fillId="40" borderId="102" xfId="0" applyFont="1" applyFill="1" applyBorder="1" applyAlignment="1">
      <alignment horizontal="center"/>
    </xf>
    <xf numFmtId="0" fontId="13" fillId="40" borderId="103" xfId="0" applyFont="1" applyFill="1" applyBorder="1" applyAlignment="1">
      <alignment horizontal="center"/>
    </xf>
    <xf numFmtId="169" fontId="0" fillId="40" borderId="105" xfId="0" applyNumberFormat="1" applyFill="1" applyBorder="1"/>
    <xf numFmtId="0" fontId="0" fillId="40" borderId="38" xfId="0" applyFill="1" applyBorder="1"/>
    <xf numFmtId="169" fontId="0" fillId="40" borderId="14" xfId="0" applyNumberFormat="1" applyFill="1" applyBorder="1"/>
    <xf numFmtId="0" fontId="0" fillId="40" borderId="14" xfId="0" applyFill="1" applyBorder="1"/>
    <xf numFmtId="0" fontId="0" fillId="40" borderId="107" xfId="0" applyFill="1" applyBorder="1"/>
    <xf numFmtId="0" fontId="0" fillId="40" borderId="155" xfId="0" applyFill="1" applyBorder="1"/>
    <xf numFmtId="0" fontId="0" fillId="40" borderId="104" xfId="0" applyFill="1" applyBorder="1"/>
    <xf numFmtId="0" fontId="160" fillId="47" borderId="0" xfId="272" quotePrefix="1" applyFont="1" applyFill="1"/>
    <xf numFmtId="0" fontId="12" fillId="40" borderId="105" xfId="0" applyFont="1" applyFill="1" applyBorder="1"/>
    <xf numFmtId="0" fontId="0" fillId="40" borderId="26" xfId="0" applyFill="1" applyBorder="1"/>
    <xf numFmtId="0" fontId="0" fillId="40" borderId="28" xfId="0" applyFill="1" applyBorder="1"/>
    <xf numFmtId="10" fontId="0" fillId="40" borderId="252" xfId="0" applyNumberFormat="1" applyFill="1" applyBorder="1"/>
    <xf numFmtId="188" fontId="51" fillId="0" borderId="29" xfId="0" applyNumberFormat="1" applyFont="1" applyFill="1" applyBorder="1" applyProtection="1"/>
    <xf numFmtId="188" fontId="51" fillId="0" borderId="244" xfId="0" applyNumberFormat="1" applyFont="1" applyFill="1" applyBorder="1" applyProtection="1"/>
    <xf numFmtId="188" fontId="51" fillId="0" borderId="45" xfId="0" applyNumberFormat="1" applyFont="1" applyFill="1" applyBorder="1" applyProtection="1"/>
    <xf numFmtId="0" fontId="15" fillId="45" borderId="0" xfId="0" quotePrefix="1" applyFont="1" applyFill="1" applyBorder="1" applyAlignment="1">
      <alignment horizontal="right"/>
    </xf>
    <xf numFmtId="188" fontId="51" fillId="47" borderId="24" xfId="0" applyNumberFormat="1" applyFont="1" applyFill="1" applyBorder="1" applyProtection="1"/>
    <xf numFmtId="188" fontId="51" fillId="47" borderId="244" xfId="0" applyNumberFormat="1" applyFont="1" applyFill="1" applyBorder="1" applyProtection="1"/>
    <xf numFmtId="0" fontId="12" fillId="46" borderId="0" xfId="0" quotePrefix="1" applyFont="1" applyFill="1" applyBorder="1" applyAlignment="1">
      <alignment horizontal="right"/>
    </xf>
    <xf numFmtId="10" fontId="51" fillId="47" borderId="24" xfId="178" applyNumberFormat="1" applyFont="1" applyFill="1" applyBorder="1" applyAlignment="1" applyProtection="1">
      <alignment horizontal="center"/>
    </xf>
    <xf numFmtId="188" fontId="51" fillId="47" borderId="24" xfId="0" applyNumberFormat="1" applyFont="1" applyFill="1" applyBorder="1" applyAlignment="1" applyProtection="1">
      <alignment horizontal="center"/>
    </xf>
    <xf numFmtId="188" fontId="18" fillId="0" borderId="62" xfId="0" applyNumberFormat="1" applyFont="1" applyFill="1" applyBorder="1" applyAlignment="1" applyProtection="1">
      <alignment horizontal="center"/>
    </xf>
    <xf numFmtId="10" fontId="18" fillId="47" borderId="24" xfId="178" applyNumberFormat="1" applyFont="1" applyFill="1" applyBorder="1" applyAlignment="1" applyProtection="1">
      <alignment horizontal="center"/>
    </xf>
    <xf numFmtId="0" fontId="51" fillId="35" borderId="0" xfId="0" applyFont="1" applyFill="1" applyBorder="1" applyProtection="1">
      <protection locked="0"/>
    </xf>
    <xf numFmtId="188" fontId="51" fillId="0" borderId="244" xfId="0" applyNumberFormat="1" applyFont="1" applyFill="1" applyBorder="1" applyAlignment="1" applyProtection="1">
      <alignment horizontal="right"/>
      <protection hidden="1"/>
    </xf>
    <xf numFmtId="188" fontId="51" fillId="47" borderId="244" xfId="0" applyNumberFormat="1" applyFont="1" applyFill="1" applyBorder="1" applyAlignment="1" applyProtection="1">
      <alignment horizontal="right"/>
      <protection hidden="1"/>
    </xf>
    <xf numFmtId="188" fontId="51" fillId="47" borderId="27" xfId="0" applyNumberFormat="1" applyFont="1" applyFill="1" applyBorder="1" applyAlignment="1" applyProtection="1">
      <alignment horizontal="center"/>
    </xf>
    <xf numFmtId="188" fontId="51" fillId="35" borderId="148" xfId="0" applyNumberFormat="1" applyFont="1" applyFill="1" applyBorder="1" applyAlignment="1" applyProtection="1">
      <protection hidden="1"/>
    </xf>
    <xf numFmtId="188" fontId="51" fillId="35" borderId="29" xfId="0" applyNumberFormat="1" applyFont="1" applyFill="1" applyBorder="1" applyAlignment="1" applyProtection="1">
      <alignment horizontal="right"/>
      <protection hidden="1"/>
    </xf>
    <xf numFmtId="10" fontId="18" fillId="47" borderId="29" xfId="178" applyNumberFormat="1" applyFont="1" applyFill="1" applyBorder="1" applyAlignment="1" applyProtection="1">
      <alignment horizontal="center"/>
    </xf>
    <xf numFmtId="188" fontId="51" fillId="47" borderId="29" xfId="0" applyNumberFormat="1" applyFont="1" applyFill="1" applyBorder="1" applyAlignment="1" applyProtection="1">
      <alignment horizontal="right"/>
      <protection hidden="1"/>
    </xf>
    <xf numFmtId="164" fontId="0" fillId="35" borderId="217" xfId="0" applyNumberFormat="1" applyFill="1" applyBorder="1"/>
    <xf numFmtId="164" fontId="0" fillId="35" borderId="199" xfId="0" applyNumberFormat="1" applyFill="1" applyBorder="1"/>
    <xf numFmtId="0" fontId="13" fillId="0" borderId="31" xfId="321" applyFont="1" applyFill="1" applyBorder="1" applyAlignment="1">
      <alignment vertical="top" wrapText="1"/>
    </xf>
    <xf numFmtId="0" fontId="27" fillId="35" borderId="246" xfId="131" applyFill="1" applyBorder="1" applyAlignment="1" applyProtection="1">
      <alignment vertical="top"/>
    </xf>
    <xf numFmtId="0" fontId="23" fillId="0" borderId="0" xfId="0" applyFont="1" applyAlignment="1">
      <alignment vertical="top" wrapText="1"/>
    </xf>
    <xf numFmtId="0" fontId="13" fillId="35" borderId="0" xfId="0" applyFont="1" applyFill="1" applyBorder="1" applyAlignment="1">
      <alignment horizontal="center"/>
    </xf>
    <xf numFmtId="49" fontId="23" fillId="0" borderId="0" xfId="233" applyBorder="1">
      <alignment wrapText="1"/>
    </xf>
    <xf numFmtId="49" fontId="23" fillId="0" borderId="0" xfId="233" applyBorder="1" applyAlignment="1">
      <alignment horizontal="left" wrapText="1"/>
    </xf>
    <xf numFmtId="49" fontId="19" fillId="0" borderId="0" xfId="243" applyFont="1" applyFill="1">
      <alignment vertical="center" wrapText="1"/>
    </xf>
    <xf numFmtId="0" fontId="13" fillId="0" borderId="0" xfId="0" applyNumberFormat="1" applyFont="1" applyFill="1" applyAlignment="1">
      <alignment vertical="center"/>
    </xf>
    <xf numFmtId="0" fontId="13" fillId="0" borderId="18" xfId="56" applyNumberFormat="1" applyFont="1" applyFill="1" applyBorder="1" applyAlignment="1">
      <alignment horizontal="center" vertical="center" wrapText="1"/>
    </xf>
    <xf numFmtId="0" fontId="151" fillId="45" borderId="3" xfId="133" applyFont="1" applyFill="1" applyAlignment="1">
      <alignment horizontal="center"/>
    </xf>
    <xf numFmtId="0" fontId="19" fillId="43" borderId="188" xfId="321" applyFont="1" applyFill="1" applyBorder="1" applyAlignment="1">
      <alignment horizontal="center"/>
    </xf>
    <xf numFmtId="173" fontId="19" fillId="43" borderId="189" xfId="321" applyNumberFormat="1" applyFont="1" applyFill="1" applyBorder="1" applyAlignment="1">
      <alignment horizontal="center"/>
    </xf>
    <xf numFmtId="0" fontId="18" fillId="43" borderId="14" xfId="321" applyNumberFormat="1" applyFont="1" applyFill="1" applyBorder="1" applyAlignment="1">
      <alignment horizontal="right"/>
    </xf>
    <xf numFmtId="0" fontId="19" fillId="43" borderId="190" xfId="321" applyFont="1" applyFill="1" applyBorder="1" applyAlignment="1">
      <alignment horizontal="center"/>
    </xf>
    <xf numFmtId="173" fontId="19" fillId="43" borderId="191" xfId="321" applyNumberFormat="1" applyFont="1" applyFill="1" applyBorder="1" applyAlignment="1">
      <alignment horizontal="center"/>
    </xf>
    <xf numFmtId="201" fontId="19" fillId="43" borderId="197" xfId="321" applyNumberFormat="1" applyFont="1" applyFill="1" applyBorder="1"/>
    <xf numFmtId="201" fontId="19" fillId="43" borderId="199" xfId="321" applyNumberFormat="1" applyFont="1" applyFill="1" applyBorder="1"/>
    <xf numFmtId="201" fontId="19" fillId="43" borderId="198" xfId="321" applyNumberFormat="1" applyFont="1" applyFill="1" applyBorder="1"/>
    <xf numFmtId="201" fontId="19" fillId="43" borderId="31" xfId="321" applyNumberFormat="1" applyFont="1" applyFill="1" applyBorder="1"/>
    <xf numFmtId="199" fontId="19" fillId="35" borderId="14" xfId="135" applyNumberFormat="1" applyFont="1" applyFill="1" applyBorder="1"/>
    <xf numFmtId="166" fontId="23" fillId="0" borderId="218" xfId="110" applyFill="1" applyBorder="1"/>
    <xf numFmtId="166" fontId="23" fillId="0" borderId="236" xfId="110" applyFill="1" applyBorder="1"/>
    <xf numFmtId="0" fontId="0" fillId="0" borderId="254" xfId="0" applyBorder="1"/>
    <xf numFmtId="0" fontId="0" fillId="0" borderId="255" xfId="0" applyBorder="1"/>
    <xf numFmtId="0" fontId="0" fillId="0" borderId="256" xfId="0" applyBorder="1"/>
    <xf numFmtId="0" fontId="13" fillId="0" borderId="257" xfId="0" applyFont="1" applyBorder="1"/>
    <xf numFmtId="0" fontId="0" fillId="0" borderId="240" xfId="0" applyBorder="1"/>
    <xf numFmtId="0" fontId="0" fillId="0" borderId="244" xfId="0" applyBorder="1"/>
    <xf numFmtId="0" fontId="0" fillId="0" borderId="230" xfId="0" applyBorder="1"/>
    <xf numFmtId="0" fontId="0" fillId="0" borderId="258" xfId="0" applyBorder="1"/>
    <xf numFmtId="0" fontId="0" fillId="0" borderId="22" xfId="0" applyBorder="1"/>
    <xf numFmtId="0" fontId="0" fillId="0" borderId="225" xfId="0" applyBorder="1"/>
    <xf numFmtId="0" fontId="0" fillId="0" borderId="239" xfId="0" applyBorder="1"/>
    <xf numFmtId="165" fontId="23" fillId="0" borderId="259" xfId="71" applyFill="1" applyBorder="1"/>
    <xf numFmtId="0" fontId="0" fillId="0" borderId="195" xfId="0" applyBorder="1"/>
    <xf numFmtId="165" fontId="23" fillId="0" borderId="260" xfId="71" applyFill="1" applyBorder="1"/>
    <xf numFmtId="0" fontId="0" fillId="0" borderId="227" xfId="0" applyBorder="1"/>
    <xf numFmtId="0" fontId="0" fillId="0" borderId="237" xfId="0" applyBorder="1"/>
    <xf numFmtId="0" fontId="0" fillId="0" borderId="261" xfId="0" applyBorder="1"/>
    <xf numFmtId="0" fontId="0" fillId="0" borderId="232" xfId="0" applyBorder="1"/>
    <xf numFmtId="0" fontId="0" fillId="0" borderId="213" xfId="0" applyBorder="1"/>
    <xf numFmtId="0" fontId="45" fillId="47" borderId="24" xfId="321" applyFont="1" applyFill="1" applyBorder="1"/>
    <xf numFmtId="14" fontId="19" fillId="35" borderId="0" xfId="0" applyNumberFormat="1" applyFont="1" applyFill="1" applyAlignment="1">
      <alignment vertical="top"/>
    </xf>
    <xf numFmtId="0" fontId="12" fillId="35" borderId="0" xfId="0" applyFont="1" applyFill="1" applyAlignment="1">
      <alignment vertical="top"/>
    </xf>
    <xf numFmtId="165" fontId="13" fillId="47" borderId="0" xfId="56" applyFont="1" applyFill="1" applyAlignment="1">
      <alignment horizontal="center"/>
    </xf>
    <xf numFmtId="0" fontId="13" fillId="0" borderId="20" xfId="0" applyFont="1" applyFill="1" applyBorder="1" applyAlignment="1">
      <alignment horizontal="center"/>
    </xf>
    <xf numFmtId="0" fontId="13" fillId="0" borderId="0" xfId="0" applyNumberFormat="1" applyFont="1" applyFill="1" applyAlignment="1">
      <alignment vertical="center"/>
    </xf>
    <xf numFmtId="180" fontId="19" fillId="0" borderId="0" xfId="0" applyNumberFormat="1" applyFont="1" applyFill="1" applyAlignment="1">
      <alignment horizontal="center"/>
    </xf>
    <xf numFmtId="0" fontId="19" fillId="0" borderId="246" xfId="0" applyNumberFormat="1" applyFont="1" applyFill="1" applyBorder="1" applyAlignment="1">
      <alignment vertical="center"/>
    </xf>
    <xf numFmtId="0" fontId="12" fillId="0" borderId="0" xfId="56" applyNumberFormat="1" applyFont="1" applyFill="1" applyAlignment="1">
      <alignment horizontal="center" vertical="center"/>
    </xf>
    <xf numFmtId="0" fontId="19" fillId="0" borderId="0" xfId="56" applyNumberFormat="1" applyFont="1" applyFill="1" applyAlignment="1">
      <alignment vertical="center" wrapText="1"/>
    </xf>
    <xf numFmtId="0" fontId="12" fillId="0" borderId="0" xfId="56" applyNumberFormat="1" applyFont="1" applyFill="1" applyAlignment="1">
      <alignment horizontal="center" vertical="center" wrapText="1"/>
    </xf>
    <xf numFmtId="0" fontId="0" fillId="47" borderId="0" xfId="0" quotePrefix="1" applyFill="1" applyBorder="1" applyAlignment="1">
      <alignment horizontal="right"/>
    </xf>
    <xf numFmtId="0" fontId="12" fillId="47" borderId="0" xfId="0" applyFont="1" applyFill="1" applyBorder="1" applyAlignment="1">
      <alignment horizontal="right"/>
    </xf>
    <xf numFmtId="0" fontId="15" fillId="47" borderId="0" xfId="0" applyFont="1" applyFill="1" applyBorder="1" applyAlignment="1">
      <alignment horizontal="right"/>
    </xf>
    <xf numFmtId="0" fontId="12" fillId="47" borderId="0" xfId="0" applyFont="1" applyFill="1" applyBorder="1" applyAlignment="1" applyProtection="1">
      <alignment horizontal="right"/>
      <protection hidden="1"/>
    </xf>
    <xf numFmtId="0" fontId="0" fillId="47" borderId="0" xfId="0" applyFill="1" applyBorder="1" applyAlignment="1">
      <alignment horizontal="right"/>
    </xf>
    <xf numFmtId="0" fontId="15" fillId="47" borderId="0" xfId="0" quotePrefix="1" applyFont="1" applyFill="1" applyBorder="1" applyAlignment="1">
      <alignment horizontal="right"/>
    </xf>
    <xf numFmtId="0" fontId="12" fillId="47" borderId="0" xfId="0" quotePrefix="1" applyFont="1" applyFill="1" applyBorder="1" applyAlignment="1">
      <alignment horizontal="right"/>
    </xf>
    <xf numFmtId="188" fontId="51" fillId="47" borderId="20" xfId="0" applyNumberFormat="1" applyFont="1" applyFill="1" applyBorder="1" applyAlignment="1" applyProtection="1">
      <protection hidden="1"/>
    </xf>
    <xf numFmtId="166" fontId="13" fillId="47" borderId="18" xfId="147" applyNumberFormat="1" applyFont="1" applyFill="1" applyBorder="1" applyAlignment="1">
      <alignment horizontal="left" vertical="top"/>
    </xf>
    <xf numFmtId="0" fontId="45" fillId="47" borderId="24" xfId="0" applyFont="1" applyFill="1" applyBorder="1"/>
    <xf numFmtId="199" fontId="19" fillId="51" borderId="192" xfId="321" applyNumberFormat="1" applyFont="1" applyFill="1" applyBorder="1" applyAlignment="1"/>
    <xf numFmtId="199" fontId="19" fillId="51" borderId="193" xfId="321" applyNumberFormat="1" applyFont="1" applyFill="1" applyBorder="1" applyAlignment="1"/>
    <xf numFmtId="166" fontId="19" fillId="47" borderId="0" xfId="56" applyNumberFormat="1" applyFont="1" applyFill="1" applyBorder="1"/>
    <xf numFmtId="165" fontId="174" fillId="35" borderId="0" xfId="0" applyNumberFormat="1" applyFont="1" applyFill="1"/>
    <xf numFmtId="0" fontId="12" fillId="35" borderId="0" xfId="148" applyFont="1" applyFill="1" applyBorder="1"/>
    <xf numFmtId="0" fontId="12" fillId="35" borderId="0" xfId="148" applyFont="1" applyFill="1"/>
    <xf numFmtId="39" fontId="12" fillId="35" borderId="0" xfId="141" applyNumberFormat="1" applyFont="1" applyFill="1" applyBorder="1" applyAlignment="1">
      <alignment vertical="top"/>
    </xf>
    <xf numFmtId="0" fontId="19" fillId="0" borderId="0" xfId="0" applyFont="1" applyFill="1" applyAlignment="1">
      <alignment horizontal="center" vertical="top"/>
    </xf>
    <xf numFmtId="164" fontId="52" fillId="52" borderId="92" xfId="0" applyNumberFormat="1" applyFont="1" applyFill="1" applyBorder="1" applyAlignment="1" applyProtection="1">
      <alignment wrapText="1"/>
      <protection locked="0"/>
    </xf>
    <xf numFmtId="165" fontId="43" fillId="52" borderId="38" xfId="64" applyFont="1" applyFill="1" applyBorder="1"/>
    <xf numFmtId="165" fontId="43" fillId="52" borderId="14" xfId="64" applyFont="1" applyFill="1" applyBorder="1"/>
    <xf numFmtId="10" fontId="43" fillId="52" borderId="14" xfId="178" applyNumberFormat="1" applyFont="1" applyFill="1" applyBorder="1"/>
    <xf numFmtId="187" fontId="43" fillId="52" borderId="34" xfId="146" applyNumberFormat="1" applyFont="1" applyFill="1" applyBorder="1"/>
    <xf numFmtId="165" fontId="43" fillId="52" borderId="28" xfId="64" applyFont="1" applyFill="1" applyBorder="1"/>
    <xf numFmtId="10" fontId="43" fillId="52" borderId="56" xfId="178" applyNumberFormat="1" applyFont="1" applyFill="1" applyBorder="1"/>
    <xf numFmtId="38" fontId="43" fillId="52" borderId="56" xfId="41" applyNumberFormat="1" applyFont="1" applyFill="1" applyBorder="1"/>
    <xf numFmtId="187" fontId="43" fillId="52" borderId="48" xfId="146" applyNumberFormat="1" applyFont="1" applyFill="1" applyBorder="1"/>
    <xf numFmtId="164" fontId="52" fillId="53" borderId="92" xfId="321" applyNumberFormat="1" applyFont="1" applyFill="1" applyBorder="1" applyAlignment="1" applyProtection="1">
      <alignment wrapText="1"/>
      <protection locked="0"/>
    </xf>
    <xf numFmtId="17" fontId="19" fillId="35" borderId="0" xfId="0" applyNumberFormat="1" applyFont="1" applyFill="1"/>
    <xf numFmtId="17" fontId="19" fillId="35" borderId="0" xfId="0" applyNumberFormat="1" applyFont="1" applyFill="1" applyAlignment="1">
      <alignment horizontal="right"/>
    </xf>
    <xf numFmtId="0" fontId="22" fillId="35" borderId="0" xfId="272" applyFont="1" applyFill="1" applyBorder="1" applyAlignment="1">
      <alignment vertical="top"/>
    </xf>
    <xf numFmtId="0" fontId="18" fillId="35" borderId="0" xfId="272" applyFont="1" applyFill="1" applyBorder="1" applyAlignment="1">
      <alignment horizontal="center"/>
    </xf>
    <xf numFmtId="0" fontId="12" fillId="35" borderId="0" xfId="272" applyFont="1" applyFill="1"/>
    <xf numFmtId="0" fontId="22" fillId="35" borderId="0" xfId="272" applyFont="1" applyFill="1" applyBorder="1" applyAlignment="1">
      <alignment horizontal="left" vertical="top"/>
    </xf>
    <xf numFmtId="0" fontId="12" fillId="35" borderId="0" xfId="272" applyFont="1" applyFill="1" applyAlignment="1">
      <alignment vertical="top"/>
    </xf>
    <xf numFmtId="0" fontId="13" fillId="35" borderId="0" xfId="272" applyFont="1" applyFill="1" applyBorder="1" applyAlignment="1">
      <alignment horizontal="center"/>
    </xf>
    <xf numFmtId="0" fontId="13" fillId="35" borderId="0" xfId="272" applyFont="1" applyFill="1" applyBorder="1" applyAlignment="1">
      <alignment horizontal="right"/>
    </xf>
    <xf numFmtId="0" fontId="18" fillId="35" borderId="0" xfId="272" applyFont="1" applyFill="1" applyBorder="1" applyAlignment="1">
      <alignment horizontal="center" vertical="top"/>
    </xf>
    <xf numFmtId="0" fontId="18" fillId="35" borderId="0" xfId="272" applyFont="1" applyFill="1" applyAlignment="1">
      <alignment horizontal="left"/>
    </xf>
    <xf numFmtId="175" fontId="13" fillId="35" borderId="0" xfId="272" applyNumberFormat="1" applyFont="1" applyFill="1" applyAlignment="1">
      <alignment horizontal="right" vertical="top"/>
    </xf>
    <xf numFmtId="0" fontId="13" fillId="35" borderId="0" xfId="272" applyFont="1" applyFill="1" applyAlignment="1">
      <alignment horizontal="left"/>
    </xf>
    <xf numFmtId="0" fontId="13" fillId="35" borderId="0" xfId="272" applyFont="1" applyFill="1"/>
    <xf numFmtId="0" fontId="12" fillId="35" borderId="0" xfId="272" applyFont="1" applyFill="1" applyAlignment="1">
      <alignment horizontal="center" vertical="center" wrapText="1"/>
    </xf>
    <xf numFmtId="0" fontId="13" fillId="35" borderId="0" xfId="272" applyFont="1" applyFill="1" applyAlignment="1">
      <alignment horizontal="center" vertical="center" wrapText="1"/>
    </xf>
    <xf numFmtId="165" fontId="12" fillId="35" borderId="0" xfId="56" applyFont="1" applyFill="1" applyBorder="1"/>
    <xf numFmtId="201" fontId="12" fillId="35" borderId="0" xfId="56" applyNumberFormat="1" applyFont="1" applyFill="1"/>
    <xf numFmtId="174" fontId="12" fillId="0" borderId="14" xfId="0" applyNumberFormat="1" applyFont="1" applyFill="1" applyBorder="1" applyAlignment="1"/>
    <xf numFmtId="0" fontId="12" fillId="35" borderId="28" xfId="0" applyFont="1" applyFill="1" applyBorder="1" applyAlignment="1"/>
    <xf numFmtId="0" fontId="12" fillId="35" borderId="31" xfId="0" applyFont="1" applyFill="1" applyBorder="1" applyAlignment="1"/>
    <xf numFmtId="199" fontId="17" fillId="55" borderId="14" xfId="0" applyNumberFormat="1" applyFont="1" applyFill="1" applyBorder="1" applyProtection="1"/>
    <xf numFmtId="199" fontId="17" fillId="55" borderId="32" xfId="0" applyNumberFormat="1" applyFont="1" applyFill="1" applyBorder="1" applyProtection="1"/>
    <xf numFmtId="199" fontId="17" fillId="55" borderId="14" xfId="41" applyNumberFormat="1" applyFont="1" applyFill="1" applyBorder="1" applyAlignment="1" applyProtection="1">
      <alignment horizontal="center"/>
    </xf>
    <xf numFmtId="164" fontId="52" fillId="55" borderId="28" xfId="321" applyNumberFormat="1" applyFont="1" applyFill="1" applyBorder="1" applyAlignment="1" applyProtection="1">
      <alignment horizontal="center" vertical="top" wrapText="1"/>
      <protection locked="0"/>
    </xf>
    <xf numFmtId="164" fontId="52" fillId="55" borderId="28" xfId="321" applyNumberFormat="1" applyFont="1" applyFill="1" applyBorder="1" applyAlignment="1" applyProtection="1">
      <alignment horizontal="center" vertical="top" wrapText="1"/>
    </xf>
    <xf numFmtId="164" fontId="52" fillId="55" borderId="91" xfId="321" applyNumberFormat="1" applyFont="1" applyFill="1" applyBorder="1" applyAlignment="1" applyProtection="1">
      <alignment horizontal="center" vertical="top" wrapText="1"/>
      <protection locked="0"/>
    </xf>
    <xf numFmtId="14" fontId="52" fillId="55" borderId="157" xfId="321" applyNumberFormat="1" applyFont="1" applyFill="1" applyBorder="1" applyAlignment="1" applyProtection="1">
      <alignment horizontal="center" wrapText="1"/>
      <protection locked="0"/>
    </xf>
    <xf numFmtId="1" fontId="52" fillId="55" borderId="97" xfId="321" applyNumberFormat="1" applyFont="1" applyFill="1" applyBorder="1" applyAlignment="1" applyProtection="1">
      <alignment horizontal="center" wrapText="1"/>
      <protection locked="0"/>
    </xf>
    <xf numFmtId="188" fontId="51" fillId="55" borderId="56" xfId="321" applyNumberFormat="1" applyFont="1" applyFill="1" applyBorder="1" applyProtection="1">
      <protection locked="0"/>
    </xf>
    <xf numFmtId="14" fontId="52" fillId="55" borderId="97" xfId="321" applyNumberFormat="1" applyFont="1" applyFill="1" applyBorder="1" applyAlignment="1" applyProtection="1">
      <alignment horizontal="center" wrapText="1"/>
      <protection locked="0"/>
    </xf>
    <xf numFmtId="188" fontId="51" fillId="55" borderId="115" xfId="321" applyNumberFormat="1" applyFont="1" applyFill="1" applyBorder="1" applyProtection="1">
      <protection locked="0"/>
    </xf>
    <xf numFmtId="188" fontId="51" fillId="55" borderId="144" xfId="321" applyNumberFormat="1" applyFont="1" applyFill="1" applyBorder="1" applyProtection="1">
      <protection locked="0"/>
    </xf>
    <xf numFmtId="0" fontId="19" fillId="55" borderId="81" xfId="321" applyFont="1" applyFill="1" applyBorder="1" applyAlignment="1">
      <alignment horizontal="center"/>
    </xf>
    <xf numFmtId="173" fontId="19" fillId="55" borderId="76" xfId="321" applyNumberFormat="1" applyFont="1" applyFill="1" applyBorder="1" applyAlignment="1">
      <alignment horizontal="center"/>
    </xf>
    <xf numFmtId="0" fontId="19" fillId="55" borderId="82" xfId="321" applyFont="1" applyFill="1" applyBorder="1" applyAlignment="1">
      <alignment horizontal="center"/>
    </xf>
    <xf numFmtId="173" fontId="19" fillId="55" borderId="73" xfId="321" applyNumberFormat="1" applyFont="1" applyFill="1" applyBorder="1" applyAlignment="1">
      <alignment horizontal="center"/>
    </xf>
    <xf numFmtId="0" fontId="18" fillId="55" borderId="14" xfId="321" applyNumberFormat="1" applyFont="1" applyFill="1" applyBorder="1" applyAlignment="1">
      <alignment horizontal="right"/>
    </xf>
    <xf numFmtId="166" fontId="51" fillId="55" borderId="94" xfId="321" applyNumberFormat="1" applyFont="1" applyFill="1" applyBorder="1" applyProtection="1">
      <protection locked="0"/>
    </xf>
    <xf numFmtId="166" fontId="51" fillId="55" borderId="94" xfId="41" applyNumberFormat="1" applyFont="1" applyFill="1" applyBorder="1" applyProtection="1"/>
    <xf numFmtId="188" fontId="51" fillId="55" borderId="70" xfId="321" applyNumberFormat="1" applyFont="1" applyFill="1" applyBorder="1" applyProtection="1">
      <protection locked="0"/>
    </xf>
    <xf numFmtId="188" fontId="51" fillId="55" borderId="61" xfId="321" applyNumberFormat="1" applyFont="1" applyFill="1" applyBorder="1" applyProtection="1">
      <protection locked="0"/>
    </xf>
    <xf numFmtId="188" fontId="51" fillId="55" borderId="29" xfId="321" applyNumberFormat="1" applyFont="1" applyFill="1" applyBorder="1" applyProtection="1">
      <protection locked="0"/>
    </xf>
    <xf numFmtId="188" fontId="51" fillId="55" borderId="45" xfId="321" applyNumberFormat="1" applyFont="1" applyFill="1" applyBorder="1" applyProtection="1">
      <protection locked="0"/>
    </xf>
    <xf numFmtId="188" fontId="51" fillId="55" borderId="74" xfId="321" applyNumberFormat="1" applyFont="1" applyFill="1" applyBorder="1" applyProtection="1">
      <protection locked="0"/>
    </xf>
    <xf numFmtId="188" fontId="51" fillId="55" borderId="98" xfId="321" applyNumberFormat="1" applyFont="1" applyFill="1" applyBorder="1" applyProtection="1">
      <protection locked="0"/>
    </xf>
    <xf numFmtId="188" fontId="51" fillId="55" borderId="116" xfId="321" applyNumberFormat="1" applyFont="1" applyFill="1" applyBorder="1" applyProtection="1">
      <protection locked="0"/>
    </xf>
    <xf numFmtId="166" fontId="51" fillId="55" borderId="14" xfId="41" applyFont="1" applyFill="1" applyBorder="1" applyProtection="1"/>
    <xf numFmtId="188" fontId="51" fillId="55" borderId="56" xfId="321" applyNumberFormat="1" applyFont="1" applyFill="1" applyBorder="1" applyAlignment="1" applyProtection="1">
      <protection locked="0"/>
    </xf>
    <xf numFmtId="188" fontId="51" fillId="55" borderId="29" xfId="321" applyNumberFormat="1" applyFont="1" applyFill="1" applyBorder="1" applyAlignment="1" applyProtection="1">
      <protection locked="0"/>
    </xf>
    <xf numFmtId="188" fontId="51" fillId="55" borderId="70" xfId="321" applyNumberFormat="1" applyFont="1" applyFill="1" applyBorder="1" applyAlignment="1" applyProtection="1">
      <protection locked="0"/>
    </xf>
    <xf numFmtId="188" fontId="51" fillId="55" borderId="24" xfId="321" applyNumberFormat="1" applyFont="1" applyFill="1" applyBorder="1" applyAlignment="1" applyProtection="1">
      <protection locked="0"/>
    </xf>
    <xf numFmtId="188" fontId="51" fillId="55" borderId="14" xfId="321" applyNumberFormat="1" applyFont="1" applyFill="1" applyBorder="1" applyProtection="1">
      <protection locked="0"/>
    </xf>
    <xf numFmtId="188" fontId="51" fillId="55" borderId="144" xfId="321" applyNumberFormat="1" applyFont="1" applyFill="1" applyBorder="1" applyAlignment="1" applyProtection="1">
      <protection locked="0"/>
    </xf>
    <xf numFmtId="188" fontId="51" fillId="55" borderId="62" xfId="321" applyNumberFormat="1" applyFont="1" applyFill="1" applyBorder="1" applyProtection="1">
      <protection locked="0"/>
    </xf>
    <xf numFmtId="164" fontId="51" fillId="55" borderId="56" xfId="321" applyNumberFormat="1" applyFont="1" applyFill="1" applyBorder="1" applyAlignment="1" applyProtection="1">
      <alignment horizontal="right"/>
      <protection locked="0"/>
    </xf>
    <xf numFmtId="164" fontId="51" fillId="55" borderId="56" xfId="321" applyNumberFormat="1" applyFont="1" applyFill="1" applyBorder="1" applyAlignment="1" applyProtection="1">
      <protection locked="0"/>
    </xf>
    <xf numFmtId="188" fontId="51" fillId="55" borderId="24" xfId="0" applyNumberFormat="1" applyFont="1" applyFill="1" applyBorder="1" applyAlignment="1" applyProtection="1">
      <alignment horizontal="center"/>
    </xf>
    <xf numFmtId="188" fontId="51" fillId="55" borderId="31" xfId="321" applyNumberFormat="1" applyFont="1" applyFill="1" applyBorder="1" applyProtection="1">
      <protection locked="0"/>
    </xf>
    <xf numFmtId="188" fontId="51" fillId="55" borderId="34" xfId="0" applyNumberFormat="1" applyFont="1" applyFill="1" applyBorder="1" applyProtection="1"/>
    <xf numFmtId="188" fontId="51" fillId="55" borderId="63" xfId="0" applyNumberFormat="1" applyFont="1" applyFill="1" applyBorder="1" applyProtection="1"/>
    <xf numFmtId="188" fontId="51" fillId="55" borderId="64" xfId="0" applyNumberFormat="1" applyFont="1" applyFill="1" applyBorder="1" applyProtection="1"/>
    <xf numFmtId="199" fontId="51" fillId="55" borderId="34" xfId="0" applyNumberFormat="1" applyFont="1" applyFill="1" applyBorder="1"/>
    <xf numFmtId="199" fontId="51" fillId="55" borderId="41" xfId="0" applyNumberFormat="1" applyFont="1" applyFill="1" applyBorder="1"/>
    <xf numFmtId="199" fontId="51" fillId="55" borderId="161" xfId="0" applyNumberFormat="1" applyFont="1" applyFill="1" applyBorder="1"/>
    <xf numFmtId="199" fontId="51" fillId="55" borderId="14" xfId="41" applyNumberFormat="1" applyFont="1" applyFill="1" applyBorder="1" applyProtection="1"/>
    <xf numFmtId="0" fontId="0" fillId="56" borderId="0" xfId="0" applyFill="1"/>
    <xf numFmtId="0" fontId="62" fillId="57" borderId="0" xfId="36" applyFont="1" applyFill="1" applyAlignment="1">
      <alignment horizontal="center" vertical="center"/>
    </xf>
    <xf numFmtId="0" fontId="176" fillId="0" borderId="0" xfId="0" applyFont="1" applyFill="1" applyAlignment="1"/>
    <xf numFmtId="0" fontId="176" fillId="0" borderId="0" xfId="0" applyFont="1" applyFill="1" applyAlignment="1">
      <alignment vertical="top"/>
    </xf>
    <xf numFmtId="0" fontId="176" fillId="0" borderId="0" xfId="195" applyFont="1" applyFill="1" applyAlignment="1">
      <alignment vertical="top"/>
    </xf>
    <xf numFmtId="0" fontId="176" fillId="0" borderId="0" xfId="0" applyFont="1" applyFill="1" applyAlignment="1">
      <alignment vertical="top" wrapText="1"/>
    </xf>
    <xf numFmtId="0" fontId="177" fillId="0" borderId="0" xfId="0" applyFont="1" applyFill="1" applyAlignment="1"/>
    <xf numFmtId="0" fontId="177" fillId="0" borderId="0" xfId="0" applyFont="1" applyFill="1"/>
    <xf numFmtId="0" fontId="61" fillId="57" borderId="0" xfId="115" applyFill="1">
      <alignment horizontal="right" vertical="center"/>
    </xf>
    <xf numFmtId="0" fontId="19" fillId="56" borderId="0" xfId="150" applyFill="1">
      <alignment vertical="center"/>
    </xf>
    <xf numFmtId="0" fontId="9" fillId="56" borderId="0" xfId="319" applyFont="1" applyFill="1" applyBorder="1" applyAlignment="1">
      <alignment vertical="center"/>
    </xf>
    <xf numFmtId="0" fontId="178" fillId="47" borderId="0" xfId="114" applyFont="1" applyFill="1" applyAlignment="1">
      <alignment vertical="center"/>
    </xf>
    <xf numFmtId="0" fontId="178" fillId="47" borderId="0" xfId="117" applyFont="1" applyFill="1" applyAlignment="1">
      <alignment horizontal="left" vertical="center"/>
    </xf>
    <xf numFmtId="0" fontId="176" fillId="47" borderId="0" xfId="114" applyFont="1" applyFill="1" applyAlignment="1">
      <alignment vertical="center"/>
    </xf>
    <xf numFmtId="0" fontId="176" fillId="47" borderId="0" xfId="117" applyFont="1" applyFill="1" applyAlignment="1">
      <alignment horizontal="left" vertical="center"/>
    </xf>
    <xf numFmtId="0" fontId="179" fillId="47" borderId="0" xfId="116" applyFont="1" applyFill="1">
      <alignment vertical="center"/>
    </xf>
    <xf numFmtId="0" fontId="177" fillId="47" borderId="0" xfId="316" applyFont="1" applyFill="1">
      <alignment vertical="center"/>
    </xf>
    <xf numFmtId="14" fontId="52" fillId="55" borderId="28" xfId="321" applyNumberFormat="1" applyFont="1" applyFill="1" applyBorder="1" applyAlignment="1" applyProtection="1">
      <alignment horizontal="center" vertical="top" wrapText="1"/>
      <protection locked="0"/>
    </xf>
    <xf numFmtId="166" fontId="17" fillId="55" borderId="14" xfId="0" applyNumberFormat="1" applyFont="1" applyFill="1" applyBorder="1" applyProtection="1">
      <protection hidden="1"/>
    </xf>
    <xf numFmtId="166" fontId="17" fillId="55" borderId="14" xfId="41" applyFont="1" applyFill="1" applyBorder="1" applyAlignment="1" applyProtection="1">
      <alignment horizontal="center"/>
      <protection hidden="1"/>
    </xf>
    <xf numFmtId="164" fontId="52" fillId="55" borderId="14" xfId="321" applyNumberFormat="1" applyFont="1" applyFill="1" applyBorder="1" applyAlignment="1" applyProtection="1">
      <alignment horizontal="center" vertical="top" wrapText="1"/>
    </xf>
    <xf numFmtId="188" fontId="51" fillId="55" borderId="29" xfId="321" applyNumberFormat="1" applyFont="1" applyFill="1" applyBorder="1" applyAlignment="1" applyProtection="1">
      <protection locked="0" hidden="1"/>
    </xf>
    <xf numFmtId="188" fontId="51" fillId="55" borderId="29" xfId="41" applyNumberFormat="1" applyFont="1" applyFill="1" applyBorder="1" applyAlignment="1" applyProtection="1">
      <protection locked="0" hidden="1"/>
    </xf>
    <xf numFmtId="188" fontId="51" fillId="55" borderId="143" xfId="41" applyNumberFormat="1" applyFont="1" applyFill="1" applyBorder="1" applyAlignment="1" applyProtection="1">
      <protection locked="0" hidden="1"/>
    </xf>
    <xf numFmtId="188" fontId="51" fillId="55" borderId="56" xfId="321" applyNumberFormat="1" applyFont="1" applyFill="1" applyBorder="1" applyAlignment="1" applyProtection="1">
      <protection locked="0" hidden="1"/>
    </xf>
    <xf numFmtId="188" fontId="51" fillId="55" borderId="56" xfId="41" applyNumberFormat="1" applyFont="1" applyFill="1" applyBorder="1" applyAlignment="1" applyProtection="1">
      <protection locked="0" hidden="1"/>
    </xf>
    <xf numFmtId="188" fontId="51" fillId="55" borderId="144" xfId="41" applyNumberFormat="1" applyFont="1" applyFill="1" applyBorder="1" applyAlignment="1" applyProtection="1">
      <protection locked="0" hidden="1"/>
    </xf>
    <xf numFmtId="188" fontId="51" fillId="55" borderId="28" xfId="321" applyNumberFormat="1" applyFont="1" applyFill="1" applyBorder="1" applyAlignment="1" applyProtection="1">
      <alignment horizontal="center"/>
      <protection locked="0" hidden="1"/>
    </xf>
    <xf numFmtId="188" fontId="51" fillId="55" borderId="56" xfId="321" applyNumberFormat="1" applyFont="1" applyFill="1" applyBorder="1" applyAlignment="1" applyProtection="1">
      <alignment horizontal="center"/>
      <protection locked="0" hidden="1"/>
    </xf>
    <xf numFmtId="188" fontId="51" fillId="55" borderId="31" xfId="321" applyNumberFormat="1" applyFont="1" applyFill="1" applyBorder="1" applyAlignment="1" applyProtection="1">
      <alignment horizontal="center"/>
      <protection locked="0" hidden="1"/>
    </xf>
    <xf numFmtId="188" fontId="51" fillId="55" borderId="28" xfId="321" applyNumberFormat="1" applyFont="1" applyFill="1" applyBorder="1" applyAlignment="1" applyProtection="1">
      <protection locked="0" hidden="1"/>
    </xf>
    <xf numFmtId="188" fontId="51" fillId="55" borderId="22" xfId="321" applyNumberFormat="1" applyFont="1" applyFill="1" applyBorder="1" applyAlignment="1" applyProtection="1">
      <protection locked="0" hidden="1"/>
    </xf>
    <xf numFmtId="188" fontId="51" fillId="55" borderId="28" xfId="41" applyNumberFormat="1" applyFont="1" applyFill="1" applyBorder="1" applyAlignment="1" applyProtection="1">
      <protection locked="0" hidden="1"/>
    </xf>
    <xf numFmtId="188" fontId="51" fillId="55" borderId="68" xfId="41" applyNumberFormat="1" applyFont="1" applyFill="1" applyBorder="1" applyAlignment="1" applyProtection="1">
      <protection locked="0" hidden="1"/>
    </xf>
    <xf numFmtId="188" fontId="51" fillId="55" borderId="61" xfId="321" applyNumberFormat="1" applyFont="1" applyFill="1" applyBorder="1" applyAlignment="1" applyProtection="1">
      <protection locked="0" hidden="1"/>
    </xf>
    <xf numFmtId="188" fontId="51" fillId="55" borderId="115" xfId="41" applyNumberFormat="1" applyFont="1" applyFill="1" applyBorder="1" applyAlignment="1" applyProtection="1">
      <protection locked="0" hidden="1"/>
    </xf>
    <xf numFmtId="188" fontId="51" fillId="55" borderId="25" xfId="321" applyNumberFormat="1" applyFont="1" applyFill="1" applyBorder="1" applyAlignment="1" applyProtection="1">
      <protection locked="0" hidden="1"/>
    </xf>
    <xf numFmtId="188" fontId="51" fillId="55" borderId="31" xfId="321" applyNumberFormat="1" applyFont="1" applyFill="1" applyBorder="1" applyAlignment="1" applyProtection="1">
      <protection locked="0" hidden="1"/>
    </xf>
    <xf numFmtId="188" fontId="51" fillId="55" borderId="31" xfId="41" applyNumberFormat="1" applyFont="1" applyFill="1" applyBorder="1" applyAlignment="1" applyProtection="1">
      <protection locked="0" hidden="1"/>
    </xf>
    <xf numFmtId="188" fontId="51" fillId="55" borderId="59" xfId="41" applyNumberFormat="1" applyFont="1" applyFill="1" applyBorder="1" applyAlignment="1" applyProtection="1">
      <protection locked="0" hidden="1"/>
    </xf>
    <xf numFmtId="188" fontId="51" fillId="55" borderId="61" xfId="41" applyNumberFormat="1" applyFont="1" applyFill="1" applyBorder="1" applyAlignment="1" applyProtection="1">
      <protection locked="0" hidden="1"/>
    </xf>
    <xf numFmtId="188" fontId="51" fillId="55" borderId="20" xfId="321" applyNumberFormat="1" applyFont="1" applyFill="1" applyBorder="1" applyAlignment="1" applyProtection="1">
      <protection locked="0" hidden="1"/>
    </xf>
    <xf numFmtId="188" fontId="51" fillId="55" borderId="20" xfId="41" applyNumberFormat="1" applyFont="1" applyFill="1" applyBorder="1" applyAlignment="1" applyProtection="1">
      <protection locked="0" hidden="1"/>
    </xf>
    <xf numFmtId="188" fontId="51" fillId="55" borderId="56" xfId="41" applyNumberFormat="1" applyFont="1" applyFill="1" applyBorder="1" applyAlignment="1" applyProtection="1">
      <protection locked="0"/>
    </xf>
    <xf numFmtId="188" fontId="51" fillId="55" borderId="144" xfId="41" applyNumberFormat="1" applyFont="1" applyFill="1" applyBorder="1" applyAlignment="1" applyProtection="1">
      <protection locked="0"/>
    </xf>
    <xf numFmtId="188" fontId="51" fillId="55" borderId="38" xfId="321" applyNumberFormat="1" applyFont="1" applyFill="1" applyBorder="1" applyAlignment="1" applyProtection="1">
      <protection locked="0" hidden="1"/>
    </xf>
    <xf numFmtId="188" fontId="51" fillId="55" borderId="14" xfId="321" applyNumberFormat="1" applyFont="1" applyFill="1" applyBorder="1" applyAlignment="1" applyProtection="1">
      <protection locked="0" hidden="1"/>
    </xf>
    <xf numFmtId="188" fontId="51" fillId="55" borderId="32" xfId="321" applyNumberFormat="1" applyFont="1" applyFill="1" applyBorder="1" applyAlignment="1" applyProtection="1">
      <protection locked="0" hidden="1"/>
    </xf>
    <xf numFmtId="188" fontId="51" fillId="55" borderId="253" xfId="321" applyNumberFormat="1" applyFont="1" applyFill="1" applyBorder="1" applyAlignment="1" applyProtection="1">
      <protection locked="0" hidden="1"/>
    </xf>
    <xf numFmtId="188" fontId="51" fillId="55" borderId="70" xfId="321" applyNumberFormat="1" applyFont="1" applyFill="1" applyBorder="1" applyAlignment="1" applyProtection="1">
      <protection locked="0" hidden="1"/>
    </xf>
    <xf numFmtId="188" fontId="51" fillId="55" borderId="119" xfId="41" applyNumberFormat="1" applyFont="1" applyFill="1" applyBorder="1" applyAlignment="1" applyProtection="1">
      <protection locked="0" hidden="1"/>
    </xf>
    <xf numFmtId="188" fontId="51" fillId="55" borderId="118" xfId="41" applyNumberFormat="1" applyFont="1" applyFill="1" applyBorder="1" applyAlignment="1" applyProtection="1">
      <protection locked="0" hidden="1"/>
    </xf>
    <xf numFmtId="188" fontId="51" fillId="55" borderId="244" xfId="41" applyNumberFormat="1" applyFont="1" applyFill="1" applyBorder="1" applyAlignment="1" applyProtection="1">
      <protection locked="0" hidden="1"/>
    </xf>
    <xf numFmtId="188" fontId="51" fillId="55" borderId="45" xfId="41" applyNumberFormat="1" applyFont="1" applyFill="1" applyBorder="1" applyAlignment="1" applyProtection="1">
      <protection locked="0" hidden="1"/>
    </xf>
    <xf numFmtId="188" fontId="18" fillId="55" borderId="49" xfId="0" applyNumberFormat="1" applyFont="1" applyFill="1" applyBorder="1" applyAlignment="1" applyProtection="1">
      <protection hidden="1"/>
    </xf>
    <xf numFmtId="188" fontId="18" fillId="55" borderId="161" xfId="0" applyNumberFormat="1" applyFont="1" applyFill="1" applyBorder="1" applyAlignment="1" applyProtection="1">
      <protection hidden="1"/>
    </xf>
    <xf numFmtId="188" fontId="51" fillId="55" borderId="38" xfId="321" applyNumberFormat="1" applyFont="1" applyFill="1" applyBorder="1" applyProtection="1">
      <protection locked="0"/>
    </xf>
    <xf numFmtId="188" fontId="51" fillId="55" borderId="27" xfId="41" applyNumberFormat="1" applyFont="1" applyFill="1" applyBorder="1" applyProtection="1">
      <protection locked="0"/>
    </xf>
    <xf numFmtId="188" fontId="51" fillId="55" borderId="56" xfId="0" applyNumberFormat="1" applyFont="1" applyFill="1" applyBorder="1" applyAlignment="1" applyProtection="1">
      <protection locked="0" hidden="1"/>
    </xf>
    <xf numFmtId="199" fontId="51" fillId="55" borderId="49" xfId="0" applyNumberFormat="1" applyFont="1" applyFill="1" applyBorder="1" applyAlignment="1" applyProtection="1">
      <protection hidden="1"/>
    </xf>
    <xf numFmtId="199" fontId="51" fillId="55" borderId="34" xfId="0" applyNumberFormat="1" applyFont="1" applyFill="1" applyBorder="1" applyAlignment="1" applyProtection="1">
      <protection hidden="1"/>
    </xf>
    <xf numFmtId="199" fontId="51" fillId="55" borderId="121" xfId="0" applyNumberFormat="1" applyFont="1" applyFill="1" applyBorder="1" applyAlignment="1" applyProtection="1">
      <protection hidden="1"/>
    </xf>
    <xf numFmtId="166" fontId="18" fillId="55" borderId="14" xfId="41" applyFont="1" applyFill="1" applyBorder="1" applyProtection="1">
      <protection hidden="1"/>
    </xf>
    <xf numFmtId="0" fontId="18" fillId="55" borderId="42" xfId="0" applyFont="1" applyFill="1" applyBorder="1" applyProtection="1">
      <protection hidden="1"/>
    </xf>
    <xf numFmtId="0" fontId="18" fillId="55" borderId="0" xfId="0" applyFont="1" applyFill="1" applyBorder="1" applyProtection="1">
      <protection hidden="1"/>
    </xf>
    <xf numFmtId="0" fontId="51" fillId="55" borderId="0" xfId="0" applyFont="1" applyFill="1" applyBorder="1" applyProtection="1">
      <protection hidden="1"/>
    </xf>
    <xf numFmtId="0" fontId="0" fillId="55" borderId="0" xfId="0" applyFill="1" applyBorder="1" applyProtection="1">
      <protection hidden="1"/>
    </xf>
    <xf numFmtId="166" fontId="51" fillId="55" borderId="31" xfId="41" applyFont="1" applyFill="1" applyBorder="1" applyProtection="1">
      <protection hidden="1"/>
    </xf>
    <xf numFmtId="186" fontId="51" fillId="55" borderId="14" xfId="41" applyNumberFormat="1" applyFont="1" applyFill="1" applyBorder="1" applyProtection="1">
      <protection hidden="1"/>
    </xf>
    <xf numFmtId="0" fontId="12" fillId="35" borderId="0" xfId="0" applyFont="1" applyFill="1" applyAlignment="1">
      <alignment horizontal="center"/>
    </xf>
    <xf numFmtId="0" fontId="0" fillId="35" borderId="244" xfId="0" applyFill="1" applyBorder="1"/>
    <xf numFmtId="166" fontId="19" fillId="58" borderId="192" xfId="321" applyNumberFormat="1" applyFont="1" applyFill="1" applyBorder="1"/>
    <xf numFmtId="166" fontId="19" fillId="58" borderId="193" xfId="321" applyNumberFormat="1" applyFont="1" applyFill="1" applyBorder="1"/>
    <xf numFmtId="0" fontId="182" fillId="0" borderId="0" xfId="131" applyFont="1" applyAlignment="1" applyProtection="1"/>
    <xf numFmtId="188" fontId="51" fillId="0" borderId="62" xfId="0" applyNumberFormat="1" applyFont="1" applyFill="1" applyBorder="1" applyProtection="1"/>
    <xf numFmtId="188" fontId="51" fillId="0" borderId="24" xfId="0" applyNumberFormat="1" applyFont="1" applyFill="1" applyBorder="1" applyProtection="1"/>
    <xf numFmtId="0" fontId="12" fillId="0" borderId="0" xfId="0" quotePrefix="1" applyFont="1" applyFill="1" applyBorder="1" applyAlignment="1">
      <alignment horizontal="right"/>
    </xf>
    <xf numFmtId="0" fontId="27" fillId="40" borderId="111" xfId="131" applyFill="1" applyBorder="1" applyAlignment="1" applyProtection="1"/>
    <xf numFmtId="0" fontId="151" fillId="55" borderId="264" xfId="133" applyFont="1" applyFill="1" applyBorder="1" applyAlignment="1">
      <alignment horizontal="center"/>
    </xf>
    <xf numFmtId="0" fontId="52" fillId="55" borderId="14" xfId="0" applyFont="1" applyFill="1" applyBorder="1" applyAlignment="1">
      <alignment horizontal="center"/>
    </xf>
    <xf numFmtId="188" fontId="51" fillId="35" borderId="244" xfId="0" applyNumberFormat="1" applyFont="1" applyFill="1" applyBorder="1" applyAlignment="1" applyProtection="1">
      <protection hidden="1"/>
    </xf>
    <xf numFmtId="165" fontId="12" fillId="35" borderId="14" xfId="56" applyFont="1" applyFill="1" applyBorder="1"/>
    <xf numFmtId="0" fontId="142" fillId="59" borderId="128" xfId="0" applyFont="1" applyFill="1" applyBorder="1" applyAlignment="1">
      <alignment horizontal="left" vertical="center"/>
    </xf>
    <xf numFmtId="0" fontId="142" fillId="59" borderId="130" xfId="0" applyFont="1" applyFill="1" applyBorder="1" applyAlignment="1">
      <alignment vertical="center"/>
    </xf>
    <xf numFmtId="0" fontId="142" fillId="59" borderId="134" xfId="0" applyFont="1" applyFill="1" applyBorder="1" applyAlignment="1">
      <alignment vertical="center"/>
    </xf>
    <xf numFmtId="0" fontId="138" fillId="59" borderId="128" xfId="0" applyFont="1" applyFill="1" applyBorder="1" applyAlignment="1">
      <alignment horizontal="left" vertical="center"/>
    </xf>
    <xf numFmtId="0" fontId="138" fillId="59" borderId="135" xfId="0" applyFont="1" applyFill="1" applyBorder="1" applyAlignment="1">
      <alignment horizontal="left" vertical="center"/>
    </xf>
    <xf numFmtId="0" fontId="138" fillId="59" borderId="129" xfId="0" applyFont="1" applyFill="1" applyBorder="1" applyAlignment="1">
      <alignment horizontal="center" vertical="center"/>
    </xf>
    <xf numFmtId="0" fontId="143" fillId="59" borderId="15" xfId="0" applyFont="1" applyFill="1" applyBorder="1" applyAlignment="1">
      <alignment vertical="center"/>
    </xf>
    <xf numFmtId="0" fontId="143" fillId="59" borderId="15" xfId="0" applyFont="1" applyFill="1" applyBorder="1" applyAlignment="1">
      <alignment horizontal="center" vertical="center"/>
    </xf>
    <xf numFmtId="0" fontId="143" fillId="59" borderId="124" xfId="0" applyFont="1" applyFill="1" applyBorder="1" applyAlignment="1">
      <alignment vertical="center"/>
    </xf>
    <xf numFmtId="0" fontId="143" fillId="59" borderId="131" xfId="0" applyFont="1" applyFill="1" applyBorder="1" applyAlignment="1">
      <alignment horizontal="center" vertical="center"/>
    </xf>
    <xf numFmtId="0" fontId="143" fillId="59" borderId="132" xfId="0" applyFont="1" applyFill="1" applyBorder="1" applyAlignment="1">
      <alignment horizontal="left" vertical="center"/>
    </xf>
    <xf numFmtId="0" fontId="143" fillId="59" borderId="133" xfId="0" applyFont="1" applyFill="1" applyBorder="1" applyAlignment="1">
      <alignment horizontal="left" vertical="center"/>
    </xf>
    <xf numFmtId="0" fontId="143" fillId="59" borderId="130" xfId="0" applyFont="1" applyFill="1" applyBorder="1" applyAlignment="1">
      <alignment horizontal="left" vertical="center"/>
    </xf>
    <xf numFmtId="0" fontId="143" fillId="59" borderId="134" xfId="0" applyFont="1" applyFill="1" applyBorder="1" applyAlignment="1">
      <alignment horizontal="left" vertical="center"/>
    </xf>
    <xf numFmtId="0" fontId="0" fillId="59" borderId="0" xfId="0" applyFill="1"/>
    <xf numFmtId="0" fontId="183" fillId="0" borderId="0" xfId="0" applyFont="1" applyAlignment="1"/>
    <xf numFmtId="0" fontId="61" fillId="60" borderId="0" xfId="36" applyFill="1" applyAlignment="1">
      <alignment horizontal="left" vertical="center"/>
    </xf>
    <xf numFmtId="0" fontId="61" fillId="60" borderId="0" xfId="36" applyFill="1" applyAlignment="1">
      <alignment horizontal="center" vertical="center" wrapText="1"/>
    </xf>
    <xf numFmtId="0" fontId="61" fillId="60" borderId="0" xfId="36" applyFill="1" applyAlignment="1">
      <alignment horizontal="right" vertical="center"/>
    </xf>
    <xf numFmtId="0" fontId="92" fillId="59" borderId="0" xfId="0" applyFont="1" applyFill="1" applyAlignment="1">
      <alignment horizontal="left"/>
    </xf>
    <xf numFmtId="0" fontId="62" fillId="60" borderId="0" xfId="36" applyFont="1" applyFill="1" applyBorder="1" applyAlignment="1">
      <alignment vertical="center"/>
    </xf>
    <xf numFmtId="0" fontId="12" fillId="0" borderId="0" xfId="0" applyFont="1" applyAlignment="1"/>
    <xf numFmtId="0" fontId="122" fillId="35" borderId="0" xfId="0" applyFont="1" applyFill="1" applyAlignment="1">
      <alignment wrapText="1"/>
    </xf>
    <xf numFmtId="10" fontId="27" fillId="47" borderId="0" xfId="178" applyNumberFormat="1" applyFont="1" applyFill="1" applyAlignment="1" applyProtection="1">
      <alignment vertical="top"/>
    </xf>
    <xf numFmtId="0" fontId="12" fillId="35" borderId="22" xfId="0" applyFont="1" applyFill="1" applyBorder="1" applyAlignment="1"/>
    <xf numFmtId="0" fontId="12" fillId="35" borderId="18" xfId="0" applyFont="1" applyFill="1" applyBorder="1" applyAlignment="1"/>
    <xf numFmtId="0" fontId="12" fillId="35" borderId="244" xfId="0" applyFont="1" applyFill="1" applyBorder="1" applyAlignment="1"/>
    <xf numFmtId="0" fontId="12" fillId="35" borderId="0" xfId="0" applyFont="1" applyFill="1" applyBorder="1" applyAlignment="1"/>
    <xf numFmtId="0" fontId="157" fillId="35" borderId="244" xfId="0" applyFont="1" applyFill="1" applyBorder="1"/>
    <xf numFmtId="0" fontId="12" fillId="35" borderId="244" xfId="0" applyFont="1" applyFill="1" applyBorder="1"/>
    <xf numFmtId="0" fontId="13" fillId="48" borderId="14" xfId="56" applyNumberFormat="1" applyFont="1" applyFill="1" applyBorder="1"/>
    <xf numFmtId="10" fontId="0" fillId="35" borderId="0" xfId="178" applyNumberFormat="1" applyFont="1" applyFill="1"/>
    <xf numFmtId="0" fontId="13" fillId="47" borderId="0" xfId="311" applyFont="1" applyFill="1" applyBorder="1"/>
    <xf numFmtId="0" fontId="12" fillId="47" borderId="0" xfId="311" applyFont="1" applyFill="1" applyBorder="1"/>
    <xf numFmtId="165" fontId="12" fillId="47" borderId="0" xfId="312" applyFont="1" applyFill="1" applyBorder="1"/>
    <xf numFmtId="0" fontId="13" fillId="47" borderId="246" xfId="311" applyFont="1" applyFill="1" applyBorder="1"/>
    <xf numFmtId="0" fontId="12" fillId="47" borderId="246" xfId="311" applyFont="1" applyFill="1" applyBorder="1"/>
    <xf numFmtId="166" fontId="12" fillId="47" borderId="246" xfId="310" applyFont="1" applyFill="1" applyBorder="1"/>
    <xf numFmtId="165" fontId="12" fillId="47" borderId="246" xfId="312" applyFont="1" applyFill="1" applyBorder="1"/>
    <xf numFmtId="40" fontId="165" fillId="47" borderId="0" xfId="308" applyNumberFormat="1" applyFont="1" applyFill="1" applyBorder="1"/>
    <xf numFmtId="0" fontId="12" fillId="47" borderId="250" xfId="0" applyFont="1" applyFill="1" applyBorder="1" applyAlignment="1">
      <alignment horizontal="center" vertical="top"/>
    </xf>
    <xf numFmtId="177" fontId="18" fillId="47" borderId="0" xfId="144" applyNumberFormat="1" applyFont="1" applyFill="1" applyBorder="1" applyAlignment="1">
      <alignment horizontal="centerContinuous" vertical="center"/>
    </xf>
    <xf numFmtId="0" fontId="19" fillId="61" borderId="188" xfId="321" applyFont="1" applyFill="1" applyBorder="1" applyAlignment="1">
      <alignment horizontal="center"/>
    </xf>
    <xf numFmtId="173" fontId="19" fillId="61" borderId="189" xfId="321" applyNumberFormat="1" applyFont="1" applyFill="1" applyBorder="1" applyAlignment="1">
      <alignment horizontal="center"/>
    </xf>
    <xf numFmtId="0" fontId="19" fillId="61" borderId="190" xfId="321" applyFont="1" applyFill="1" applyBorder="1" applyAlignment="1">
      <alignment horizontal="center"/>
    </xf>
    <xf numFmtId="173" fontId="19" fillId="61" borderId="191" xfId="321" applyNumberFormat="1" applyFont="1" applyFill="1" applyBorder="1" applyAlignment="1">
      <alignment horizontal="center"/>
    </xf>
    <xf numFmtId="0" fontId="19" fillId="61" borderId="198" xfId="321" applyFont="1" applyFill="1" applyBorder="1" applyAlignment="1">
      <alignment horizontal="left"/>
    </xf>
    <xf numFmtId="0" fontId="19" fillId="61" borderId="199" xfId="321" applyFont="1" applyFill="1" applyBorder="1" applyAlignment="1">
      <alignment horizontal="left"/>
    </xf>
    <xf numFmtId="166" fontId="19" fillId="61" borderId="198" xfId="321" applyNumberFormat="1" applyFont="1" applyFill="1" applyBorder="1"/>
    <xf numFmtId="166" fontId="19" fillId="61" borderId="199" xfId="321" applyNumberFormat="1" applyFont="1" applyFill="1" applyBorder="1"/>
    <xf numFmtId="0" fontId="19" fillId="61" borderId="214" xfId="321" applyFont="1" applyFill="1" applyBorder="1" applyAlignment="1">
      <alignment horizontal="left"/>
    </xf>
    <xf numFmtId="0" fontId="19" fillId="61" borderId="212" xfId="321" applyFont="1" applyFill="1" applyBorder="1" applyAlignment="1">
      <alignment horizontal="left"/>
    </xf>
    <xf numFmtId="0" fontId="19" fillId="61" borderId="217" xfId="321" applyFont="1" applyFill="1" applyBorder="1" applyAlignment="1">
      <alignment horizontal="left"/>
    </xf>
    <xf numFmtId="0" fontId="18" fillId="61" borderId="14" xfId="321" applyNumberFormat="1" applyFont="1" applyFill="1" applyBorder="1" applyAlignment="1">
      <alignment horizontal="right"/>
    </xf>
    <xf numFmtId="3" fontId="19" fillId="61" borderId="28" xfId="321" applyNumberFormat="1" applyFont="1" applyFill="1" applyBorder="1" applyAlignment="1">
      <alignment horizontal="center"/>
    </xf>
    <xf numFmtId="173" fontId="19" fillId="61" borderId="28" xfId="321" applyNumberFormat="1" applyFont="1" applyFill="1" applyBorder="1" applyAlignment="1">
      <alignment horizontal="center"/>
    </xf>
    <xf numFmtId="166" fontId="19" fillId="61" borderId="28" xfId="321" applyNumberFormat="1" applyFont="1" applyFill="1" applyBorder="1" applyAlignment="1">
      <alignment horizontal="center"/>
    </xf>
    <xf numFmtId="177" fontId="19" fillId="61" borderId="22" xfId="321" applyNumberFormat="1" applyFont="1" applyFill="1" applyBorder="1" applyAlignment="1">
      <alignment horizontal="center"/>
    </xf>
    <xf numFmtId="199" fontId="19" fillId="61" borderId="28" xfId="321" applyNumberFormat="1" applyFont="1" applyFill="1" applyBorder="1"/>
    <xf numFmtId="3" fontId="19" fillId="61" borderId="198" xfId="321" applyNumberFormat="1" applyFont="1" applyFill="1" applyBorder="1" applyAlignment="1">
      <alignment horizontal="center"/>
    </xf>
    <xf numFmtId="173" fontId="19" fillId="61" borderId="198" xfId="321" applyNumberFormat="1" applyFont="1" applyFill="1" applyBorder="1" applyAlignment="1">
      <alignment horizontal="center"/>
    </xf>
    <xf numFmtId="166" fontId="19" fillId="61" borderId="198" xfId="321" applyNumberFormat="1" applyFont="1" applyFill="1" applyBorder="1" applyAlignment="1">
      <alignment horizontal="center"/>
    </xf>
    <xf numFmtId="177" fontId="19" fillId="61" borderId="213" xfId="321" applyNumberFormat="1" applyFont="1" applyFill="1" applyBorder="1" applyAlignment="1">
      <alignment horizontal="center"/>
    </xf>
    <xf numFmtId="199" fontId="19" fillId="61" borderId="198" xfId="321" applyNumberFormat="1" applyFont="1" applyFill="1" applyBorder="1"/>
    <xf numFmtId="3" fontId="19" fillId="61" borderId="31" xfId="321" applyNumberFormat="1" applyFont="1" applyFill="1" applyBorder="1" applyAlignment="1">
      <alignment horizontal="center"/>
    </xf>
    <xf numFmtId="173" fontId="19" fillId="61" borderId="31" xfId="321" applyNumberFormat="1" applyFont="1" applyFill="1" applyBorder="1" applyAlignment="1">
      <alignment horizontal="center"/>
    </xf>
    <xf numFmtId="166" fontId="19" fillId="61" borderId="31" xfId="321" applyNumberFormat="1" applyFont="1" applyFill="1" applyBorder="1" applyAlignment="1">
      <alignment horizontal="center"/>
    </xf>
    <xf numFmtId="177" fontId="19" fillId="61" borderId="25" xfId="321" applyNumberFormat="1" applyFont="1" applyFill="1" applyBorder="1" applyAlignment="1">
      <alignment horizontal="center"/>
    </xf>
    <xf numFmtId="199" fontId="19" fillId="61" borderId="31" xfId="321" applyNumberFormat="1" applyFont="1" applyFill="1" applyBorder="1"/>
    <xf numFmtId="3" fontId="19" fillId="61" borderId="199" xfId="321" applyNumberFormat="1" applyFont="1" applyFill="1" applyBorder="1" applyAlignment="1">
      <alignment horizontal="center"/>
    </xf>
    <xf numFmtId="173" fontId="19" fillId="61" borderId="199" xfId="321" applyNumberFormat="1" applyFont="1" applyFill="1" applyBorder="1" applyAlignment="1">
      <alignment horizontal="center"/>
    </xf>
    <xf numFmtId="166" fontId="19" fillId="61" borderId="199" xfId="321" applyNumberFormat="1" applyFont="1" applyFill="1" applyBorder="1" applyAlignment="1">
      <alignment horizontal="center"/>
    </xf>
    <xf numFmtId="177" fontId="19" fillId="61" borderId="215" xfId="321" applyNumberFormat="1" applyFont="1" applyFill="1" applyBorder="1" applyAlignment="1">
      <alignment horizontal="center"/>
    </xf>
    <xf numFmtId="199" fontId="19" fillId="61" borderId="199" xfId="321" applyNumberFormat="1" applyFont="1" applyFill="1" applyBorder="1"/>
    <xf numFmtId="3" fontId="19" fillId="61" borderId="28" xfId="0" applyNumberFormat="1" applyFont="1" applyFill="1" applyBorder="1" applyAlignment="1">
      <alignment horizontal="center"/>
    </xf>
    <xf numFmtId="173" fontId="19" fillId="61" borderId="28" xfId="0" applyNumberFormat="1" applyFont="1" applyFill="1" applyBorder="1" applyAlignment="1">
      <alignment horizontal="center"/>
    </xf>
    <xf numFmtId="166" fontId="19" fillId="61" borderId="28" xfId="41" applyNumberFormat="1" applyFont="1" applyFill="1" applyBorder="1" applyAlignment="1">
      <alignment horizontal="center"/>
    </xf>
    <xf numFmtId="177" fontId="19" fillId="61" borderId="22" xfId="178" applyNumberFormat="1" applyFont="1" applyFill="1" applyBorder="1" applyAlignment="1">
      <alignment horizontal="center"/>
    </xf>
    <xf numFmtId="199" fontId="19" fillId="61" borderId="28" xfId="41" applyNumberFormat="1" applyFont="1" applyFill="1" applyBorder="1"/>
    <xf numFmtId="3" fontId="19" fillId="61" borderId="199" xfId="0" applyNumberFormat="1" applyFont="1" applyFill="1" applyBorder="1" applyAlignment="1">
      <alignment horizontal="center"/>
    </xf>
    <xf numFmtId="173" fontId="19" fillId="61" borderId="199" xfId="0" applyNumberFormat="1" applyFont="1" applyFill="1" applyBorder="1" applyAlignment="1">
      <alignment horizontal="center"/>
    </xf>
    <xf numFmtId="166" fontId="19" fillId="61" borderId="199" xfId="41" applyNumberFormat="1" applyFont="1" applyFill="1" applyBorder="1" applyAlignment="1">
      <alignment horizontal="center"/>
    </xf>
    <xf numFmtId="177" fontId="19" fillId="61" borderId="215" xfId="178" applyNumberFormat="1" applyFont="1" applyFill="1" applyBorder="1" applyAlignment="1">
      <alignment horizontal="center"/>
    </xf>
    <xf numFmtId="199" fontId="19" fillId="61" borderId="199" xfId="41" applyNumberFormat="1" applyFont="1" applyFill="1" applyBorder="1"/>
    <xf numFmtId="199" fontId="19" fillId="61" borderId="14" xfId="0" applyNumberFormat="1" applyFont="1" applyFill="1" applyBorder="1" applyAlignment="1">
      <alignment horizontal="center"/>
    </xf>
    <xf numFmtId="0" fontId="12" fillId="40" borderId="38" xfId="0" applyFont="1" applyFill="1" applyBorder="1"/>
    <xf numFmtId="0" fontId="12" fillId="47" borderId="105" xfId="131" applyFont="1" applyFill="1" applyBorder="1" applyAlignment="1" applyProtection="1">
      <alignment horizontal="left" vertical="top" indent="1"/>
    </xf>
    <xf numFmtId="0" fontId="12" fillId="47" borderId="17" xfId="131" applyFont="1" applyFill="1" applyBorder="1" applyAlignment="1" applyProtection="1">
      <alignment horizontal="center" vertical="top" wrapText="1"/>
    </xf>
    <xf numFmtId="166" fontId="0" fillId="35" borderId="0" xfId="0" applyNumberFormat="1" applyFill="1" applyBorder="1"/>
    <xf numFmtId="0" fontId="157" fillId="35" borderId="0" xfId="0" applyFont="1" applyFill="1" applyBorder="1"/>
    <xf numFmtId="0" fontId="0" fillId="35" borderId="263" xfId="0" applyFill="1" applyBorder="1"/>
    <xf numFmtId="14" fontId="13" fillId="0" borderId="0" xfId="0" applyNumberFormat="1" applyFont="1" applyFill="1"/>
    <xf numFmtId="232" fontId="12" fillId="35" borderId="31" xfId="56" applyNumberFormat="1" applyFill="1" applyBorder="1"/>
    <xf numFmtId="232" fontId="19" fillId="35" borderId="214" xfId="41" applyNumberFormat="1" applyFont="1" applyFill="1" applyBorder="1" applyAlignment="1">
      <alignment horizontal="center"/>
    </xf>
    <xf numFmtId="232" fontId="19" fillId="35" borderId="217" xfId="41" applyNumberFormat="1" applyFont="1" applyFill="1" applyBorder="1" applyAlignment="1">
      <alignment horizontal="center"/>
    </xf>
    <xf numFmtId="0" fontId="19" fillId="35" borderId="244" xfId="0" applyFont="1" applyFill="1" applyBorder="1"/>
    <xf numFmtId="232" fontId="12" fillId="35" borderId="263" xfId="56" applyNumberFormat="1" applyFill="1" applyBorder="1"/>
    <xf numFmtId="232" fontId="0" fillId="47" borderId="0" xfId="0" applyNumberFormat="1" applyFill="1" applyBorder="1"/>
    <xf numFmtId="232" fontId="12" fillId="47" borderId="0" xfId="56" applyNumberFormat="1" applyFill="1" applyBorder="1"/>
    <xf numFmtId="232" fontId="13" fillId="47" borderId="0" xfId="56" applyNumberFormat="1" applyFont="1" applyFill="1" applyBorder="1"/>
    <xf numFmtId="232" fontId="19" fillId="35" borderId="212" xfId="41" applyNumberFormat="1" applyFont="1" applyFill="1" applyBorder="1" applyAlignment="1">
      <alignment horizontal="center"/>
    </xf>
    <xf numFmtId="0" fontId="13" fillId="35" borderId="14" xfId="0" applyFont="1" applyFill="1" applyBorder="1" applyAlignment="1">
      <alignment horizontal="center" vertical="center"/>
    </xf>
    <xf numFmtId="0" fontId="12" fillId="35" borderId="22" xfId="0" applyFont="1" applyFill="1" applyBorder="1"/>
    <xf numFmtId="14" fontId="12" fillId="35" borderId="0" xfId="0" applyNumberFormat="1" applyFont="1" applyFill="1" applyBorder="1"/>
    <xf numFmtId="0" fontId="12" fillId="35" borderId="25" xfId="0" applyFont="1" applyFill="1" applyBorder="1"/>
    <xf numFmtId="232" fontId="0" fillId="35" borderId="262" xfId="0" applyNumberFormat="1" applyFill="1" applyBorder="1"/>
    <xf numFmtId="0" fontId="13" fillId="35" borderId="32" xfId="0" applyFont="1" applyFill="1" applyBorder="1" applyAlignment="1">
      <alignment horizontal="center" wrapText="1"/>
    </xf>
    <xf numFmtId="0" fontId="12" fillId="35" borderId="263" xfId="0" applyFont="1" applyFill="1" applyBorder="1"/>
    <xf numFmtId="232" fontId="0" fillId="47" borderId="263" xfId="0" applyNumberFormat="1" applyFill="1" applyBorder="1"/>
    <xf numFmtId="0" fontId="13" fillId="35" borderId="17" xfId="0" applyFont="1" applyFill="1" applyBorder="1" applyAlignment="1">
      <alignment horizontal="center" wrapText="1"/>
    </xf>
    <xf numFmtId="0" fontId="154" fillId="47" borderId="0" xfId="324" applyFont="1" applyFill="1"/>
    <xf numFmtId="0" fontId="154" fillId="47" borderId="0" xfId="324" applyFont="1" applyFill="1" applyAlignment="1">
      <alignment horizontal="center"/>
    </xf>
    <xf numFmtId="0" fontId="8" fillId="47" borderId="0" xfId="324" applyFill="1"/>
    <xf numFmtId="0" fontId="184" fillId="47" borderId="0" xfId="324" applyFont="1" applyFill="1"/>
    <xf numFmtId="0" fontId="21" fillId="47" borderId="0" xfId="0" applyFont="1" applyFill="1"/>
    <xf numFmtId="0" fontId="14" fillId="35" borderId="0" xfId="0" applyFont="1" applyFill="1" applyAlignment="1">
      <alignment horizontal="left" indent="1"/>
    </xf>
    <xf numFmtId="0" fontId="12" fillId="35" borderId="0" xfId="0" applyFont="1" applyFill="1" applyAlignment="1">
      <alignment horizontal="left" indent="2"/>
    </xf>
    <xf numFmtId="166" fontId="12" fillId="47" borderId="0" xfId="56" applyNumberFormat="1" applyFont="1" applyFill="1"/>
    <xf numFmtId="166" fontId="12" fillId="35" borderId="0" xfId="0" applyNumberFormat="1" applyFont="1" applyFill="1" applyAlignment="1">
      <alignment horizontal="center"/>
    </xf>
    <xf numFmtId="165" fontId="186" fillId="47" borderId="0" xfId="0" applyNumberFormat="1" applyFont="1" applyFill="1"/>
    <xf numFmtId="166" fontId="12" fillId="47" borderId="0" xfId="321" applyNumberFormat="1" applyFont="1" applyFill="1" applyBorder="1" applyAlignment="1">
      <alignment horizontal="center"/>
    </xf>
    <xf numFmtId="175" fontId="12" fillId="47" borderId="0" xfId="0" applyNumberFormat="1" applyFont="1" applyFill="1" applyAlignment="1">
      <alignment horizontal="left"/>
    </xf>
    <xf numFmtId="0" fontId="0" fillId="35" borderId="0" xfId="0" applyFont="1" applyFill="1"/>
    <xf numFmtId="0" fontId="12" fillId="0" borderId="0" xfId="0" applyFont="1" applyFill="1" applyBorder="1"/>
    <xf numFmtId="0" fontId="12" fillId="47" borderId="0" xfId="0" applyFont="1" applyFill="1" applyBorder="1"/>
    <xf numFmtId="0" fontId="13" fillId="63" borderId="14" xfId="0" applyFont="1" applyFill="1" applyBorder="1" applyAlignment="1">
      <alignment horizontal="center" vertical="center" wrapText="1"/>
    </xf>
    <xf numFmtId="0" fontId="13" fillId="64" borderId="14" xfId="0" applyFont="1" applyFill="1" applyBorder="1" applyAlignment="1">
      <alignment horizontal="center" vertical="center" wrapText="1"/>
    </xf>
    <xf numFmtId="166" fontId="12" fillId="35" borderId="0" xfId="41" applyFont="1" applyFill="1"/>
    <xf numFmtId="166" fontId="13" fillId="35" borderId="0" xfId="41" applyFont="1" applyFill="1" applyBorder="1"/>
    <xf numFmtId="182" fontId="12" fillId="61" borderId="220" xfId="56" applyNumberFormat="1" applyFont="1" applyFill="1" applyBorder="1" applyAlignment="1"/>
    <xf numFmtId="182" fontId="12" fillId="61" borderId="198" xfId="56" applyNumberFormat="1" applyFont="1" applyFill="1" applyBorder="1" applyAlignment="1"/>
    <xf numFmtId="182" fontId="12" fillId="61" borderId="265" xfId="56" applyNumberFormat="1" applyFont="1" applyFill="1" applyBorder="1" applyAlignment="1"/>
    <xf numFmtId="182" fontId="12" fillId="61" borderId="199" xfId="56" applyNumberFormat="1" applyFont="1" applyFill="1" applyBorder="1" applyAlignment="1"/>
    <xf numFmtId="49" fontId="0" fillId="61" borderId="14" xfId="321" applyNumberFormat="1" applyFont="1" applyFill="1" applyBorder="1" applyAlignment="1">
      <alignment horizontal="center"/>
    </xf>
    <xf numFmtId="0" fontId="12" fillId="35" borderId="0" xfId="0" applyFont="1" applyFill="1" applyAlignment="1">
      <alignment horizontal="left" indent="1"/>
    </xf>
    <xf numFmtId="0" fontId="0" fillId="35" borderId="0" xfId="0" applyFont="1" applyFill="1" applyAlignment="1">
      <alignment horizontal="left" indent="1"/>
    </xf>
    <xf numFmtId="165" fontId="12" fillId="35" borderId="17" xfId="56" applyNumberFormat="1" applyFont="1" applyFill="1" applyBorder="1"/>
    <xf numFmtId="0" fontId="12" fillId="35" borderId="0" xfId="0" applyFont="1" applyFill="1" applyAlignment="1">
      <alignment horizontal="left"/>
    </xf>
    <xf numFmtId="0" fontId="164" fillId="47" borderId="0" xfId="324" applyFont="1" applyFill="1"/>
    <xf numFmtId="0" fontId="158" fillId="47" borderId="0" xfId="324" applyFont="1" applyFill="1"/>
    <xf numFmtId="0" fontId="189" fillId="47" borderId="0" xfId="324" applyFont="1" applyFill="1"/>
    <xf numFmtId="0" fontId="158" fillId="47" borderId="0" xfId="324" quotePrefix="1" applyFont="1" applyFill="1" applyAlignment="1"/>
    <xf numFmtId="0" fontId="164" fillId="0" borderId="113" xfId="324" applyFont="1" applyBorder="1" applyAlignment="1">
      <alignment horizontal="center"/>
    </xf>
    <xf numFmtId="166" fontId="12" fillId="47" borderId="0" xfId="325" applyFont="1" applyFill="1"/>
    <xf numFmtId="177" fontId="12" fillId="47" borderId="0" xfId="326" applyNumberFormat="1" applyFont="1" applyFill="1" applyAlignment="1">
      <alignment horizontal="center"/>
    </xf>
    <xf numFmtId="165" fontId="12" fillId="47" borderId="0" xfId="56" applyFont="1" applyFill="1"/>
    <xf numFmtId="186" fontId="12" fillId="47" borderId="0" xfId="325" applyNumberFormat="1" applyFont="1" applyFill="1"/>
    <xf numFmtId="0" fontId="158" fillId="47" borderId="0" xfId="324" applyFont="1" applyFill="1" applyAlignment="1">
      <alignment horizontal="center"/>
    </xf>
    <xf numFmtId="0" fontId="164" fillId="47" borderId="0" xfId="324" applyFont="1" applyFill="1" applyAlignment="1">
      <alignment wrapText="1"/>
    </xf>
    <xf numFmtId="0" fontId="158" fillId="47" borderId="0" xfId="324" applyFont="1" applyFill="1" applyAlignment="1">
      <alignment wrapText="1"/>
    </xf>
    <xf numFmtId="0" fontId="164" fillId="47" borderId="14" xfId="324" applyFont="1" applyFill="1" applyBorder="1" applyAlignment="1">
      <alignment horizontal="center" vertical="center" wrapText="1"/>
    </xf>
    <xf numFmtId="0" fontId="164" fillId="47" borderId="14" xfId="324" applyFont="1" applyFill="1" applyBorder="1" applyAlignment="1">
      <alignment horizontal="center"/>
    </xf>
    <xf numFmtId="239" fontId="12" fillId="47" borderId="0" xfId="325" applyNumberFormat="1" applyFont="1" applyFill="1"/>
    <xf numFmtId="239" fontId="12" fillId="47" borderId="0" xfId="325" applyNumberFormat="1" applyFont="1" applyFill="1" applyBorder="1"/>
    <xf numFmtId="239" fontId="164" fillId="47" borderId="0" xfId="325" applyNumberFormat="1" applyFont="1" applyFill="1"/>
    <xf numFmtId="239" fontId="158" fillId="47" borderId="0" xfId="324" applyNumberFormat="1" applyFont="1" applyFill="1"/>
    <xf numFmtId="239" fontId="164" fillId="47" borderId="113" xfId="324" applyNumberFormat="1" applyFont="1" applyFill="1" applyBorder="1"/>
    <xf numFmtId="0" fontId="13" fillId="35" borderId="0" xfId="0" applyFont="1" applyFill="1" applyAlignment="1">
      <alignment horizontal="center"/>
    </xf>
    <xf numFmtId="0" fontId="18" fillId="47" borderId="0" xfId="0" applyNumberFormat="1" applyFont="1" applyFill="1" applyBorder="1" applyAlignment="1">
      <alignment horizontal="left" vertical="center"/>
    </xf>
    <xf numFmtId="165" fontId="13" fillId="63" borderId="32" xfId="56" applyFont="1" applyFill="1" applyBorder="1" applyAlignment="1">
      <alignment vertical="center"/>
    </xf>
    <xf numFmtId="165" fontId="13" fillId="63" borderId="17" xfId="56" applyFont="1" applyFill="1" applyBorder="1" applyAlignment="1">
      <alignment vertical="center"/>
    </xf>
    <xf numFmtId="165" fontId="13" fillId="63" borderId="38" xfId="56" applyFont="1" applyFill="1" applyBorder="1" applyAlignment="1">
      <alignment vertical="center"/>
    </xf>
    <xf numFmtId="165" fontId="13" fillId="64" borderId="32" xfId="56" applyFont="1" applyFill="1" applyBorder="1" applyAlignment="1">
      <alignment vertical="center"/>
    </xf>
    <xf numFmtId="165" fontId="13" fillId="64" borderId="17" xfId="56" applyFont="1" applyFill="1" applyBorder="1" applyAlignment="1">
      <alignment vertical="center"/>
    </xf>
    <xf numFmtId="165" fontId="13" fillId="64" borderId="38" xfId="56" applyFont="1" applyFill="1" applyBorder="1" applyAlignment="1">
      <alignment vertical="center"/>
    </xf>
    <xf numFmtId="0" fontId="12" fillId="35" borderId="14" xfId="0" applyFont="1" applyFill="1" applyBorder="1"/>
    <xf numFmtId="0" fontId="12" fillId="50" borderId="31" xfId="0" applyFont="1" applyFill="1" applyBorder="1" applyAlignment="1">
      <alignment horizontal="center" vertical="center"/>
    </xf>
    <xf numFmtId="0" fontId="13" fillId="35" borderId="0" xfId="0" applyNumberFormat="1" applyFont="1" applyFill="1" applyAlignment="1">
      <alignment horizontal="center" vertical="center"/>
    </xf>
    <xf numFmtId="0" fontId="13" fillId="35" borderId="0" xfId="56" applyNumberFormat="1" applyFont="1" applyFill="1" applyBorder="1" applyAlignment="1">
      <alignment horizontal="center" vertical="center"/>
    </xf>
    <xf numFmtId="0" fontId="13" fillId="35" borderId="246" xfId="0" applyFont="1" applyFill="1" applyBorder="1"/>
    <xf numFmtId="0" fontId="13" fillId="35" borderId="246" xfId="0" applyFont="1" applyFill="1" applyBorder="1" applyAlignment="1">
      <alignment horizontal="center"/>
    </xf>
    <xf numFmtId="0" fontId="13" fillId="35" borderId="26" xfId="0" applyFont="1" applyFill="1" applyBorder="1"/>
    <xf numFmtId="165" fontId="12" fillId="35" borderId="0" xfId="0" applyNumberFormat="1" applyFont="1" applyFill="1" applyBorder="1"/>
    <xf numFmtId="166" fontId="24" fillId="47" borderId="24" xfId="321" applyNumberFormat="1" applyFont="1" applyFill="1" applyBorder="1" applyAlignment="1">
      <alignment horizontal="left"/>
    </xf>
    <xf numFmtId="0" fontId="24" fillId="35" borderId="24" xfId="0" applyFont="1" applyFill="1" applyBorder="1" applyAlignment="1">
      <alignment horizontal="left"/>
    </xf>
    <xf numFmtId="0" fontId="12" fillId="35" borderId="263" xfId="0" applyNumberFormat="1" applyFont="1" applyFill="1" applyBorder="1" applyAlignment="1">
      <alignment horizontal="center"/>
    </xf>
    <xf numFmtId="0" fontId="12" fillId="35" borderId="27" xfId="0" applyFont="1" applyFill="1" applyBorder="1"/>
    <xf numFmtId="166" fontId="12" fillId="35" borderId="14" xfId="41" applyFont="1" applyFill="1" applyBorder="1"/>
    <xf numFmtId="166" fontId="12" fillId="35" borderId="22" xfId="0" applyNumberFormat="1" applyFont="1" applyFill="1" applyBorder="1"/>
    <xf numFmtId="166" fontId="12" fillId="35" borderId="244" xfId="0" applyNumberFormat="1" applyFont="1" applyFill="1" applyBorder="1"/>
    <xf numFmtId="166" fontId="12" fillId="35" borderId="25" xfId="0" applyNumberFormat="1" applyFont="1" applyFill="1" applyBorder="1"/>
    <xf numFmtId="166" fontId="12" fillId="35" borderId="28" xfId="0" applyNumberFormat="1" applyFont="1" applyFill="1" applyBorder="1"/>
    <xf numFmtId="166" fontId="12" fillId="35" borderId="29" xfId="0" applyNumberFormat="1" applyFont="1" applyFill="1" applyBorder="1"/>
    <xf numFmtId="166" fontId="12" fillId="35" borderId="31" xfId="0" applyNumberFormat="1" applyFont="1" applyFill="1" applyBorder="1"/>
    <xf numFmtId="0" fontId="12" fillId="35" borderId="0" xfId="0" applyFont="1" applyFill="1" applyAlignment="1">
      <alignment horizontal="center" vertical="center" wrapText="1"/>
    </xf>
    <xf numFmtId="0" fontId="22" fillId="61" borderId="14" xfId="0" applyFont="1" applyFill="1" applyBorder="1" applyAlignment="1">
      <alignment horizontal="center" vertical="center" wrapText="1"/>
    </xf>
    <xf numFmtId="0" fontId="13" fillId="35" borderId="0" xfId="0" applyFont="1" applyFill="1" applyAlignment="1">
      <alignment horizontal="left" vertical="center" wrapText="1"/>
    </xf>
    <xf numFmtId="0" fontId="0" fillId="35" borderId="14" xfId="0" applyFont="1" applyFill="1" applyBorder="1"/>
    <xf numFmtId="17" fontId="13" fillId="35" borderId="0" xfId="0" applyNumberFormat="1" applyFont="1" applyFill="1"/>
    <xf numFmtId="0" fontId="13" fillId="35" borderId="0" xfId="0" applyFont="1" applyFill="1" applyAlignment="1">
      <alignment horizontal="right" vertical="center"/>
    </xf>
    <xf numFmtId="0" fontId="13" fillId="35" borderId="0" xfId="0" applyFont="1" applyFill="1" applyAlignment="1">
      <alignment horizontal="right" wrapText="1"/>
    </xf>
    <xf numFmtId="0" fontId="13" fillId="35" borderId="0" xfId="0" applyNumberFormat="1" applyFont="1" applyFill="1" applyAlignment="1">
      <alignment horizontal="right" vertical="center"/>
    </xf>
    <xf numFmtId="165" fontId="12" fillId="35" borderId="263" xfId="56" applyNumberFormat="1" applyFont="1" applyFill="1" applyBorder="1"/>
    <xf numFmtId="166" fontId="12" fillId="35" borderId="0" xfId="41" applyFont="1" applyFill="1" applyBorder="1" applyAlignment="1">
      <alignment horizontal="left" indent="2"/>
    </xf>
    <xf numFmtId="165" fontId="186" fillId="47" borderId="0" xfId="0" applyNumberFormat="1" applyFont="1" applyFill="1" applyBorder="1"/>
    <xf numFmtId="49" fontId="13" fillId="35" borderId="0" xfId="0" applyNumberFormat="1" applyFont="1" applyFill="1" applyAlignment="1">
      <alignment horizontal="right"/>
    </xf>
    <xf numFmtId="49" fontId="12" fillId="35" borderId="0" xfId="0" applyNumberFormat="1" applyFont="1" applyFill="1"/>
    <xf numFmtId="0" fontId="7" fillId="0" borderId="0" xfId="328"/>
    <xf numFmtId="0" fontId="7" fillId="47" borderId="0" xfId="328" applyFill="1"/>
    <xf numFmtId="0" fontId="18" fillId="47" borderId="17" xfId="0" applyNumberFormat="1" applyFont="1" applyFill="1" applyBorder="1" applyAlignment="1">
      <alignment vertical="center"/>
    </xf>
    <xf numFmtId="0" fontId="154" fillId="47" borderId="0" xfId="328" applyFont="1" applyFill="1"/>
    <xf numFmtId="0" fontId="18" fillId="47" borderId="38" xfId="0" applyNumberFormat="1" applyFont="1" applyFill="1" applyBorder="1" applyAlignment="1">
      <alignment vertical="center"/>
    </xf>
    <xf numFmtId="0" fontId="191" fillId="47" borderId="0" xfId="328" applyFont="1" applyFill="1"/>
    <xf numFmtId="0" fontId="158" fillId="47" borderId="0" xfId="328" applyFont="1" applyFill="1"/>
    <xf numFmtId="0" fontId="164" fillId="47" borderId="0" xfId="328" applyFont="1" applyFill="1"/>
    <xf numFmtId="0" fontId="158" fillId="47" borderId="0" xfId="328" applyFont="1" applyFill="1" applyAlignment="1">
      <alignment horizontal="center" vertical="center"/>
    </xf>
    <xf numFmtId="0" fontId="158" fillId="47" borderId="14" xfId="328" applyFont="1" applyFill="1" applyBorder="1" applyAlignment="1">
      <alignment horizontal="left" vertical="center"/>
    </xf>
    <xf numFmtId="0" fontId="164" fillId="47" borderId="14" xfId="328" applyFont="1" applyFill="1" applyBorder="1" applyAlignment="1">
      <alignment horizontal="center" vertical="center"/>
    </xf>
    <xf numFmtId="0" fontId="192" fillId="65" borderId="14" xfId="328" applyFont="1" applyFill="1" applyBorder="1" applyAlignment="1">
      <alignment horizontal="left" vertical="center"/>
    </xf>
    <xf numFmtId="0" fontId="192" fillId="65" borderId="14" xfId="328" applyFont="1" applyFill="1" applyBorder="1" applyAlignment="1">
      <alignment horizontal="center" vertical="center"/>
    </xf>
    <xf numFmtId="0" fontId="158" fillId="62" borderId="14" xfId="328" applyFont="1" applyFill="1" applyBorder="1" applyAlignment="1">
      <alignment horizontal="left" vertical="center"/>
    </xf>
    <xf numFmtId="0" fontId="158" fillId="47" borderId="0" xfId="324" applyFont="1" applyFill="1" applyAlignment="1">
      <alignment horizontal="left"/>
    </xf>
    <xf numFmtId="0" fontId="158" fillId="47" borderId="0" xfId="324" quotePrefix="1" applyFont="1" applyFill="1" applyAlignment="1">
      <alignment horizontal="left"/>
    </xf>
    <xf numFmtId="0" fontId="193" fillId="47" borderId="0" xfId="327" applyFont="1" applyFill="1" applyAlignment="1">
      <alignment wrapText="1"/>
    </xf>
    <xf numFmtId="166" fontId="164" fillId="47" borderId="263" xfId="325" applyFont="1" applyFill="1" applyBorder="1"/>
    <xf numFmtId="10" fontId="164" fillId="47" borderId="0" xfId="326" applyNumberFormat="1" applyFont="1" applyFill="1"/>
    <xf numFmtId="166" fontId="164" fillId="0" borderId="113" xfId="325" applyFont="1" applyFill="1" applyBorder="1"/>
    <xf numFmtId="0" fontId="164" fillId="47" borderId="0" xfId="324" applyFont="1" applyFill="1" applyAlignment="1">
      <alignment horizontal="center"/>
    </xf>
    <xf numFmtId="165" fontId="164" fillId="47" borderId="113" xfId="56" applyFont="1" applyFill="1" applyBorder="1"/>
    <xf numFmtId="0" fontId="193" fillId="47" borderId="0" xfId="327" applyFont="1" applyFill="1"/>
    <xf numFmtId="165" fontId="158" fillId="47" borderId="0" xfId="56" applyFont="1" applyFill="1"/>
    <xf numFmtId="0" fontId="158" fillId="47" borderId="0" xfId="324" quotePrefix="1" applyFont="1" applyFill="1"/>
    <xf numFmtId="14" fontId="12" fillId="40" borderId="100" xfId="0" applyNumberFormat="1" applyFont="1" applyFill="1" applyBorder="1" applyAlignment="1">
      <alignment horizontal="center"/>
    </xf>
    <xf numFmtId="14" fontId="12" fillId="40" borderId="105" xfId="0" applyNumberFormat="1" applyFont="1" applyFill="1" applyBorder="1" applyAlignment="1">
      <alignment horizontal="center"/>
    </xf>
    <xf numFmtId="0" fontId="19" fillId="61" borderId="195" xfId="321" applyFont="1" applyFill="1" applyBorder="1" applyAlignment="1">
      <alignment horizontal="left"/>
    </xf>
    <xf numFmtId="0" fontId="19" fillId="61" borderId="211" xfId="321" applyFont="1" applyFill="1" applyBorder="1" applyAlignment="1">
      <alignment horizontal="left"/>
    </xf>
    <xf numFmtId="0" fontId="19" fillId="61" borderId="216" xfId="321" applyFont="1" applyFill="1" applyBorder="1" applyAlignment="1">
      <alignment horizontal="left"/>
    </xf>
    <xf numFmtId="0" fontId="13" fillId="35" borderId="0" xfId="0" applyFont="1" applyFill="1" applyAlignment="1">
      <alignment horizontal="center"/>
    </xf>
    <xf numFmtId="232" fontId="0" fillId="35" borderId="266" xfId="0" applyNumberFormat="1" applyFill="1" applyBorder="1"/>
    <xf numFmtId="0" fontId="12" fillId="35" borderId="266" xfId="0" applyFont="1" applyFill="1" applyBorder="1"/>
    <xf numFmtId="0" fontId="12" fillId="35" borderId="32" xfId="0" applyFont="1" applyFill="1" applyBorder="1"/>
    <xf numFmtId="0" fontId="12" fillId="35" borderId="38" xfId="0" applyFont="1" applyFill="1" applyBorder="1"/>
    <xf numFmtId="0" fontId="13" fillId="35" borderId="244" xfId="0" applyFont="1" applyFill="1" applyBorder="1" applyAlignment="1">
      <alignment horizontal="center" wrapText="1"/>
    </xf>
    <xf numFmtId="0" fontId="13" fillId="35" borderId="244" xfId="0" applyFont="1" applyFill="1" applyBorder="1"/>
    <xf numFmtId="178" fontId="13" fillId="35" borderId="0" xfId="41" applyNumberFormat="1" applyFont="1" applyFill="1"/>
    <xf numFmtId="0" fontId="0" fillId="35" borderId="0" xfId="0" applyNumberFormat="1" applyFill="1" applyBorder="1"/>
    <xf numFmtId="166" fontId="12" fillId="35" borderId="0" xfId="0" applyNumberFormat="1" applyFont="1" applyFill="1" applyBorder="1"/>
    <xf numFmtId="232" fontId="13" fillId="35" borderId="0" xfId="56" applyNumberFormat="1" applyFont="1" applyFill="1" applyBorder="1"/>
    <xf numFmtId="0" fontId="0" fillId="35" borderId="246" xfId="0" applyFill="1" applyBorder="1"/>
    <xf numFmtId="191" fontId="51" fillId="35" borderId="0" xfId="56" applyNumberFormat="1" applyFont="1" applyFill="1" applyBorder="1" applyAlignment="1" applyProtection="1">
      <alignment horizontal="right"/>
      <protection hidden="1"/>
    </xf>
    <xf numFmtId="166" fontId="51" fillId="35" borderId="0" xfId="41" applyFont="1" applyFill="1" applyBorder="1" applyAlignment="1" applyProtection="1">
      <alignment horizontal="right"/>
      <protection hidden="1"/>
    </xf>
    <xf numFmtId="188" fontId="51" fillId="47" borderId="56" xfId="321" applyNumberFormat="1" applyFont="1" applyFill="1" applyBorder="1" applyProtection="1">
      <protection locked="0"/>
    </xf>
    <xf numFmtId="188" fontId="51" fillId="47" borderId="0" xfId="321" applyNumberFormat="1" applyFont="1" applyFill="1" applyBorder="1" applyAlignment="1" applyProtection="1">
      <protection locked="0" hidden="1"/>
    </xf>
    <xf numFmtId="188" fontId="51" fillId="55" borderId="62" xfId="321" applyNumberFormat="1" applyFont="1" applyFill="1" applyBorder="1" applyAlignment="1" applyProtection="1">
      <protection locked="0" hidden="1"/>
    </xf>
    <xf numFmtId="188" fontId="51" fillId="55" borderId="57" xfId="321" applyNumberFormat="1" applyFont="1" applyFill="1" applyBorder="1" applyAlignment="1" applyProtection="1">
      <protection locked="0" hidden="1"/>
    </xf>
    <xf numFmtId="164" fontId="52" fillId="47" borderId="0" xfId="0" applyNumberFormat="1" applyFont="1" applyFill="1" applyBorder="1" applyAlignment="1" applyProtection="1">
      <alignment horizontal="center" vertical="top" wrapText="1"/>
      <protection locked="0"/>
    </xf>
    <xf numFmtId="164" fontId="52" fillId="47" borderId="0" xfId="0" applyNumberFormat="1" applyFont="1" applyFill="1" applyBorder="1" applyAlignment="1" applyProtection="1">
      <alignment wrapText="1"/>
      <protection locked="0"/>
    </xf>
    <xf numFmtId="188" fontId="51" fillId="47" borderId="0" xfId="41" applyNumberFormat="1" applyFont="1" applyFill="1" applyBorder="1" applyAlignment="1" applyProtection="1">
      <protection locked="0" hidden="1"/>
    </xf>
    <xf numFmtId="188" fontId="51" fillId="55" borderId="267" xfId="321" applyNumberFormat="1" applyFont="1" applyFill="1" applyBorder="1" applyAlignment="1" applyProtection="1">
      <protection locked="0" hidden="1"/>
    </xf>
    <xf numFmtId="1" fontId="52" fillId="55" borderId="157" xfId="321" applyNumberFormat="1" applyFont="1" applyFill="1" applyBorder="1" applyAlignment="1" applyProtection="1">
      <alignment horizontal="center" wrapText="1"/>
      <protection locked="0"/>
    </xf>
    <xf numFmtId="164" fontId="52" fillId="55" borderId="22" xfId="321" applyNumberFormat="1" applyFont="1" applyFill="1" applyBorder="1" applyAlignment="1" applyProtection="1">
      <alignment horizontal="center" vertical="top" wrapText="1"/>
      <protection locked="0"/>
    </xf>
    <xf numFmtId="188" fontId="51" fillId="55" borderId="268" xfId="321" applyNumberFormat="1" applyFont="1" applyFill="1" applyBorder="1" applyAlignment="1" applyProtection="1">
      <protection locked="0" hidden="1"/>
    </xf>
    <xf numFmtId="188" fontId="51" fillId="47" borderId="61" xfId="321" applyNumberFormat="1" applyFont="1" applyFill="1" applyBorder="1" applyProtection="1">
      <protection locked="0"/>
    </xf>
    <xf numFmtId="188" fontId="51" fillId="55" borderId="269" xfId="321" applyNumberFormat="1" applyFont="1" applyFill="1" applyBorder="1" applyAlignment="1" applyProtection="1">
      <protection locked="0" hidden="1"/>
    </xf>
    <xf numFmtId="0" fontId="51" fillId="54" borderId="0" xfId="0" applyFont="1" applyFill="1" applyBorder="1" applyAlignment="1" applyProtection="1">
      <alignment horizontal="right"/>
      <protection hidden="1"/>
    </xf>
    <xf numFmtId="0" fontId="51" fillId="54" borderId="0" xfId="0" applyFont="1" applyFill="1" applyBorder="1" applyProtection="1">
      <protection hidden="1"/>
    </xf>
    <xf numFmtId="0" fontId="18" fillId="54" borderId="0" xfId="0" applyFont="1" applyFill="1" applyBorder="1" applyAlignment="1" applyProtection="1">
      <alignment horizontal="right"/>
      <protection hidden="1"/>
    </xf>
    <xf numFmtId="166" fontId="51" fillId="54" borderId="0" xfId="41" applyFont="1" applyFill="1" applyBorder="1" applyProtection="1">
      <protection hidden="1"/>
    </xf>
    <xf numFmtId="166" fontId="51" fillId="54" borderId="0" xfId="0" applyNumberFormat="1" applyFont="1" applyFill="1" applyBorder="1" applyProtection="1">
      <protection hidden="1"/>
    </xf>
    <xf numFmtId="186" fontId="51" fillId="54" borderId="0" xfId="41" applyNumberFormat="1" applyFont="1" applyFill="1" applyBorder="1" applyAlignment="1" applyProtection="1">
      <alignment horizontal="right"/>
      <protection hidden="1"/>
    </xf>
    <xf numFmtId="186" fontId="51" fillId="54" borderId="0" xfId="0" applyNumberFormat="1" applyFont="1" applyFill="1" applyBorder="1" applyAlignment="1" applyProtection="1">
      <alignment horizontal="right"/>
      <protection hidden="1"/>
    </xf>
    <xf numFmtId="0" fontId="0" fillId="54" borderId="0" xfId="0" applyFill="1" applyBorder="1" applyProtection="1">
      <protection hidden="1"/>
    </xf>
    <xf numFmtId="0" fontId="54" fillId="35" borderId="0" xfId="0" applyFont="1" applyFill="1" applyBorder="1" applyProtection="1">
      <protection hidden="1"/>
    </xf>
    <xf numFmtId="165" fontId="12" fillId="35" borderId="14" xfId="56" applyFont="1" applyFill="1" applyBorder="1" applyAlignment="1">
      <alignment horizontal="center"/>
    </xf>
    <xf numFmtId="14" fontId="19" fillId="35" borderId="14" xfId="0" applyNumberFormat="1" applyFont="1" applyFill="1" applyBorder="1" applyAlignment="1">
      <alignment horizontal="center"/>
    </xf>
    <xf numFmtId="14" fontId="12" fillId="35" borderId="14" xfId="0" applyNumberFormat="1" applyFont="1" applyFill="1" applyBorder="1" applyAlignment="1">
      <alignment horizontal="center"/>
    </xf>
    <xf numFmtId="0" fontId="13" fillId="35" borderId="0" xfId="0" applyFont="1" applyFill="1" applyBorder="1" applyAlignment="1">
      <alignment horizontal="center"/>
    </xf>
    <xf numFmtId="0" fontId="27" fillId="35" borderId="0" xfId="131" applyFill="1" applyBorder="1" applyAlignment="1" applyProtection="1">
      <alignment vertical="top"/>
    </xf>
    <xf numFmtId="0" fontId="0" fillId="0" borderId="250" xfId="0" applyBorder="1"/>
    <xf numFmtId="0" fontId="17" fillId="35" borderId="250" xfId="0" applyFont="1" applyFill="1" applyBorder="1" applyProtection="1">
      <protection locked="0"/>
    </xf>
    <xf numFmtId="0" fontId="0" fillId="35" borderId="250" xfId="0" applyFill="1" applyBorder="1"/>
    <xf numFmtId="0" fontId="0" fillId="35" borderId="249" xfId="0" applyFill="1" applyBorder="1" applyProtection="1"/>
    <xf numFmtId="0" fontId="0" fillId="35" borderId="42" xfId="0" applyFill="1" applyBorder="1" applyProtection="1"/>
    <xf numFmtId="0" fontId="151" fillId="55" borderId="3" xfId="133" applyFont="1" applyFill="1" applyBorder="1" applyAlignment="1">
      <alignment horizontal="center"/>
    </xf>
    <xf numFmtId="0" fontId="151" fillId="55" borderId="270" xfId="133" applyFont="1" applyFill="1" applyBorder="1" applyAlignment="1">
      <alignment horizontal="center"/>
    </xf>
    <xf numFmtId="0" fontId="151" fillId="55" borderId="271" xfId="133" applyFont="1" applyFill="1" applyBorder="1" applyAlignment="1">
      <alignment horizontal="center"/>
    </xf>
    <xf numFmtId="164" fontId="52" fillId="55" borderId="252" xfId="321" applyNumberFormat="1" applyFont="1" applyFill="1" applyBorder="1" applyAlignment="1" applyProtection="1">
      <alignment horizontal="center" vertical="top" wrapText="1"/>
    </xf>
    <xf numFmtId="164" fontId="52" fillId="55" borderId="272" xfId="321" applyNumberFormat="1" applyFont="1" applyFill="1" applyBorder="1" applyAlignment="1" applyProtection="1">
      <alignment horizontal="center" vertical="top" wrapText="1"/>
    </xf>
    <xf numFmtId="164" fontId="52" fillId="36" borderId="273" xfId="0" applyNumberFormat="1" applyFont="1" applyFill="1" applyBorder="1" applyAlignment="1" applyProtection="1">
      <alignment wrapText="1"/>
    </xf>
    <xf numFmtId="164" fontId="52" fillId="36" borderId="274" xfId="0" applyNumberFormat="1" applyFont="1" applyFill="1" applyBorder="1" applyAlignment="1" applyProtection="1">
      <alignment wrapText="1"/>
    </xf>
    <xf numFmtId="14" fontId="52" fillId="35" borderId="143" xfId="0" applyNumberFormat="1" applyFont="1" applyFill="1" applyBorder="1" applyAlignment="1" applyProtection="1">
      <alignment wrapText="1"/>
    </xf>
    <xf numFmtId="164" fontId="52" fillId="35" borderId="275" xfId="0" applyNumberFormat="1" applyFont="1" applyFill="1" applyBorder="1" applyAlignment="1" applyProtection="1">
      <alignment wrapText="1"/>
    </xf>
    <xf numFmtId="164" fontId="52" fillId="35" borderId="143" xfId="0" applyNumberFormat="1" applyFont="1" applyFill="1" applyBorder="1" applyAlignment="1" applyProtection="1">
      <alignment wrapText="1"/>
    </xf>
    <xf numFmtId="164" fontId="0" fillId="35" borderId="153" xfId="0" applyNumberFormat="1" applyFill="1" applyBorder="1" applyProtection="1"/>
    <xf numFmtId="164" fontId="0" fillId="35" borderId="276" xfId="0" applyNumberFormat="1" applyFill="1" applyBorder="1" applyProtection="1"/>
    <xf numFmtId="0" fontId="12" fillId="35" borderId="24" xfId="0" applyFont="1" applyFill="1" applyBorder="1" applyAlignment="1">
      <alignment horizontal="right"/>
    </xf>
    <xf numFmtId="188" fontId="51" fillId="35" borderId="153" xfId="0" applyNumberFormat="1" applyFont="1" applyFill="1" applyBorder="1" applyProtection="1"/>
    <xf numFmtId="188" fontId="51" fillId="35" borderId="276" xfId="0" applyNumberFormat="1" applyFont="1" applyFill="1" applyBorder="1" applyProtection="1"/>
    <xf numFmtId="188" fontId="51" fillId="55" borderId="277" xfId="321" applyNumberFormat="1" applyFont="1" applyFill="1" applyBorder="1" applyProtection="1">
      <protection locked="0"/>
    </xf>
    <xf numFmtId="0" fontId="12" fillId="35" borderId="0" xfId="0" applyFont="1" applyFill="1" applyBorder="1" applyAlignment="1" applyProtection="1">
      <alignment horizontal="right"/>
      <protection hidden="1"/>
    </xf>
    <xf numFmtId="188" fontId="51" fillId="35" borderId="162" xfId="0" applyNumberFormat="1" applyFont="1" applyFill="1" applyBorder="1" applyProtection="1"/>
    <xf numFmtId="188" fontId="51" fillId="35" borderId="278" xfId="0" applyNumberFormat="1" applyFont="1" applyFill="1" applyBorder="1" applyProtection="1"/>
    <xf numFmtId="0" fontId="12" fillId="35" borderId="42" xfId="0" applyFont="1" applyFill="1" applyBorder="1" applyAlignment="1">
      <alignment horizontal="right"/>
    </xf>
    <xf numFmtId="188" fontId="51" fillId="35" borderId="277" xfId="0" applyNumberFormat="1" applyFont="1" applyFill="1" applyBorder="1" applyProtection="1"/>
    <xf numFmtId="188" fontId="51" fillId="55" borderId="279" xfId="321" applyNumberFormat="1" applyFont="1" applyFill="1" applyBorder="1" applyProtection="1">
      <protection locked="0"/>
    </xf>
    <xf numFmtId="188" fontId="51" fillId="35" borderId="163" xfId="0" applyNumberFormat="1" applyFont="1" applyFill="1" applyBorder="1" applyProtection="1"/>
    <xf numFmtId="188" fontId="51" fillId="35" borderId="42" xfId="0" applyNumberFormat="1" applyFont="1" applyFill="1" applyBorder="1" applyProtection="1"/>
    <xf numFmtId="188" fontId="51" fillId="35" borderId="94" xfId="0" applyNumberFormat="1" applyFont="1" applyFill="1" applyBorder="1"/>
    <xf numFmtId="188" fontId="51" fillId="0" borderId="263" xfId="0" applyNumberFormat="1" applyFont="1" applyBorder="1" applyProtection="1"/>
    <xf numFmtId="188" fontId="51" fillId="0" borderId="262" xfId="0" applyNumberFormat="1" applyFont="1" applyBorder="1" applyProtection="1"/>
    <xf numFmtId="188" fontId="51" fillId="35" borderId="46" xfId="0" applyNumberFormat="1" applyFont="1" applyFill="1" applyBorder="1" applyProtection="1"/>
    <xf numFmtId="0" fontId="12" fillId="35" borderId="0" xfId="0" applyFont="1" applyFill="1" applyBorder="1" applyAlignment="1" applyProtection="1">
      <alignment horizontal="right"/>
    </xf>
    <xf numFmtId="188" fontId="51" fillId="35" borderId="277" xfId="41" applyNumberFormat="1" applyFont="1" applyFill="1" applyBorder="1" applyProtection="1"/>
    <xf numFmtId="188" fontId="51" fillId="55" borderId="244" xfId="321" applyNumberFormat="1" applyFont="1" applyFill="1" applyBorder="1" applyProtection="1">
      <protection locked="0"/>
    </xf>
    <xf numFmtId="188" fontId="51" fillId="55" borderId="153" xfId="321" applyNumberFormat="1" applyFont="1" applyFill="1" applyBorder="1" applyProtection="1">
      <protection locked="0"/>
    </xf>
    <xf numFmtId="188" fontId="51" fillId="55" borderId="276" xfId="321" applyNumberFormat="1" applyFont="1" applyFill="1" applyBorder="1" applyProtection="1">
      <protection locked="0"/>
    </xf>
    <xf numFmtId="188" fontId="51" fillId="55" borderId="163" xfId="321" applyNumberFormat="1" applyFont="1" applyFill="1" applyBorder="1" applyProtection="1">
      <protection locked="0"/>
    </xf>
    <xf numFmtId="188" fontId="51" fillId="55" borderId="280" xfId="321" applyNumberFormat="1" applyFont="1" applyFill="1" applyBorder="1" applyProtection="1">
      <protection locked="0"/>
    </xf>
    <xf numFmtId="188" fontId="51" fillId="55" borderId="106" xfId="321" applyNumberFormat="1" applyFont="1" applyFill="1" applyBorder="1" applyProtection="1">
      <protection locked="0"/>
    </xf>
    <xf numFmtId="188" fontId="51" fillId="35" borderId="94" xfId="0" applyNumberFormat="1" applyFont="1" applyFill="1" applyBorder="1" applyAlignment="1"/>
    <xf numFmtId="191" fontId="51" fillId="35" borderId="281" xfId="56" applyNumberFormat="1" applyFont="1" applyFill="1" applyBorder="1"/>
    <xf numFmtId="188" fontId="51" fillId="35" borderId="282" xfId="41" applyNumberFormat="1" applyFont="1" applyFill="1" applyBorder="1" applyAlignment="1" applyProtection="1">
      <protection hidden="1"/>
    </xf>
    <xf numFmtId="188" fontId="51" fillId="35" borderId="244" xfId="41" applyNumberFormat="1" applyFont="1" applyFill="1" applyBorder="1"/>
    <xf numFmtId="188" fontId="51" fillId="35" borderId="277" xfId="41" applyNumberFormat="1" applyFont="1" applyFill="1" applyBorder="1" applyAlignment="1" applyProtection="1">
      <protection hidden="1"/>
    </xf>
    <xf numFmtId="188" fontId="51" fillId="35" borderId="277" xfId="41" applyNumberFormat="1" applyFont="1" applyFill="1" applyBorder="1" applyAlignment="1"/>
    <xf numFmtId="188" fontId="51" fillId="55" borderId="277" xfId="321" applyNumberFormat="1" applyFont="1" applyFill="1" applyBorder="1" applyAlignment="1" applyProtection="1">
      <protection locked="0"/>
    </xf>
    <xf numFmtId="188" fontId="51" fillId="35" borderId="153" xfId="41" applyNumberFormat="1" applyFont="1" applyFill="1" applyBorder="1" applyProtection="1"/>
    <xf numFmtId="188" fontId="51" fillId="35" borderId="42" xfId="41" applyNumberFormat="1" applyFont="1" applyFill="1" applyBorder="1" applyProtection="1"/>
    <xf numFmtId="188" fontId="51" fillId="47" borderId="283" xfId="41" applyNumberFormat="1" applyFont="1" applyFill="1" applyBorder="1" applyAlignment="1" applyProtection="1">
      <protection locked="0"/>
    </xf>
    <xf numFmtId="188" fontId="51" fillId="47" borderId="277" xfId="41" applyNumberFormat="1" applyFont="1" applyFill="1" applyBorder="1" applyAlignment="1" applyProtection="1">
      <protection locked="0"/>
    </xf>
    <xf numFmtId="188" fontId="51" fillId="35" borderId="283" xfId="0" applyNumberFormat="1" applyFont="1" applyFill="1" applyBorder="1" applyAlignment="1"/>
    <xf numFmtId="188" fontId="51" fillId="35" borderId="278" xfId="0" applyNumberFormat="1" applyFont="1" applyFill="1" applyBorder="1" applyAlignment="1"/>
    <xf numFmtId="188" fontId="51" fillId="0" borderId="115" xfId="0" applyNumberFormat="1" applyFont="1" applyFill="1" applyBorder="1" applyProtection="1"/>
    <xf numFmtId="188" fontId="51" fillId="0" borderId="277" xfId="0" applyNumberFormat="1" applyFont="1" applyFill="1" applyBorder="1" applyProtection="1"/>
    <xf numFmtId="188" fontId="51" fillId="0" borderId="153" xfId="0" applyNumberFormat="1" applyFont="1" applyFill="1" applyBorder="1" applyProtection="1"/>
    <xf numFmtId="188" fontId="51" fillId="0" borderId="42" xfId="0" applyNumberFormat="1" applyFont="1" applyFill="1" applyBorder="1" applyProtection="1"/>
    <xf numFmtId="188" fontId="51" fillId="55" borderId="262" xfId="321" applyNumberFormat="1" applyFont="1" applyFill="1" applyBorder="1" applyProtection="1">
      <protection locked="0"/>
    </xf>
    <xf numFmtId="188" fontId="51" fillId="55" borderId="161" xfId="0" applyNumberFormat="1" applyFont="1" applyFill="1" applyBorder="1" applyProtection="1"/>
    <xf numFmtId="188" fontId="51" fillId="55" borderId="284" xfId="0" applyNumberFormat="1" applyFont="1" applyFill="1" applyBorder="1" applyProtection="1"/>
    <xf numFmtId="188" fontId="51" fillId="35" borderId="277" xfId="0" applyNumberFormat="1" applyFont="1" applyFill="1" applyBorder="1" applyProtection="1">
      <protection locked="0"/>
    </xf>
    <xf numFmtId="188" fontId="51" fillId="35" borderId="144" xfId="0" applyNumberFormat="1" applyFont="1" applyFill="1" applyBorder="1"/>
    <xf numFmtId="188" fontId="51" fillId="35" borderId="277" xfId="0" applyNumberFormat="1" applyFont="1" applyFill="1" applyBorder="1"/>
    <xf numFmtId="188" fontId="51" fillId="35" borderId="285" xfId="0" applyNumberFormat="1" applyFont="1" applyFill="1" applyBorder="1" applyProtection="1">
      <protection locked="0"/>
    </xf>
    <xf numFmtId="188" fontId="51" fillId="35" borderId="286" xfId="0" applyNumberFormat="1" applyFont="1" applyFill="1" applyBorder="1" applyProtection="1">
      <protection locked="0"/>
    </xf>
    <xf numFmtId="188" fontId="51" fillId="35" borderId="153" xfId="0" applyNumberFormat="1" applyFont="1" applyFill="1" applyBorder="1"/>
    <xf numFmtId="188" fontId="51" fillId="35" borderId="276" xfId="0" applyNumberFormat="1" applyFont="1" applyFill="1" applyBorder="1"/>
    <xf numFmtId="199" fontId="51" fillId="55" borderId="284" xfId="0" applyNumberFormat="1" applyFont="1" applyFill="1" applyBorder="1"/>
    <xf numFmtId="188" fontId="0" fillId="35" borderId="47" xfId="0" applyNumberFormat="1" applyFill="1" applyBorder="1" applyProtection="1"/>
    <xf numFmtId="0" fontId="0" fillId="35" borderId="250" xfId="0" applyFill="1" applyBorder="1" applyProtection="1"/>
    <xf numFmtId="188" fontId="51" fillId="35" borderId="244" xfId="0" applyNumberFormat="1" applyFont="1" applyFill="1" applyBorder="1" applyProtection="1"/>
    <xf numFmtId="188" fontId="51" fillId="35" borderId="244" xfId="41" applyNumberFormat="1" applyFont="1" applyFill="1" applyBorder="1" applyProtection="1"/>
    <xf numFmtId="0" fontId="0" fillId="55" borderId="248" xfId="321" applyFont="1" applyFill="1" applyBorder="1" applyAlignment="1">
      <alignment vertical="top" wrapText="1"/>
    </xf>
    <xf numFmtId="0" fontId="0" fillId="55" borderId="111" xfId="321" applyFont="1" applyFill="1" applyBorder="1" applyAlignment="1">
      <alignment vertical="top" wrapText="1"/>
    </xf>
    <xf numFmtId="0" fontId="0" fillId="35" borderId="249" xfId="0" applyFill="1" applyBorder="1" applyProtection="1">
      <protection hidden="1"/>
    </xf>
    <xf numFmtId="0" fontId="50" fillId="35" borderId="249" xfId="0" applyFont="1" applyFill="1" applyBorder="1" applyAlignment="1" applyProtection="1">
      <alignment horizontal="center"/>
      <protection hidden="1"/>
    </xf>
    <xf numFmtId="0" fontId="50" fillId="35" borderId="250" xfId="0" applyFont="1" applyFill="1" applyBorder="1" applyAlignment="1" applyProtection="1">
      <alignment horizontal="center"/>
      <protection hidden="1"/>
    </xf>
    <xf numFmtId="0" fontId="55" fillId="35" borderId="250" xfId="0" applyFont="1" applyFill="1" applyBorder="1" applyAlignment="1" applyProtection="1">
      <alignment wrapText="1"/>
      <protection hidden="1"/>
    </xf>
    <xf numFmtId="0" fontId="51" fillId="35" borderId="250" xfId="0" applyFont="1" applyFill="1" applyBorder="1" applyProtection="1">
      <protection hidden="1"/>
    </xf>
    <xf numFmtId="0" fontId="151" fillId="55" borderId="287" xfId="133" applyFont="1" applyFill="1" applyBorder="1" applyAlignment="1">
      <alignment horizontal="center"/>
    </xf>
    <xf numFmtId="164" fontId="52" fillId="55" borderId="106" xfId="321" applyNumberFormat="1" applyFont="1" applyFill="1" applyBorder="1" applyAlignment="1" applyProtection="1">
      <alignment horizontal="center" vertical="top" wrapText="1"/>
    </xf>
    <xf numFmtId="164" fontId="52" fillId="55" borderId="38" xfId="321" applyNumberFormat="1" applyFont="1" applyFill="1" applyBorder="1" applyAlignment="1" applyProtection="1">
      <alignment horizontal="center" vertical="top" wrapText="1"/>
    </xf>
    <xf numFmtId="164" fontId="52" fillId="35" borderId="153" xfId="0" applyNumberFormat="1" applyFont="1" applyFill="1" applyBorder="1" applyAlignment="1" applyProtection="1">
      <alignment horizontal="center" vertical="top" wrapText="1"/>
    </xf>
    <xf numFmtId="164" fontId="52" fillId="35" borderId="24" xfId="0" applyNumberFormat="1" applyFont="1" applyFill="1" applyBorder="1" applyAlignment="1" applyProtection="1">
      <alignment horizontal="center" vertical="top" wrapText="1"/>
    </xf>
    <xf numFmtId="164" fontId="52" fillId="43" borderId="273" xfId="0" applyNumberFormat="1" applyFont="1" applyFill="1" applyBorder="1" applyAlignment="1" applyProtection="1">
      <alignment wrapText="1"/>
    </xf>
    <xf numFmtId="164" fontId="52" fillId="43" borderId="108" xfId="0" applyNumberFormat="1" applyFont="1" applyFill="1" applyBorder="1" applyAlignment="1" applyProtection="1">
      <alignment wrapText="1"/>
    </xf>
    <xf numFmtId="188" fontId="51" fillId="55" borderId="153" xfId="321" applyNumberFormat="1" applyFont="1" applyFill="1" applyBorder="1" applyAlignment="1" applyProtection="1">
      <protection locked="0" hidden="1"/>
    </xf>
    <xf numFmtId="188" fontId="51" fillId="55" borderId="24" xfId="321" applyNumberFormat="1" applyFont="1" applyFill="1" applyBorder="1" applyAlignment="1" applyProtection="1">
      <protection locked="0" hidden="1"/>
    </xf>
    <xf numFmtId="188" fontId="51" fillId="47" borderId="144" xfId="41" applyNumberFormat="1" applyFont="1" applyFill="1" applyBorder="1" applyAlignment="1" applyProtection="1">
      <protection locked="0" hidden="1"/>
    </xf>
    <xf numFmtId="188" fontId="51" fillId="55" borderId="144" xfId="321" applyNumberFormat="1" applyFont="1" applyFill="1" applyBorder="1" applyAlignment="1" applyProtection="1">
      <protection locked="0" hidden="1"/>
    </xf>
    <xf numFmtId="188" fontId="51" fillId="47" borderId="144" xfId="321" applyNumberFormat="1" applyFont="1" applyFill="1" applyBorder="1" applyProtection="1">
      <protection locked="0"/>
    </xf>
    <xf numFmtId="188" fontId="51" fillId="47" borderId="62" xfId="321" applyNumberFormat="1" applyFont="1" applyFill="1" applyBorder="1" applyProtection="1">
      <protection locked="0"/>
    </xf>
    <xf numFmtId="188" fontId="51" fillId="36" borderId="288" xfId="41" applyNumberFormat="1" applyFont="1" applyFill="1" applyBorder="1" applyAlignment="1" applyProtection="1">
      <protection locked="0" hidden="1"/>
    </xf>
    <xf numFmtId="0" fontId="12" fillId="54" borderId="0" xfId="0" applyFont="1" applyFill="1" applyBorder="1" applyAlignment="1" applyProtection="1">
      <alignment horizontal="right"/>
      <protection hidden="1"/>
    </xf>
    <xf numFmtId="188" fontId="51" fillId="37" borderId="106" xfId="41" applyNumberFormat="1" applyFont="1" applyFill="1" applyBorder="1" applyAlignment="1" applyProtection="1">
      <protection hidden="1"/>
    </xf>
    <xf numFmtId="188" fontId="51" fillId="37" borderId="17" xfId="41" applyNumberFormat="1" applyFont="1" applyFill="1" applyBorder="1" applyAlignment="1" applyProtection="1">
      <protection hidden="1"/>
    </xf>
    <xf numFmtId="188" fontId="51" fillId="55" borderId="252" xfId="321" applyNumberFormat="1" applyFont="1" applyFill="1" applyBorder="1" applyAlignment="1" applyProtection="1">
      <protection locked="0" hidden="1"/>
    </xf>
    <xf numFmtId="188" fontId="51" fillId="55" borderId="26" xfId="321" applyNumberFormat="1" applyFont="1" applyFill="1" applyBorder="1" applyAlignment="1" applyProtection="1">
      <protection locked="0" hidden="1"/>
    </xf>
    <xf numFmtId="188" fontId="51" fillId="35" borderId="62" xfId="41" applyNumberFormat="1" applyFont="1" applyFill="1" applyBorder="1" applyAlignment="1" applyProtection="1">
      <protection hidden="1"/>
    </xf>
    <xf numFmtId="188" fontId="51" fillId="55" borderId="154" xfId="321" applyNumberFormat="1" applyFont="1" applyFill="1" applyBorder="1" applyAlignment="1" applyProtection="1">
      <protection locked="0" hidden="1"/>
    </xf>
    <xf numFmtId="188" fontId="51" fillId="55" borderId="27" xfId="321" applyNumberFormat="1" applyFont="1" applyFill="1" applyBorder="1" applyAlignment="1" applyProtection="1">
      <protection locked="0" hidden="1"/>
    </xf>
    <xf numFmtId="188" fontId="51" fillId="0" borderId="244" xfId="41" applyNumberFormat="1" applyFont="1" applyFill="1" applyBorder="1" applyAlignment="1" applyProtection="1">
      <protection hidden="1"/>
    </xf>
    <xf numFmtId="188" fontId="51" fillId="37" borderId="38" xfId="41" applyNumberFormat="1" applyFont="1" applyFill="1" applyBorder="1" applyAlignment="1" applyProtection="1">
      <protection hidden="1"/>
    </xf>
    <xf numFmtId="188" fontId="51" fillId="37" borderId="252" xfId="41" applyNumberFormat="1" applyFont="1" applyFill="1" applyBorder="1" applyAlignment="1" applyProtection="1">
      <protection hidden="1"/>
    </xf>
    <xf numFmtId="188" fontId="51" fillId="37" borderId="26" xfId="41" applyNumberFormat="1" applyFont="1" applyFill="1" applyBorder="1" applyAlignment="1" applyProtection="1">
      <protection hidden="1"/>
    </xf>
    <xf numFmtId="188" fontId="51" fillId="0" borderId="244" xfId="41" applyNumberFormat="1" applyFont="1" applyFill="1" applyBorder="1" applyAlignment="1" applyProtection="1">
      <alignment horizontal="right"/>
      <protection hidden="1"/>
    </xf>
    <xf numFmtId="188" fontId="51" fillId="37" borderId="252" xfId="41" applyNumberFormat="1" applyFont="1" applyFill="1" applyBorder="1" applyAlignment="1" applyProtection="1">
      <alignment horizontal="right"/>
      <protection hidden="1"/>
    </xf>
    <xf numFmtId="188" fontId="51" fillId="37" borderId="26" xfId="41" applyNumberFormat="1" applyFont="1" applyFill="1" applyBorder="1" applyAlignment="1" applyProtection="1">
      <alignment horizontal="right"/>
      <protection hidden="1"/>
    </xf>
    <xf numFmtId="188" fontId="51" fillId="37" borderId="154" xfId="41" applyNumberFormat="1" applyFont="1" applyFill="1" applyBorder="1" applyAlignment="1" applyProtection="1">
      <protection hidden="1"/>
    </xf>
    <xf numFmtId="188" fontId="51" fillId="37" borderId="27" xfId="41" applyNumberFormat="1" applyFont="1" applyFill="1" applyBorder="1" applyAlignment="1" applyProtection="1">
      <protection hidden="1"/>
    </xf>
    <xf numFmtId="188" fontId="51" fillId="0" borderId="244" xfId="0" applyNumberFormat="1" applyFont="1" applyFill="1" applyBorder="1" applyAlignment="1" applyProtection="1">
      <protection hidden="1"/>
    </xf>
    <xf numFmtId="188" fontId="51" fillId="37" borderId="106" xfId="0" applyNumberFormat="1" applyFont="1" applyFill="1" applyBorder="1" applyAlignment="1" applyProtection="1">
      <protection hidden="1"/>
    </xf>
    <xf numFmtId="188" fontId="51" fillId="37" borderId="38" xfId="0" applyNumberFormat="1" applyFont="1" applyFill="1" applyBorder="1" applyAlignment="1" applyProtection="1">
      <protection hidden="1"/>
    </xf>
    <xf numFmtId="188" fontId="51" fillId="0" borderId="244" xfId="0" applyNumberFormat="1" applyFont="1" applyBorder="1" applyAlignment="1" applyProtection="1">
      <protection hidden="1"/>
    </xf>
    <xf numFmtId="188" fontId="51" fillId="0" borderId="153" xfId="0" applyNumberFormat="1" applyFont="1" applyBorder="1" applyAlignment="1" applyProtection="1">
      <protection hidden="1"/>
    </xf>
    <xf numFmtId="188" fontId="51" fillId="0" borderId="24" xfId="0" applyNumberFormat="1" applyFont="1" applyBorder="1" applyAlignment="1" applyProtection="1">
      <protection hidden="1"/>
    </xf>
    <xf numFmtId="10" fontId="51" fillId="35" borderId="106" xfId="0" applyNumberFormat="1" applyFont="1" applyFill="1" applyBorder="1" applyAlignment="1" applyProtection="1">
      <protection hidden="1"/>
    </xf>
    <xf numFmtId="10" fontId="51" fillId="35" borderId="38" xfId="0" applyNumberFormat="1" applyFont="1" applyFill="1" applyBorder="1" applyAlignment="1" applyProtection="1">
      <protection hidden="1"/>
    </xf>
    <xf numFmtId="188" fontId="51" fillId="35" borderId="106" xfId="178" applyNumberFormat="1" applyFont="1" applyFill="1" applyBorder="1" applyAlignment="1" applyProtection="1">
      <protection hidden="1"/>
    </xf>
    <xf numFmtId="188" fontId="51" fillId="35" borderId="17" xfId="178" applyNumberFormat="1" applyFont="1" applyFill="1" applyBorder="1" applyAlignment="1" applyProtection="1">
      <protection hidden="1"/>
    </xf>
    <xf numFmtId="188" fontId="51" fillId="35" borderId="244" xfId="41" applyNumberFormat="1" applyFont="1" applyFill="1" applyBorder="1" applyAlignment="1" applyProtection="1">
      <protection hidden="1"/>
    </xf>
    <xf numFmtId="188" fontId="51" fillId="35" borderId="153" xfId="41" applyNumberFormat="1" applyFont="1" applyFill="1" applyBorder="1" applyAlignment="1" applyProtection="1">
      <protection hidden="1"/>
    </xf>
    <xf numFmtId="188" fontId="51" fillId="35" borderId="153" xfId="0" applyNumberFormat="1" applyFont="1" applyFill="1" applyBorder="1" applyAlignment="1" applyProtection="1">
      <protection hidden="1"/>
    </xf>
    <xf numFmtId="188" fontId="51" fillId="0" borderId="0" xfId="0" applyNumberFormat="1" applyFont="1" applyBorder="1" applyAlignment="1" applyProtection="1">
      <protection hidden="1"/>
    </xf>
    <xf numFmtId="188" fontId="51" fillId="35" borderId="285" xfId="41" applyNumberFormat="1" applyFont="1" applyFill="1" applyBorder="1" applyAlignment="1" applyProtection="1">
      <protection hidden="1"/>
    </xf>
    <xf numFmtId="188" fontId="51" fillId="35" borderId="289" xfId="41" applyNumberFormat="1" applyFont="1" applyFill="1" applyBorder="1" applyAlignment="1" applyProtection="1">
      <protection hidden="1"/>
    </xf>
    <xf numFmtId="188" fontId="51" fillId="55" borderId="290" xfId="321" applyNumberFormat="1" applyFont="1" applyFill="1" applyBorder="1" applyAlignment="1" applyProtection="1">
      <protection locked="0" hidden="1"/>
    </xf>
    <xf numFmtId="188" fontId="51" fillId="55" borderId="291" xfId="321" applyNumberFormat="1" applyFont="1" applyFill="1" applyBorder="1" applyAlignment="1" applyProtection="1">
      <protection locked="0" hidden="1"/>
    </xf>
    <xf numFmtId="188" fontId="51" fillId="35" borderId="24" xfId="0" applyNumberFormat="1" applyFont="1" applyFill="1" applyBorder="1" applyAlignment="1" applyProtection="1">
      <protection hidden="1"/>
    </xf>
    <xf numFmtId="191" fontId="51" fillId="35" borderId="41" xfId="56" applyNumberFormat="1" applyFont="1" applyFill="1" applyBorder="1" applyProtection="1">
      <protection hidden="1"/>
    </xf>
    <xf numFmtId="166" fontId="51" fillId="0" borderId="29" xfId="41" applyFont="1" applyFill="1" applyBorder="1" applyAlignment="1" applyProtection="1">
      <alignment wrapText="1"/>
      <protection hidden="1"/>
    </xf>
    <xf numFmtId="166" fontId="51" fillId="0" borderId="29" xfId="41" applyFont="1" applyFill="1" applyBorder="1" applyProtection="1">
      <protection hidden="1"/>
    </xf>
    <xf numFmtId="191" fontId="51" fillId="0" borderId="244" xfId="56" applyNumberFormat="1" applyFont="1" applyFill="1" applyBorder="1" applyProtection="1">
      <protection hidden="1"/>
    </xf>
    <xf numFmtId="166" fontId="51" fillId="0" borderId="153" xfId="41" applyFont="1" applyFill="1" applyBorder="1" applyProtection="1">
      <protection hidden="1"/>
    </xf>
    <xf numFmtId="166" fontId="51" fillId="0" borderId="24" xfId="41" applyFont="1" applyFill="1" applyBorder="1" applyProtection="1">
      <protection hidden="1"/>
    </xf>
    <xf numFmtId="166" fontId="51" fillId="35" borderId="244" xfId="41" applyFont="1" applyFill="1" applyBorder="1" applyProtection="1">
      <protection hidden="1"/>
    </xf>
    <xf numFmtId="166" fontId="51" fillId="0" borderId="244" xfId="0" applyNumberFormat="1" applyFont="1" applyFill="1" applyBorder="1" applyProtection="1">
      <protection hidden="1"/>
    </xf>
    <xf numFmtId="188" fontId="51" fillId="35" borderId="292" xfId="41" applyNumberFormat="1" applyFont="1" applyFill="1" applyBorder="1" applyAlignment="1" applyProtection="1">
      <protection hidden="1"/>
    </xf>
    <xf numFmtId="188" fontId="51" fillId="35" borderId="62" xfId="41" applyNumberFormat="1" applyFont="1" applyFill="1" applyBorder="1" applyAlignment="1"/>
    <xf numFmtId="188" fontId="51" fillId="55" borderId="62" xfId="321" applyNumberFormat="1" applyFont="1" applyFill="1" applyBorder="1" applyAlignment="1" applyProtection="1">
      <protection locked="0"/>
    </xf>
    <xf numFmtId="166" fontId="51" fillId="47" borderId="293" xfId="41" applyFont="1" applyFill="1" applyBorder="1" applyAlignment="1" applyProtection="1">
      <alignment horizontal="center"/>
      <protection locked="0"/>
    </xf>
    <xf numFmtId="0" fontId="51" fillId="0" borderId="0" xfId="0" applyFont="1" applyBorder="1" applyAlignment="1">
      <alignment horizontal="right"/>
    </xf>
    <xf numFmtId="188" fontId="51" fillId="47" borderId="288" xfId="41" applyNumberFormat="1" applyFont="1" applyFill="1" applyBorder="1" applyAlignment="1" applyProtection="1">
      <protection locked="0"/>
    </xf>
    <xf numFmtId="188" fontId="51" fillId="35" borderId="244" xfId="0" applyNumberFormat="1" applyFont="1" applyFill="1" applyBorder="1" applyAlignment="1" applyProtection="1">
      <alignment horizontal="right"/>
      <protection hidden="1"/>
    </xf>
    <xf numFmtId="188" fontId="51" fillId="0" borderId="153" xfId="0" applyNumberFormat="1" applyFont="1" applyFill="1" applyBorder="1" applyAlignment="1" applyProtection="1">
      <alignment horizontal="right"/>
      <protection hidden="1"/>
    </xf>
    <xf numFmtId="0" fontId="51" fillId="35" borderId="42" xfId="0" applyFont="1" applyFill="1" applyBorder="1" applyProtection="1">
      <protection locked="0"/>
    </xf>
    <xf numFmtId="188" fontId="51" fillId="47" borderId="153" xfId="0" applyNumberFormat="1" applyFont="1" applyFill="1" applyBorder="1" applyAlignment="1" applyProtection="1">
      <alignment horizontal="right"/>
      <protection hidden="1"/>
    </xf>
    <xf numFmtId="188" fontId="51" fillId="47" borderId="0" xfId="0" applyNumberFormat="1" applyFont="1" applyFill="1" applyBorder="1" applyAlignment="1" applyProtection="1">
      <alignment horizontal="right"/>
      <protection hidden="1"/>
    </xf>
    <xf numFmtId="188" fontId="51" fillId="55" borderId="106" xfId="321" applyNumberFormat="1" applyFont="1" applyFill="1" applyBorder="1" applyAlignment="1" applyProtection="1">
      <protection locked="0" hidden="1"/>
    </xf>
    <xf numFmtId="188" fontId="18" fillId="55" borderId="8" xfId="0" applyNumberFormat="1" applyFont="1" applyFill="1" applyBorder="1" applyAlignment="1" applyProtection="1">
      <protection hidden="1"/>
    </xf>
    <xf numFmtId="188" fontId="51" fillId="55" borderId="144" xfId="0" applyNumberFormat="1" applyFont="1" applyFill="1" applyBorder="1" applyAlignment="1" applyProtection="1">
      <protection locked="0" hidden="1"/>
    </xf>
    <xf numFmtId="188" fontId="51" fillId="47" borderId="144" xfId="0" applyNumberFormat="1" applyFont="1" applyFill="1" applyBorder="1" applyAlignment="1" applyProtection="1">
      <protection locked="0" hidden="1"/>
    </xf>
    <xf numFmtId="188" fontId="51" fillId="47" borderId="62" xfId="0" applyNumberFormat="1" applyFont="1" applyFill="1" applyBorder="1" applyAlignment="1" applyProtection="1">
      <protection locked="0" hidden="1"/>
    </xf>
    <xf numFmtId="188" fontId="51" fillId="35" borderId="154" xfId="0" applyNumberFormat="1" applyFont="1" applyFill="1" applyBorder="1" applyAlignment="1" applyProtection="1">
      <protection hidden="1"/>
    </xf>
    <xf numFmtId="188" fontId="51" fillId="35" borderId="27" xfId="0" applyNumberFormat="1" applyFont="1" applyFill="1" applyBorder="1" applyAlignment="1" applyProtection="1">
      <protection hidden="1"/>
    </xf>
    <xf numFmtId="199" fontId="51" fillId="55" borderId="161" xfId="0" applyNumberFormat="1" applyFont="1" applyFill="1" applyBorder="1" applyAlignment="1" applyProtection="1">
      <protection hidden="1"/>
    </xf>
    <xf numFmtId="199" fontId="51" fillId="55" borderId="41" xfId="0" applyNumberFormat="1" applyFont="1" applyFill="1" applyBorder="1" applyAlignment="1" applyProtection="1">
      <protection hidden="1"/>
    </xf>
    <xf numFmtId="0" fontId="12" fillId="47" borderId="95" xfId="0" applyNumberFormat="1" applyFont="1" applyFill="1" applyBorder="1" applyAlignment="1">
      <alignment vertical="center" wrapText="1"/>
    </xf>
    <xf numFmtId="0" fontId="12" fillId="47" borderId="95" xfId="0" applyFont="1" applyFill="1" applyBorder="1" applyAlignment="1">
      <alignment wrapText="1"/>
    </xf>
    <xf numFmtId="0" fontId="12" fillId="47" borderId="96" xfId="0" applyFont="1" applyFill="1" applyBorder="1" applyAlignment="1">
      <alignment wrapText="1"/>
    </xf>
    <xf numFmtId="0" fontId="12" fillId="47" borderId="0" xfId="0" applyFont="1" applyFill="1" applyBorder="1" applyAlignment="1">
      <alignment vertical="top" wrapText="1"/>
    </xf>
    <xf numFmtId="0" fontId="12" fillId="47" borderId="45" xfId="0" applyFont="1" applyFill="1" applyBorder="1" applyAlignment="1">
      <alignment vertical="top" wrapText="1"/>
    </xf>
    <xf numFmtId="0" fontId="12" fillId="47" borderId="43" xfId="0" applyFont="1" applyFill="1" applyBorder="1" applyAlignment="1">
      <alignment vertical="top" wrapText="1"/>
    </xf>
    <xf numFmtId="0" fontId="12" fillId="47" borderId="55" xfId="0" applyFont="1" applyFill="1" applyBorder="1" applyAlignment="1">
      <alignment vertical="top" wrapText="1"/>
    </xf>
    <xf numFmtId="0" fontId="0" fillId="47" borderId="0" xfId="0" applyFill="1" applyBorder="1" applyProtection="1">
      <protection hidden="1"/>
    </xf>
    <xf numFmtId="0" fontId="18" fillId="47" borderId="0" xfId="0" quotePrefix="1" applyFont="1" applyFill="1" applyBorder="1" applyAlignment="1" applyProtection="1">
      <alignment horizontal="right"/>
      <protection hidden="1"/>
    </xf>
    <xf numFmtId="166" fontId="19" fillId="58" borderId="218" xfId="321" applyNumberFormat="1" applyFont="1" applyFill="1" applyBorder="1"/>
    <xf numFmtId="191" fontId="12" fillId="47" borderId="0" xfId="56" applyNumberFormat="1" applyFont="1" applyFill="1"/>
    <xf numFmtId="166" fontId="158" fillId="47" borderId="0" xfId="41" applyFont="1" applyFill="1"/>
    <xf numFmtId="166" fontId="19" fillId="0" borderId="199" xfId="41" applyFont="1" applyFill="1" applyBorder="1"/>
    <xf numFmtId="166" fontId="0" fillId="35" borderId="39" xfId="41" applyFont="1" applyFill="1" applyBorder="1"/>
    <xf numFmtId="166" fontId="0" fillId="35" borderId="24" xfId="41" applyFont="1" applyFill="1" applyBorder="1"/>
    <xf numFmtId="166" fontId="0" fillId="35" borderId="27" xfId="41" applyFont="1" applyFill="1" applyBorder="1"/>
    <xf numFmtId="166" fontId="0" fillId="35" borderId="41" xfId="41" applyFont="1" applyFill="1" applyBorder="1"/>
    <xf numFmtId="166" fontId="19" fillId="0" borderId="197" xfId="41" applyFont="1" applyFill="1" applyBorder="1"/>
    <xf numFmtId="0" fontId="12" fillId="0" borderId="0" xfId="0" applyFont="1" applyAlignment="1">
      <alignment horizontal="left" indent="2"/>
    </xf>
    <xf numFmtId="0" fontId="13" fillId="40" borderId="247" xfId="131" applyFont="1" applyFill="1" applyBorder="1" applyAlignment="1" applyProtection="1">
      <alignment horizontal="center"/>
    </xf>
    <xf numFmtId="0" fontId="13" fillId="40" borderId="111" xfId="131" applyFont="1" applyFill="1" applyBorder="1" applyAlignment="1" applyProtection="1">
      <alignment horizontal="center"/>
    </xf>
    <xf numFmtId="177" fontId="12" fillId="40" borderId="294" xfId="178" applyNumberFormat="1" applyFont="1" applyFill="1" applyBorder="1" applyAlignment="1">
      <alignment horizontal="center"/>
    </xf>
    <xf numFmtId="177" fontId="12" fillId="40" borderId="67" xfId="178" applyNumberFormat="1" applyFont="1" applyFill="1" applyBorder="1" applyAlignment="1">
      <alignment horizontal="center"/>
    </xf>
    <xf numFmtId="14" fontId="12" fillId="40" borderId="107" xfId="0" applyNumberFormat="1" applyFont="1" applyFill="1" applyBorder="1" applyAlignment="1">
      <alignment horizontal="center"/>
    </xf>
    <xf numFmtId="177" fontId="12" fillId="40" borderId="71" xfId="178" applyNumberFormat="1" applyFont="1" applyFill="1" applyBorder="1" applyAlignment="1">
      <alignment horizontal="center"/>
    </xf>
    <xf numFmtId="0" fontId="27" fillId="40" borderId="247" xfId="131" applyFill="1" applyBorder="1" applyAlignment="1" applyProtection="1"/>
    <xf numFmtId="0" fontId="27" fillId="40" borderId="248" xfId="131" applyFill="1" applyBorder="1" applyAlignment="1" applyProtection="1"/>
    <xf numFmtId="0" fontId="27" fillId="47" borderId="249" xfId="131" applyFill="1" applyBorder="1" applyAlignment="1" applyProtection="1">
      <alignment vertical="top"/>
    </xf>
    <xf numFmtId="0" fontId="12" fillId="47" borderId="295" xfId="0" applyFont="1" applyFill="1" applyBorder="1" applyAlignment="1">
      <alignment horizontal="left" vertical="top"/>
    </xf>
    <xf numFmtId="0" fontId="12" fillId="47" borderId="247" xfId="0" applyFont="1" applyFill="1" applyBorder="1" applyAlignment="1">
      <alignment horizontal="left" vertical="top"/>
    </xf>
    <xf numFmtId="0" fontId="186" fillId="47" borderId="0" xfId="0" applyFont="1" applyFill="1" applyAlignment="1">
      <alignment vertical="top"/>
    </xf>
    <xf numFmtId="0" fontId="27" fillId="40" borderId="251" xfId="131" applyFill="1" applyBorder="1" applyAlignment="1" applyProtection="1">
      <alignment horizontal="left" indent="2"/>
    </xf>
    <xf numFmtId="0" fontId="12" fillId="0" borderId="105" xfId="131" applyFont="1" applyFill="1" applyBorder="1" applyAlignment="1" applyProtection="1">
      <alignment horizontal="left" vertical="top" indent="1"/>
    </xf>
    <xf numFmtId="0" fontId="12" fillId="0" borderId="17" xfId="131" applyFont="1" applyFill="1" applyBorder="1" applyAlignment="1" applyProtection="1">
      <alignment horizontal="center" vertical="top" wrapText="1"/>
    </xf>
    <xf numFmtId="14" fontId="158" fillId="0" borderId="38" xfId="131" applyNumberFormat="1" applyFont="1" applyFill="1" applyBorder="1" applyAlignment="1" applyProtection="1">
      <alignment horizontal="center" vertical="top" wrapText="1"/>
    </xf>
    <xf numFmtId="0" fontId="12" fillId="35" borderId="36" xfId="146" applyFont="1" applyFill="1" applyBorder="1"/>
    <xf numFmtId="0" fontId="62" fillId="57" borderId="0" xfId="36" applyFont="1" applyFill="1" applyAlignment="1">
      <alignment horizontal="center" vertical="center"/>
    </xf>
    <xf numFmtId="0" fontId="23" fillId="0" borderId="0" xfId="0" applyFont="1" applyAlignment="1">
      <alignment horizontal="left" vertical="top" wrapText="1"/>
    </xf>
    <xf numFmtId="0" fontId="12" fillId="0" borderId="0" xfId="0" applyFont="1" applyAlignment="1">
      <alignment vertical="top"/>
    </xf>
    <xf numFmtId="0" fontId="52" fillId="0" borderId="0" xfId="0" applyFont="1"/>
    <xf numFmtId="0" fontId="13" fillId="0" borderId="14" xfId="0" applyFont="1" applyBorder="1" applyAlignment="1">
      <alignment vertical="top"/>
    </xf>
    <xf numFmtId="0" fontId="52" fillId="0" borderId="0" xfId="0" applyFont="1" applyAlignment="1">
      <alignment vertical="top"/>
    </xf>
    <xf numFmtId="9" fontId="12" fillId="0" borderId="0" xfId="0" applyNumberFormat="1" applyFont="1" applyAlignment="1">
      <alignment vertical="top"/>
    </xf>
    <xf numFmtId="0" fontId="12" fillId="0" borderId="14" xfId="0" applyFont="1" applyBorder="1" applyAlignment="1">
      <alignment vertical="top"/>
    </xf>
    <xf numFmtId="0" fontId="18" fillId="0" borderId="0" xfId="0" applyFont="1" applyAlignment="1">
      <alignment vertical="top"/>
    </xf>
    <xf numFmtId="0" fontId="12" fillId="0" borderId="0" xfId="0" applyFont="1" applyAlignment="1">
      <alignment horizontal="center" vertical="top"/>
    </xf>
    <xf numFmtId="0" fontId="13" fillId="0" borderId="0" xfId="0" applyFont="1" applyAlignment="1">
      <alignment vertical="top"/>
    </xf>
    <xf numFmtId="0" fontId="12" fillId="0" borderId="14" xfId="0" applyFont="1" applyBorder="1" applyAlignment="1">
      <alignment horizontal="center" vertical="top"/>
    </xf>
    <xf numFmtId="178" fontId="12" fillId="0" borderId="0" xfId="0" applyNumberFormat="1" applyFont="1" applyAlignment="1">
      <alignment vertical="top"/>
    </xf>
    <xf numFmtId="0" fontId="13" fillId="0" borderId="14" xfId="0" applyFont="1" applyBorder="1" applyAlignment="1">
      <alignment horizontal="center" vertical="top"/>
    </xf>
    <xf numFmtId="0" fontId="69" fillId="0" borderId="0" xfId="195" applyAlignment="1">
      <alignment vertical="top"/>
    </xf>
    <xf numFmtId="0" fontId="69" fillId="0" borderId="0" xfId="0" applyFont="1"/>
    <xf numFmtId="0" fontId="92" fillId="0" borderId="0" xfId="0" applyFont="1"/>
    <xf numFmtId="0" fontId="13" fillId="0" borderId="0" xfId="0" applyFont="1" applyAlignment="1">
      <alignment horizontal="center"/>
    </xf>
    <xf numFmtId="178" fontId="196" fillId="0" borderId="0" xfId="41" applyNumberFormat="1" applyFont="1" applyFill="1" applyAlignment="1">
      <alignment horizontal="right"/>
    </xf>
    <xf numFmtId="0" fontId="23" fillId="0" borderId="0" xfId="0" applyFont="1" applyAlignment="1">
      <alignment horizontal="left" vertical="top"/>
    </xf>
    <xf numFmtId="0" fontId="125" fillId="0" borderId="0" xfId="0" applyFont="1"/>
    <xf numFmtId="191" fontId="12" fillId="0" borderId="0" xfId="65" applyNumberFormat="1" applyFont="1" applyFill="1" applyBorder="1"/>
    <xf numFmtId="191" fontId="12" fillId="0" borderId="0" xfId="0" applyNumberFormat="1" applyFont="1"/>
    <xf numFmtId="191" fontId="33" fillId="0" borderId="0" xfId="0" applyNumberFormat="1" applyFont="1" applyAlignment="1">
      <alignment horizontal="left"/>
    </xf>
    <xf numFmtId="0" fontId="33" fillId="0" borderId="0" xfId="0" applyFont="1" applyAlignment="1">
      <alignment horizontal="center"/>
    </xf>
    <xf numFmtId="177" fontId="24" fillId="0" borderId="0" xfId="178" applyNumberFormat="1" applyFont="1" applyFill="1" applyBorder="1"/>
    <xf numFmtId="0" fontId="13" fillId="0" borderId="14" xfId="0" applyFont="1" applyBorder="1" applyAlignment="1">
      <alignment horizontal="center" vertical="center"/>
    </xf>
    <xf numFmtId="0" fontId="12" fillId="0" borderId="14" xfId="56" applyNumberFormat="1" applyFont="1" applyFill="1" applyBorder="1" applyAlignment="1">
      <alignment horizontal="center" vertical="center"/>
    </xf>
    <xf numFmtId="0" fontId="12" fillId="0" borderId="14" xfId="0" applyFont="1" applyBorder="1" applyAlignment="1">
      <alignment horizontal="center" vertical="center"/>
    </xf>
    <xf numFmtId="0" fontId="12" fillId="67" borderId="14" xfId="56" applyNumberFormat="1" applyFont="1" applyFill="1" applyBorder="1" applyAlignment="1">
      <alignment horizontal="center" vertical="center"/>
    </xf>
    <xf numFmtId="0" fontId="12" fillId="67" borderId="14" xfId="56" applyNumberFormat="1" applyFont="1" applyFill="1" applyBorder="1" applyAlignment="1">
      <alignment vertical="center"/>
    </xf>
    <xf numFmtId="0" fontId="22" fillId="47" borderId="0" xfId="272" applyFont="1" applyFill="1" applyAlignment="1">
      <alignment vertical="center"/>
    </xf>
    <xf numFmtId="0" fontId="12" fillId="47" borderId="0" xfId="272" applyFill="1"/>
    <xf numFmtId="0" fontId="12" fillId="47" borderId="0" xfId="272" applyFill="1" applyAlignment="1">
      <alignment vertical="center"/>
    </xf>
    <xf numFmtId="0" fontId="152" fillId="47" borderId="0" xfId="272" applyFont="1" applyFill="1" applyAlignment="1">
      <alignment vertical="center"/>
    </xf>
    <xf numFmtId="0" fontId="13" fillId="47" borderId="0" xfId="272" applyFont="1" applyFill="1" applyAlignment="1">
      <alignment vertical="center"/>
    </xf>
    <xf numFmtId="0" fontId="13" fillId="47" borderId="0" xfId="272" applyFont="1" applyFill="1" applyAlignment="1">
      <alignment horizontal="right" vertical="center"/>
    </xf>
    <xf numFmtId="0" fontId="12" fillId="47" borderId="0" xfId="272" applyFill="1" applyAlignment="1">
      <alignment vertical="top"/>
    </xf>
    <xf numFmtId="0" fontId="13" fillId="47" borderId="14" xfId="272" applyFont="1" applyFill="1" applyBorder="1" applyAlignment="1">
      <alignment horizontal="center" vertical="center" wrapText="1"/>
    </xf>
    <xf numFmtId="0" fontId="13" fillId="47" borderId="14" xfId="56" applyNumberFormat="1" applyFont="1" applyFill="1" applyBorder="1" applyAlignment="1">
      <alignment horizontal="center" vertical="center" wrapText="1"/>
    </xf>
    <xf numFmtId="0" fontId="12" fillId="47" borderId="0" xfId="272" applyFill="1" applyAlignment="1">
      <alignment horizontal="center"/>
    </xf>
    <xf numFmtId="0" fontId="13" fillId="66" borderId="0" xfId="272" applyFont="1" applyFill="1" applyAlignment="1">
      <alignment vertical="center"/>
    </xf>
    <xf numFmtId="0" fontId="12" fillId="68" borderId="14" xfId="272" applyFill="1" applyBorder="1" applyAlignment="1">
      <alignment horizontal="right" vertical="center"/>
    </xf>
    <xf numFmtId="0" fontId="12" fillId="68" borderId="14" xfId="56" applyNumberFormat="1" applyFont="1" applyFill="1" applyBorder="1" applyAlignment="1">
      <alignment horizontal="right" vertical="center"/>
    </xf>
    <xf numFmtId="175" fontId="13" fillId="47" borderId="0" xfId="272" applyNumberFormat="1" applyFont="1" applyFill="1" applyAlignment="1">
      <alignment vertical="center"/>
    </xf>
    <xf numFmtId="0" fontId="12" fillId="66" borderId="0" xfId="272" applyFill="1" applyAlignment="1">
      <alignment vertical="center"/>
    </xf>
    <xf numFmtId="14" fontId="12" fillId="68" borderId="14" xfId="272" applyNumberFormat="1" applyFill="1" applyBorder="1" applyAlignment="1">
      <alignment vertical="center"/>
    </xf>
    <xf numFmtId="0" fontId="12" fillId="68" borderId="14" xfId="272" applyFill="1" applyBorder="1" applyAlignment="1">
      <alignment vertical="center"/>
    </xf>
    <xf numFmtId="178" fontId="12" fillId="0" borderId="14" xfId="41" applyNumberFormat="1" applyFont="1" applyFill="1" applyBorder="1" applyAlignment="1" applyProtection="1">
      <protection locked="0"/>
    </xf>
    <xf numFmtId="0" fontId="13" fillId="47" borderId="0" xfId="56" applyNumberFormat="1" applyFont="1" applyFill="1" applyAlignment="1">
      <alignment horizontal="right" vertical="center"/>
    </xf>
    <xf numFmtId="0" fontId="12" fillId="68" borderId="14" xfId="56" applyNumberFormat="1" applyFont="1" applyFill="1" applyBorder="1" applyAlignment="1">
      <alignment vertical="center"/>
    </xf>
    <xf numFmtId="178" fontId="12" fillId="68" borderId="14" xfId="41" applyNumberFormat="1" applyFont="1" applyFill="1" applyBorder="1" applyAlignment="1">
      <alignment vertical="center"/>
    </xf>
    <xf numFmtId="178" fontId="12" fillId="47" borderId="0" xfId="41" applyNumberFormat="1" applyFont="1" applyFill="1" applyBorder="1" applyAlignment="1">
      <alignment vertical="center"/>
    </xf>
    <xf numFmtId="166" fontId="12" fillId="47" borderId="0" xfId="41" applyFont="1" applyFill="1" applyBorder="1" applyAlignment="1">
      <alignment vertical="center"/>
    </xf>
    <xf numFmtId="0" fontId="12" fillId="35" borderId="0" xfId="272" applyFill="1" applyAlignment="1" applyProtection="1">
      <alignment horizontal="left" indent="2"/>
      <protection hidden="1"/>
    </xf>
    <xf numFmtId="178" fontId="12" fillId="68" borderId="14" xfId="41" applyNumberFormat="1" applyFont="1" applyFill="1" applyBorder="1" applyAlignment="1">
      <alignment horizontal="right" vertical="center"/>
    </xf>
    <xf numFmtId="0" fontId="12" fillId="47" borderId="0" xfId="272" applyFill="1" applyAlignment="1">
      <alignment horizontal="left" vertical="center" indent="2"/>
    </xf>
    <xf numFmtId="166" fontId="12" fillId="47" borderId="14" xfId="41" applyFont="1" applyFill="1" applyBorder="1" applyAlignment="1">
      <alignment vertical="center"/>
    </xf>
    <xf numFmtId="0" fontId="12" fillId="47" borderId="0" xfId="272" applyFill="1" applyAlignment="1">
      <alignment horizontal="left" vertical="center" wrapText="1" indent="2"/>
    </xf>
    <xf numFmtId="166" fontId="12" fillId="47" borderId="0" xfId="41" applyFont="1" applyFill="1" applyAlignment="1">
      <alignment vertical="center"/>
    </xf>
    <xf numFmtId="0" fontId="24" fillId="47" borderId="0" xfId="272" applyFont="1" applyFill="1" applyAlignment="1">
      <alignment horizontal="left" vertical="center" indent="2"/>
    </xf>
    <xf numFmtId="0" fontId="13" fillId="47" borderId="14" xfId="272" applyFont="1" applyFill="1" applyBorder="1" applyAlignment="1">
      <alignment vertical="center"/>
    </xf>
    <xf numFmtId="0" fontId="12" fillId="47" borderId="0" xfId="272" applyFill="1" applyAlignment="1">
      <alignment horizontal="left" vertical="center" indent="3"/>
    </xf>
    <xf numFmtId="166" fontId="13" fillId="47" borderId="0" xfId="41" applyFont="1" applyFill="1" applyBorder="1" applyAlignment="1">
      <alignment vertical="center"/>
    </xf>
    <xf numFmtId="10" fontId="12" fillId="47" borderId="0" xfId="178" applyNumberFormat="1" applyFont="1" applyFill="1" applyBorder="1" applyAlignment="1">
      <alignment vertical="center"/>
    </xf>
    <xf numFmtId="0" fontId="13" fillId="62" borderId="0" xfId="272" applyFont="1" applyFill="1" applyAlignment="1">
      <alignment vertical="center"/>
    </xf>
    <xf numFmtId="166" fontId="12" fillId="62" borderId="0" xfId="41" applyFont="1" applyFill="1" applyBorder="1" applyAlignment="1">
      <alignment vertical="center"/>
    </xf>
    <xf numFmtId="10" fontId="13" fillId="47" borderId="0" xfId="178" applyNumberFormat="1" applyFont="1" applyFill="1" applyBorder="1" applyAlignment="1">
      <alignment vertical="center"/>
    </xf>
    <xf numFmtId="0" fontId="12" fillId="47" borderId="0" xfId="56" applyNumberFormat="1" applyFont="1" applyFill="1" applyBorder="1" applyAlignment="1">
      <alignment vertical="center"/>
    </xf>
    <xf numFmtId="0" fontId="12" fillId="62" borderId="0" xfId="272" applyFill="1" applyAlignment="1">
      <alignment horizontal="left" vertical="center" indent="2"/>
    </xf>
    <xf numFmtId="0" fontId="12" fillId="62" borderId="0" xfId="272" applyFill="1" applyAlignment="1">
      <alignment vertical="center"/>
    </xf>
    <xf numFmtId="0" fontId="12" fillId="62" borderId="0" xfId="56" applyNumberFormat="1" applyFont="1" applyFill="1" applyBorder="1" applyAlignment="1">
      <alignment vertical="center"/>
    </xf>
    <xf numFmtId="166" fontId="12" fillId="62" borderId="0" xfId="41" applyFont="1" applyFill="1" applyBorder="1" applyAlignment="1">
      <alignment horizontal="right" vertical="center"/>
    </xf>
    <xf numFmtId="0" fontId="13" fillId="62" borderId="0" xfId="272" applyFont="1" applyFill="1" applyAlignment="1">
      <alignment horizontal="left" vertical="center" indent="2"/>
    </xf>
    <xf numFmtId="0" fontId="12" fillId="62" borderId="0" xfId="272" applyFill="1" applyAlignment="1">
      <alignment horizontal="left" vertical="center" wrapText="1" indent="2"/>
    </xf>
    <xf numFmtId="178" fontId="12" fillId="62" borderId="0" xfId="41" applyNumberFormat="1" applyFont="1" applyFill="1" applyBorder="1" applyAlignment="1">
      <alignment vertical="center"/>
    </xf>
    <xf numFmtId="10" fontId="12" fillId="62" borderId="0" xfId="178" applyNumberFormat="1" applyFont="1" applyFill="1" applyBorder="1" applyAlignment="1">
      <alignment vertical="center"/>
    </xf>
    <xf numFmtId="0" fontId="17" fillId="47" borderId="0" xfId="272" applyFont="1" applyFill="1" applyAlignment="1">
      <alignment vertical="center"/>
    </xf>
    <xf numFmtId="178" fontId="13" fillId="47" borderId="14" xfId="272" applyNumberFormat="1" applyFont="1" applyFill="1" applyBorder="1" applyAlignment="1">
      <alignment vertical="center"/>
    </xf>
    <xf numFmtId="0" fontId="13" fillId="47" borderId="0" xfId="56" applyNumberFormat="1" applyFont="1" applyFill="1" applyAlignment="1">
      <alignment vertical="center"/>
    </xf>
    <xf numFmtId="0" fontId="13" fillId="47" borderId="0" xfId="272" applyFont="1" applyFill="1"/>
    <xf numFmtId="1" fontId="13" fillId="35" borderId="14" xfId="0" applyNumberFormat="1" applyFont="1" applyFill="1" applyBorder="1" applyAlignment="1">
      <alignment horizontal="center" vertical="center" wrapText="1"/>
    </xf>
    <xf numFmtId="178" fontId="196" fillId="47" borderId="0" xfId="41" applyNumberFormat="1" applyFont="1" applyFill="1" applyAlignment="1">
      <alignment horizontal="right"/>
    </xf>
    <xf numFmtId="201" fontId="13" fillId="35" borderId="17" xfId="56" applyNumberFormat="1" applyFont="1" applyFill="1" applyBorder="1"/>
    <xf numFmtId="0" fontId="22" fillId="35" borderId="0" xfId="0" applyFont="1" applyFill="1" applyBorder="1" applyAlignment="1">
      <alignment horizontal="left" vertical="top"/>
    </xf>
    <xf numFmtId="0" fontId="13" fillId="35" borderId="0" xfId="0" applyFont="1" applyFill="1" applyBorder="1" applyAlignment="1">
      <alignment horizontal="center"/>
    </xf>
    <xf numFmtId="0" fontId="22" fillId="35" borderId="0" xfId="0" applyFont="1" applyFill="1" applyBorder="1" applyAlignment="1">
      <alignment horizontal="left" vertical="top"/>
    </xf>
    <xf numFmtId="0" fontId="13" fillId="35" borderId="0" xfId="0" applyFont="1" applyFill="1" applyBorder="1" applyAlignment="1">
      <alignment horizontal="center"/>
    </xf>
    <xf numFmtId="1" fontId="13" fillId="35" borderId="0" xfId="0" applyNumberFormat="1" applyFont="1" applyFill="1" applyBorder="1" applyAlignment="1">
      <alignment horizontal="right"/>
    </xf>
    <xf numFmtId="49" fontId="19" fillId="58" borderId="14" xfId="321" applyNumberFormat="1" applyFont="1" applyFill="1" applyBorder="1" applyAlignment="1">
      <alignment horizontal="left"/>
    </xf>
    <xf numFmtId="49" fontId="12" fillId="58" borderId="14" xfId="321" applyNumberFormat="1" applyFont="1" applyFill="1" applyBorder="1" applyAlignment="1">
      <alignment horizontal="left"/>
    </xf>
    <xf numFmtId="166" fontId="19" fillId="58" borderId="14" xfId="321" applyNumberFormat="1" applyFont="1" applyFill="1" applyBorder="1"/>
    <xf numFmtId="0" fontId="19" fillId="58" borderId="188" xfId="321" applyFont="1" applyFill="1" applyBorder="1" applyAlignment="1">
      <alignment horizontal="center"/>
    </xf>
    <xf numFmtId="173" fontId="19" fillId="58" borderId="189" xfId="321" applyNumberFormat="1" applyFont="1" applyFill="1" applyBorder="1" applyAlignment="1">
      <alignment horizontal="center"/>
    </xf>
    <xf numFmtId="0" fontId="19" fillId="58" borderId="190" xfId="321" applyFont="1" applyFill="1" applyBorder="1" applyAlignment="1">
      <alignment horizontal="center"/>
    </xf>
    <xf numFmtId="173" fontId="19" fillId="58" borderId="191" xfId="321" applyNumberFormat="1" applyFont="1" applyFill="1" applyBorder="1" applyAlignment="1">
      <alignment horizontal="center"/>
    </xf>
    <xf numFmtId="0" fontId="18" fillId="58" borderId="14" xfId="321" applyNumberFormat="1" applyFont="1" applyFill="1" applyBorder="1" applyAlignment="1">
      <alignment horizontal="center"/>
    </xf>
    <xf numFmtId="0" fontId="18" fillId="58" borderId="14" xfId="321" applyNumberFormat="1" applyFont="1" applyFill="1" applyBorder="1" applyAlignment="1">
      <alignment vertical="center"/>
    </xf>
    <xf numFmtId="14" fontId="12" fillId="58" borderId="189" xfId="321" applyNumberFormat="1" applyFont="1" applyFill="1" applyBorder="1" applyAlignment="1">
      <alignment horizontal="center"/>
    </xf>
    <xf numFmtId="0" fontId="12" fillId="58" borderId="188" xfId="321" applyFont="1" applyFill="1" applyBorder="1" applyAlignment="1">
      <alignment horizontal="center"/>
    </xf>
    <xf numFmtId="0" fontId="12" fillId="58" borderId="190" xfId="321" applyNumberFormat="1" applyFont="1" applyFill="1" applyBorder="1" applyAlignment="1">
      <alignment vertical="center"/>
    </xf>
    <xf numFmtId="14" fontId="12" fillId="58" borderId="191" xfId="321" applyNumberFormat="1" applyFont="1" applyFill="1" applyBorder="1" applyAlignment="1">
      <alignment vertical="center"/>
    </xf>
    <xf numFmtId="234" fontId="12" fillId="58" borderId="192" xfId="321" applyNumberFormat="1" applyFont="1" applyFill="1" applyBorder="1" applyProtection="1">
      <protection locked="0"/>
    </xf>
    <xf numFmtId="234" fontId="12" fillId="58" borderId="193" xfId="321" applyNumberFormat="1" applyFont="1" applyFill="1" applyBorder="1" applyProtection="1">
      <protection locked="0"/>
    </xf>
    <xf numFmtId="234" fontId="12" fillId="58" borderId="192" xfId="321" applyNumberFormat="1" applyFont="1" applyFill="1" applyBorder="1" applyAlignment="1" applyProtection="1">
      <alignment horizontal="right"/>
      <protection locked="0"/>
    </xf>
    <xf numFmtId="14" fontId="19" fillId="58" borderId="189" xfId="321" applyNumberFormat="1" applyFont="1" applyFill="1" applyBorder="1" applyAlignment="1">
      <alignment horizontal="center"/>
    </xf>
    <xf numFmtId="14" fontId="19" fillId="58" borderId="191" xfId="321" applyNumberFormat="1" applyFont="1" applyFill="1" applyBorder="1" applyAlignment="1">
      <alignment vertical="center"/>
    </xf>
    <xf numFmtId="0" fontId="19" fillId="58" borderId="190" xfId="321" applyNumberFormat="1" applyFont="1" applyFill="1" applyBorder="1" applyAlignment="1">
      <alignment vertical="center"/>
    </xf>
    <xf numFmtId="0" fontId="158" fillId="58" borderId="14" xfId="328" applyFont="1" applyFill="1" applyBorder="1" applyAlignment="1">
      <alignment horizontal="center" vertical="center"/>
    </xf>
    <xf numFmtId="0" fontId="158" fillId="58" borderId="14" xfId="324" applyFont="1" applyFill="1" applyBorder="1" applyAlignment="1">
      <alignment horizontal="center" vertical="center"/>
    </xf>
    <xf numFmtId="165" fontId="12" fillId="58" borderId="14" xfId="56" applyFont="1" applyFill="1" applyBorder="1"/>
    <xf numFmtId="166" fontId="12" fillId="58" borderId="14" xfId="325" applyFont="1" applyFill="1" applyBorder="1" applyAlignment="1">
      <alignment horizontal="center"/>
    </xf>
    <xf numFmtId="239" fontId="12" fillId="58" borderId="14" xfId="325" applyNumberFormat="1" applyFont="1" applyFill="1" applyBorder="1"/>
    <xf numFmtId="173" fontId="12" fillId="58" borderId="189" xfId="321" applyNumberFormat="1" applyFont="1" applyFill="1" applyBorder="1" applyAlignment="1">
      <alignment horizontal="center"/>
    </xf>
    <xf numFmtId="0" fontId="12" fillId="58" borderId="190" xfId="321" applyFont="1" applyFill="1" applyBorder="1" applyAlignment="1">
      <alignment horizontal="center"/>
    </xf>
    <xf numFmtId="173" fontId="12" fillId="58" borderId="191" xfId="321" applyNumberFormat="1" applyFont="1" applyFill="1" applyBorder="1" applyAlignment="1">
      <alignment horizontal="center"/>
    </xf>
    <xf numFmtId="0" fontId="18" fillId="58" borderId="32" xfId="0" applyFont="1" applyFill="1" applyBorder="1" applyAlignment="1"/>
    <xf numFmtId="0" fontId="18" fillId="58" borderId="17" xfId="0" applyFont="1" applyFill="1" applyBorder="1" applyAlignment="1"/>
    <xf numFmtId="0" fontId="18" fillId="58" borderId="38" xfId="0" applyFont="1" applyFill="1" applyBorder="1" applyAlignment="1"/>
    <xf numFmtId="0" fontId="12" fillId="58" borderId="14" xfId="321" applyFont="1" applyFill="1" applyBorder="1" applyAlignment="1">
      <alignment horizontal="center"/>
    </xf>
    <xf numFmtId="0" fontId="12" fillId="58" borderId="14" xfId="0" applyFont="1" applyFill="1" applyBorder="1" applyAlignment="1">
      <alignment horizontal="center"/>
    </xf>
    <xf numFmtId="174" fontId="13" fillId="58" borderId="14" xfId="0" applyNumberFormat="1" applyFont="1" applyFill="1" applyBorder="1" applyAlignment="1">
      <alignment horizontal="left"/>
    </xf>
    <xf numFmtId="174" fontId="13" fillId="58" borderId="31" xfId="0" applyNumberFormat="1" applyFont="1" applyFill="1" applyBorder="1" applyAlignment="1">
      <alignment horizontal="right"/>
    </xf>
    <xf numFmtId="174" fontId="13" fillId="58" borderId="14" xfId="0" applyNumberFormat="1" applyFont="1" applyFill="1" applyBorder="1" applyAlignment="1">
      <alignment horizontal="center"/>
    </xf>
    <xf numFmtId="178" fontId="19" fillId="58" borderId="192" xfId="321" applyNumberFormat="1" applyFont="1" applyFill="1" applyBorder="1"/>
    <xf numFmtId="178" fontId="19" fillId="58" borderId="193" xfId="321" applyNumberFormat="1" applyFont="1" applyFill="1" applyBorder="1"/>
    <xf numFmtId="178" fontId="19" fillId="58" borderId="218" xfId="321" applyNumberFormat="1" applyFont="1" applyFill="1" applyBorder="1"/>
    <xf numFmtId="15" fontId="19" fillId="58" borderId="192" xfId="321" applyNumberFormat="1" applyFont="1" applyFill="1" applyBorder="1" applyAlignment="1">
      <alignment horizontal="center"/>
    </xf>
    <xf numFmtId="15" fontId="19" fillId="58" borderId="218" xfId="321" applyNumberFormat="1" applyFont="1" applyFill="1" applyBorder="1" applyAlignment="1">
      <alignment horizontal="center"/>
    </xf>
    <xf numFmtId="0" fontId="13" fillId="35" borderId="249" xfId="148" applyFont="1" applyFill="1" applyBorder="1"/>
    <xf numFmtId="0" fontId="19" fillId="35" borderId="250" xfId="148" applyFont="1" applyFill="1" applyBorder="1"/>
    <xf numFmtId="166" fontId="19" fillId="58" borderId="297" xfId="321" applyNumberFormat="1" applyFont="1" applyFill="1" applyBorder="1"/>
    <xf numFmtId="166" fontId="19" fillId="58" borderId="192" xfId="148" applyNumberFormat="1" applyFont="1" applyFill="1" applyBorder="1"/>
    <xf numFmtId="166" fontId="19" fillId="58" borderId="193" xfId="148" applyNumberFormat="1" applyFont="1" applyFill="1" applyBorder="1"/>
    <xf numFmtId="0" fontId="12" fillId="58" borderId="213" xfId="0" applyFont="1" applyFill="1" applyBorder="1"/>
    <xf numFmtId="0" fontId="19" fillId="58" borderId="195" xfId="0" applyFont="1" applyFill="1" applyBorder="1"/>
    <xf numFmtId="218" fontId="19" fillId="58" borderId="198" xfId="178" applyNumberFormat="1" applyFont="1" applyFill="1" applyBorder="1" applyAlignment="1"/>
    <xf numFmtId="199" fontId="19" fillId="58" borderId="214" xfId="0" applyNumberFormat="1" applyFont="1" applyFill="1" applyBorder="1" applyAlignment="1"/>
    <xf numFmtId="186" fontId="19" fillId="58" borderId="198" xfId="41" applyNumberFormat="1" applyFont="1" applyFill="1" applyBorder="1" applyAlignment="1"/>
    <xf numFmtId="0" fontId="19" fillId="58" borderId="213" xfId="0" applyFont="1" applyFill="1" applyBorder="1"/>
    <xf numFmtId="0" fontId="19" fillId="58" borderId="215" xfId="0" applyFont="1" applyFill="1" applyBorder="1"/>
    <xf numFmtId="0" fontId="19" fillId="58" borderId="216" xfId="0" applyFont="1" applyFill="1" applyBorder="1"/>
    <xf numFmtId="218" fontId="19" fillId="58" borderId="199" xfId="178" applyNumberFormat="1" applyFont="1" applyFill="1" applyBorder="1" applyAlignment="1"/>
    <xf numFmtId="199" fontId="19" fillId="58" borderId="217" xfId="0" applyNumberFormat="1" applyFont="1" applyFill="1" applyBorder="1" applyAlignment="1"/>
    <xf numFmtId="186" fontId="19" fillId="58" borderId="199" xfId="41" applyNumberFormat="1" applyFont="1" applyFill="1" applyBorder="1" applyAlignment="1"/>
    <xf numFmtId="0" fontId="19" fillId="58" borderId="210" xfId="0" applyFont="1" applyFill="1" applyBorder="1"/>
    <xf numFmtId="201" fontId="19" fillId="58" borderId="197" xfId="0" applyNumberFormat="1" applyFont="1" applyFill="1" applyBorder="1" applyAlignment="1"/>
    <xf numFmtId="201" fontId="19" fillId="58" borderId="212" xfId="0" applyNumberFormat="1" applyFont="1" applyFill="1" applyBorder="1" applyAlignment="1"/>
    <xf numFmtId="201" fontId="19" fillId="58" borderId="198" xfId="0" applyNumberFormat="1" applyFont="1" applyFill="1" applyBorder="1" applyAlignment="1"/>
    <xf numFmtId="201" fontId="19" fillId="58" borderId="214" xfId="0" applyNumberFormat="1" applyFont="1" applyFill="1" applyBorder="1" applyAlignment="1"/>
    <xf numFmtId="201" fontId="19" fillId="58" borderId="199" xfId="0" applyNumberFormat="1" applyFont="1" applyFill="1" applyBorder="1" applyAlignment="1"/>
    <xf numFmtId="201" fontId="19" fillId="58" borderId="217" xfId="0" applyNumberFormat="1" applyFont="1" applyFill="1" applyBorder="1" applyAlignment="1"/>
    <xf numFmtId="174" fontId="19" fillId="58" borderId="197" xfId="321" applyNumberFormat="1" applyFont="1" applyFill="1" applyBorder="1" applyAlignment="1">
      <alignment horizontal="left"/>
    </xf>
    <xf numFmtId="166" fontId="19" fillId="58" borderId="197" xfId="321" applyNumberFormat="1" applyFont="1" applyFill="1" applyBorder="1"/>
    <xf numFmtId="174" fontId="19" fillId="58" borderId="198" xfId="321" applyNumberFormat="1" applyFont="1" applyFill="1" applyBorder="1" applyAlignment="1">
      <alignment horizontal="left"/>
    </xf>
    <xf numFmtId="166" fontId="19" fillId="58" borderId="198" xfId="321" applyNumberFormat="1" applyFont="1" applyFill="1" applyBorder="1"/>
    <xf numFmtId="174" fontId="19" fillId="58" borderId="199" xfId="321" applyNumberFormat="1" applyFont="1" applyFill="1" applyBorder="1" applyAlignment="1">
      <alignment horizontal="left"/>
    </xf>
    <xf numFmtId="166" fontId="19" fillId="58" borderId="199" xfId="321" applyNumberFormat="1" applyFont="1" applyFill="1" applyBorder="1"/>
    <xf numFmtId="166" fontId="19" fillId="58" borderId="209" xfId="321" applyNumberFormat="1" applyFont="1" applyFill="1" applyBorder="1"/>
    <xf numFmtId="0" fontId="12" fillId="58" borderId="210" xfId="321" applyFont="1" applyFill="1" applyBorder="1" applyAlignment="1">
      <alignment horizontal="left"/>
    </xf>
    <xf numFmtId="0" fontId="19" fillId="58" borderId="211" xfId="321" applyFont="1" applyFill="1" applyBorder="1" applyAlignment="1">
      <alignment horizontal="left"/>
    </xf>
    <xf numFmtId="15" fontId="19" fillId="58" borderId="197" xfId="321" applyNumberFormat="1" applyFont="1" applyFill="1" applyBorder="1" applyAlignment="1">
      <alignment horizontal="center"/>
    </xf>
    <xf numFmtId="0" fontId="12" fillId="58" borderId="239" xfId="321" applyFont="1" applyFill="1" applyBorder="1" applyAlignment="1">
      <alignment horizontal="left"/>
    </xf>
    <xf numFmtId="0" fontId="19" fillId="58" borderId="230" xfId="321" applyFont="1" applyFill="1" applyBorder="1" applyAlignment="1">
      <alignment horizontal="left"/>
    </xf>
    <xf numFmtId="0" fontId="19" fillId="58" borderId="240" xfId="321" applyFont="1" applyFill="1" applyBorder="1" applyAlignment="1">
      <alignment horizontal="left"/>
    </xf>
    <xf numFmtId="15" fontId="19" fillId="58" borderId="220" xfId="321" applyNumberFormat="1" applyFont="1" applyFill="1" applyBorder="1" applyAlignment="1">
      <alignment horizontal="center"/>
    </xf>
    <xf numFmtId="0" fontId="12" fillId="58" borderId="213" xfId="321" applyFont="1" applyFill="1" applyBorder="1" applyAlignment="1">
      <alignment horizontal="left"/>
    </xf>
    <xf numFmtId="0" fontId="19" fillId="58" borderId="195" xfId="321" applyFont="1" applyFill="1" applyBorder="1" applyAlignment="1">
      <alignment horizontal="left"/>
    </xf>
    <xf numFmtId="0" fontId="19" fillId="58" borderId="214" xfId="321" applyFont="1" applyFill="1" applyBorder="1" applyAlignment="1">
      <alignment horizontal="left"/>
    </xf>
    <xf numFmtId="0" fontId="19" fillId="58" borderId="213" xfId="321" applyFont="1" applyFill="1" applyBorder="1" applyAlignment="1">
      <alignment horizontal="left"/>
    </xf>
    <xf numFmtId="15" fontId="19" fillId="58" borderId="198" xfId="321" applyNumberFormat="1" applyFont="1" applyFill="1" applyBorder="1" applyAlignment="1">
      <alignment horizontal="center"/>
    </xf>
    <xf numFmtId="0" fontId="19" fillId="58" borderId="215" xfId="321" applyFont="1" applyFill="1" applyBorder="1" applyAlignment="1">
      <alignment horizontal="left"/>
    </xf>
    <xf numFmtId="0" fontId="19" fillId="58" borderId="216" xfId="321" applyFont="1" applyFill="1" applyBorder="1" applyAlignment="1">
      <alignment horizontal="left"/>
    </xf>
    <xf numFmtId="15" fontId="19" fillId="58" borderId="199" xfId="321" applyNumberFormat="1" applyFont="1" applyFill="1" applyBorder="1" applyAlignment="1">
      <alignment horizontal="center"/>
    </xf>
    <xf numFmtId="166" fontId="19" fillId="58" borderId="220" xfId="321" applyNumberFormat="1" applyFont="1" applyFill="1" applyBorder="1"/>
    <xf numFmtId="0" fontId="19" fillId="58" borderId="197" xfId="321" applyFont="1" applyFill="1" applyBorder="1" applyAlignment="1">
      <alignment horizontal="left"/>
    </xf>
    <xf numFmtId="0" fontId="19" fillId="58" borderId="198" xfId="321" applyFont="1" applyFill="1" applyBorder="1" applyAlignment="1">
      <alignment horizontal="left"/>
    </xf>
    <xf numFmtId="166" fontId="19" fillId="58" borderId="198" xfId="41" applyFont="1" applyFill="1" applyBorder="1"/>
    <xf numFmtId="166" fontId="19" fillId="58" borderId="197" xfId="41" applyFont="1" applyFill="1" applyBorder="1"/>
    <xf numFmtId="166" fontId="19" fillId="58" borderId="199" xfId="41" applyFont="1" applyFill="1" applyBorder="1"/>
    <xf numFmtId="0" fontId="19" fillId="58" borderId="194" xfId="321" applyFont="1" applyFill="1" applyBorder="1" applyAlignment="1">
      <alignment horizontal="left" vertical="top" wrapText="1"/>
    </xf>
    <xf numFmtId="0" fontId="19" fillId="58" borderId="195" xfId="321" applyFont="1" applyFill="1" applyBorder="1" applyAlignment="1">
      <alignment horizontal="left" vertical="top" wrapText="1"/>
    </xf>
    <xf numFmtId="0" fontId="19" fillId="58" borderId="196" xfId="321" applyFont="1" applyFill="1" applyBorder="1" applyAlignment="1">
      <alignment horizontal="left" vertical="top" wrapText="1"/>
    </xf>
    <xf numFmtId="0" fontId="22" fillId="47" borderId="0" xfId="0" applyFont="1" applyFill="1" applyAlignment="1">
      <alignment vertical="center"/>
    </xf>
    <xf numFmtId="0" fontId="18" fillId="47" borderId="0" xfId="0" applyFont="1" applyFill="1" applyAlignment="1">
      <alignment vertical="center"/>
    </xf>
    <xf numFmtId="0" fontId="12" fillId="47" borderId="0" xfId="0" applyFont="1" applyFill="1" applyAlignment="1">
      <alignment vertical="center"/>
    </xf>
    <xf numFmtId="0" fontId="13" fillId="47" borderId="0" xfId="0" applyFont="1" applyFill="1" applyAlignment="1">
      <alignment vertical="center"/>
    </xf>
    <xf numFmtId="0" fontId="13" fillId="47" borderId="0" xfId="0" applyFont="1" applyFill="1" applyAlignment="1">
      <alignment horizontal="right" vertical="center"/>
    </xf>
    <xf numFmtId="0" fontId="18" fillId="47" borderId="17" xfId="0" applyFont="1" applyFill="1" applyBorder="1" applyAlignment="1">
      <alignment vertical="center"/>
    </xf>
    <xf numFmtId="0" fontId="18" fillId="47" borderId="38" xfId="0" applyFont="1" applyFill="1" applyBorder="1" applyAlignment="1">
      <alignment vertical="center"/>
    </xf>
    <xf numFmtId="0" fontId="12" fillId="47" borderId="32" xfId="0" applyFont="1" applyFill="1" applyBorder="1" applyAlignment="1">
      <alignment vertical="center"/>
    </xf>
    <xf numFmtId="0" fontId="12" fillId="47" borderId="38" xfId="56" applyNumberFormat="1" applyFont="1" applyFill="1" applyBorder="1" applyAlignment="1">
      <alignment vertical="center"/>
    </xf>
    <xf numFmtId="0" fontId="19" fillId="58" borderId="210" xfId="321" applyFont="1" applyFill="1" applyBorder="1" applyAlignment="1">
      <alignment horizontal="left"/>
    </xf>
    <xf numFmtId="49" fontId="19" fillId="58" borderId="197" xfId="321" applyNumberFormat="1" applyFont="1" applyFill="1" applyBorder="1" applyAlignment="1"/>
    <xf numFmtId="199" fontId="19" fillId="58" borderId="197" xfId="321" applyNumberFormat="1" applyFont="1" applyFill="1" applyBorder="1" applyAlignment="1"/>
    <xf numFmtId="0" fontId="19" fillId="58" borderId="197" xfId="321" applyNumberFormat="1" applyFont="1" applyFill="1" applyBorder="1" applyAlignment="1"/>
    <xf numFmtId="49" fontId="19" fillId="58" borderId="198" xfId="321" applyNumberFormat="1" applyFont="1" applyFill="1" applyBorder="1" applyAlignment="1"/>
    <xf numFmtId="199" fontId="19" fillId="58" borderId="198" xfId="321" applyNumberFormat="1" applyFont="1" applyFill="1" applyBorder="1" applyAlignment="1"/>
    <xf numFmtId="0" fontId="19" fillId="58" borderId="198" xfId="321" applyNumberFormat="1" applyFont="1" applyFill="1" applyBorder="1" applyAlignment="1"/>
    <xf numFmtId="49" fontId="19" fillId="58" borderId="199" xfId="321" applyNumberFormat="1" applyFont="1" applyFill="1" applyBorder="1" applyAlignment="1"/>
    <xf numFmtId="199" fontId="19" fillId="58" borderId="199" xfId="321" applyNumberFormat="1" applyFont="1" applyFill="1" applyBorder="1" applyAlignment="1"/>
    <xf numFmtId="0" fontId="19" fillId="58" borderId="199" xfId="321" applyNumberFormat="1" applyFont="1" applyFill="1" applyBorder="1" applyAlignment="1"/>
    <xf numFmtId="14" fontId="19" fillId="58" borderId="197" xfId="321" applyNumberFormat="1" applyFont="1" applyFill="1" applyBorder="1" applyAlignment="1"/>
    <xf numFmtId="14" fontId="19" fillId="58" borderId="198" xfId="321" applyNumberFormat="1" applyFont="1" applyFill="1" applyBorder="1" applyAlignment="1"/>
    <xf numFmtId="14" fontId="19" fillId="58" borderId="199" xfId="321" applyNumberFormat="1" applyFont="1" applyFill="1" applyBorder="1" applyAlignment="1"/>
    <xf numFmtId="0" fontId="13" fillId="47" borderId="0" xfId="272" applyFont="1" applyFill="1" applyAlignment="1">
      <alignment horizontal="center" vertical="center"/>
    </xf>
    <xf numFmtId="0" fontId="13" fillId="47" borderId="0" xfId="0" applyNumberFormat="1" applyFont="1" applyFill="1" applyBorder="1" applyAlignment="1">
      <alignment horizontal="center" vertical="center"/>
    </xf>
    <xf numFmtId="1" fontId="13" fillId="47" borderId="0" xfId="0" applyNumberFormat="1" applyFont="1" applyFill="1" applyBorder="1" applyAlignment="1">
      <alignment horizontal="right"/>
    </xf>
    <xf numFmtId="166" fontId="12" fillId="58" borderId="14" xfId="321" applyNumberFormat="1" applyFont="1" applyFill="1" applyBorder="1"/>
    <xf numFmtId="182" fontId="12" fillId="58" borderId="220" xfId="56" applyNumberFormat="1" applyFont="1" applyFill="1" applyBorder="1" applyAlignment="1"/>
    <xf numFmtId="182" fontId="12" fillId="58" borderId="198" xfId="56" applyNumberFormat="1" applyFont="1" applyFill="1" applyBorder="1" applyAlignment="1"/>
    <xf numFmtId="182" fontId="12" fillId="58" borderId="265" xfId="56" applyNumberFormat="1" applyFont="1" applyFill="1" applyBorder="1" applyAlignment="1"/>
    <xf numFmtId="182" fontId="12" fillId="58" borderId="199" xfId="56" applyNumberFormat="1" applyFont="1" applyFill="1" applyBorder="1" applyAlignment="1"/>
    <xf numFmtId="49" fontId="12" fillId="58" borderId="14" xfId="321" applyNumberFormat="1" applyFont="1" applyFill="1" applyBorder="1" applyAlignment="1">
      <alignment horizontal="center"/>
    </xf>
    <xf numFmtId="49" fontId="0" fillId="58" borderId="14" xfId="321" applyNumberFormat="1" applyFont="1" applyFill="1" applyBorder="1" applyAlignment="1">
      <alignment horizontal="center"/>
    </xf>
    <xf numFmtId="0" fontId="22" fillId="58" borderId="14" xfId="0" applyFont="1" applyFill="1" applyBorder="1" applyAlignment="1">
      <alignment horizontal="center" vertical="center" wrapText="1"/>
    </xf>
    <xf numFmtId="165" fontId="45" fillId="58" borderId="14" xfId="56" applyFont="1" applyFill="1" applyBorder="1" applyAlignment="1">
      <alignment horizontal="center" vertical="center" wrapText="1"/>
    </xf>
    <xf numFmtId="49" fontId="12" fillId="58" borderId="32" xfId="321" applyNumberFormat="1" applyFont="1" applyFill="1" applyBorder="1" applyAlignment="1">
      <alignment horizontal="center"/>
    </xf>
    <xf numFmtId="0" fontId="0" fillId="58" borderId="197" xfId="321" applyFont="1" applyFill="1" applyBorder="1"/>
    <xf numFmtId="166" fontId="12" fillId="58" borderId="197" xfId="321" applyNumberFormat="1" applyFont="1" applyFill="1" applyBorder="1"/>
    <xf numFmtId="175" fontId="0" fillId="58" borderId="197" xfId="321" applyNumberFormat="1" applyFont="1" applyFill="1" applyBorder="1" applyAlignment="1">
      <alignment horizontal="center"/>
    </xf>
    <xf numFmtId="0" fontId="0" fillId="58" borderId="198" xfId="321" applyFont="1" applyFill="1" applyBorder="1"/>
    <xf numFmtId="166" fontId="12" fillId="58" borderId="198" xfId="321" applyNumberFormat="1" applyFont="1" applyFill="1" applyBorder="1"/>
    <xf numFmtId="175" fontId="0" fillId="58" borderId="198" xfId="321" applyNumberFormat="1" applyFont="1" applyFill="1" applyBorder="1" applyAlignment="1">
      <alignment horizontal="center"/>
    </xf>
    <xf numFmtId="0" fontId="0" fillId="58" borderId="199" xfId="321" applyFont="1" applyFill="1" applyBorder="1"/>
    <xf numFmtId="166" fontId="12" fillId="58" borderId="199" xfId="321" applyNumberFormat="1" applyFont="1" applyFill="1" applyBorder="1"/>
    <xf numFmtId="175" fontId="0" fillId="58" borderId="199" xfId="321" applyNumberFormat="1" applyFont="1" applyFill="1" applyBorder="1" applyAlignment="1">
      <alignment horizontal="center"/>
    </xf>
    <xf numFmtId="165" fontId="19" fillId="58" borderId="192" xfId="321" applyNumberFormat="1" applyFont="1" applyFill="1" applyBorder="1" applyAlignment="1">
      <alignment horizontal="left"/>
    </xf>
    <xf numFmtId="165" fontId="19" fillId="58" borderId="193" xfId="321" applyNumberFormat="1" applyFont="1" applyFill="1" applyBorder="1" applyAlignment="1">
      <alignment horizontal="left"/>
    </xf>
    <xf numFmtId="165" fontId="19" fillId="58" borderId="192" xfId="321" applyNumberFormat="1" applyFont="1" applyFill="1" applyBorder="1" applyAlignment="1">
      <alignment vertical="center" wrapText="1"/>
    </xf>
    <xf numFmtId="166" fontId="19" fillId="58" borderId="192" xfId="321" applyNumberFormat="1" applyFont="1" applyFill="1" applyBorder="1" applyProtection="1">
      <protection locked="0"/>
    </xf>
    <xf numFmtId="174" fontId="19" fillId="58" borderId="197" xfId="321" applyNumberFormat="1" applyFont="1" applyFill="1" applyBorder="1" applyProtection="1">
      <protection locked="0"/>
    </xf>
    <xf numFmtId="166" fontId="19" fillId="58" borderId="197" xfId="321" applyNumberFormat="1" applyFont="1" applyFill="1" applyBorder="1" applyProtection="1">
      <protection locked="0"/>
    </xf>
    <xf numFmtId="174" fontId="19" fillId="58" borderId="198" xfId="321" applyNumberFormat="1" applyFont="1" applyFill="1" applyBorder="1" applyProtection="1">
      <protection locked="0"/>
    </xf>
    <xf numFmtId="166" fontId="19" fillId="58" borderId="198" xfId="321" applyNumberFormat="1" applyFont="1" applyFill="1" applyBorder="1" applyProtection="1">
      <protection locked="0"/>
    </xf>
    <xf numFmtId="174" fontId="19" fillId="58" borderId="199" xfId="321" applyNumberFormat="1" applyFont="1" applyFill="1" applyBorder="1" applyProtection="1">
      <protection locked="0"/>
    </xf>
    <xf numFmtId="166" fontId="19" fillId="58" borderId="199" xfId="321" applyNumberFormat="1" applyFont="1" applyFill="1" applyBorder="1" applyProtection="1">
      <protection locked="0"/>
    </xf>
    <xf numFmtId="176" fontId="19" fillId="58" borderId="197" xfId="321" applyNumberFormat="1" applyFont="1" applyFill="1" applyBorder="1" applyAlignment="1" applyProtection="1">
      <alignment horizontal="left"/>
      <protection locked="0"/>
    </xf>
    <xf numFmtId="176" fontId="19" fillId="58" borderId="197" xfId="321" applyNumberFormat="1" applyFont="1" applyFill="1" applyBorder="1" applyAlignment="1" applyProtection="1">
      <alignment horizontal="center"/>
      <protection locked="0"/>
    </xf>
    <xf numFmtId="15" fontId="19" fillId="58" borderId="197" xfId="321" applyNumberFormat="1" applyFont="1" applyFill="1" applyBorder="1" applyAlignment="1" applyProtection="1">
      <alignment horizontal="center"/>
      <protection locked="0"/>
    </xf>
    <xf numFmtId="176" fontId="19" fillId="58" borderId="198" xfId="321" applyNumberFormat="1" applyFont="1" applyFill="1" applyBorder="1" applyAlignment="1" applyProtection="1">
      <alignment horizontal="left"/>
      <protection locked="0"/>
    </xf>
    <xf numFmtId="176" fontId="19" fillId="58" borderId="198" xfId="321" applyNumberFormat="1" applyFont="1" applyFill="1" applyBorder="1" applyAlignment="1" applyProtection="1">
      <alignment horizontal="center"/>
      <protection locked="0"/>
    </xf>
    <xf numFmtId="15" fontId="19" fillId="58" borderId="198" xfId="321" applyNumberFormat="1" applyFont="1" applyFill="1" applyBorder="1" applyAlignment="1" applyProtection="1">
      <alignment horizontal="center"/>
      <protection locked="0"/>
    </xf>
    <xf numFmtId="176" fontId="19" fillId="58" borderId="199" xfId="321" applyNumberFormat="1" applyFont="1" applyFill="1" applyBorder="1" applyAlignment="1" applyProtection="1">
      <alignment horizontal="left"/>
      <protection locked="0"/>
    </xf>
    <xf numFmtId="176" fontId="19" fillId="58" borderId="199" xfId="321" applyNumberFormat="1" applyFont="1" applyFill="1" applyBorder="1" applyAlignment="1" applyProtection="1">
      <alignment horizontal="center"/>
      <protection locked="0"/>
    </xf>
    <xf numFmtId="15" fontId="19" fillId="58" borderId="199" xfId="321" applyNumberFormat="1" applyFont="1" applyFill="1" applyBorder="1" applyAlignment="1" applyProtection="1">
      <alignment horizontal="center"/>
      <protection locked="0"/>
    </xf>
    <xf numFmtId="231" fontId="45" fillId="58" borderId="209" xfId="321" applyNumberFormat="1" applyFont="1" applyFill="1" applyBorder="1"/>
    <xf numFmtId="14" fontId="45" fillId="58" borderId="209" xfId="321" applyNumberFormat="1" applyFont="1" applyFill="1" applyBorder="1"/>
    <xf numFmtId="0" fontId="45" fillId="58" borderId="209" xfId="321" applyNumberFormat="1" applyFont="1" applyFill="1" applyBorder="1" applyAlignment="1">
      <alignment horizontal="center"/>
    </xf>
    <xf numFmtId="166" fontId="45" fillId="58" borderId="209" xfId="321" applyNumberFormat="1" applyFont="1" applyFill="1" applyBorder="1"/>
    <xf numFmtId="224" fontId="45" fillId="58" borderId="232" xfId="321" applyNumberFormat="1" applyFont="1" applyFill="1" applyBorder="1" applyAlignment="1">
      <alignment horizontal="center"/>
    </xf>
    <xf numFmtId="166" fontId="45" fillId="58" borderId="192" xfId="321" applyNumberFormat="1" applyFont="1" applyFill="1" applyBorder="1"/>
    <xf numFmtId="224" fontId="45" fillId="58" borderId="232" xfId="0" applyNumberFormat="1" applyFont="1" applyFill="1" applyBorder="1" applyAlignment="1">
      <alignment horizontal="center"/>
    </xf>
    <xf numFmtId="166" fontId="45" fillId="58" borderId="192" xfId="0" applyNumberFormat="1" applyFont="1" applyFill="1" applyBorder="1"/>
    <xf numFmtId="224" fontId="45" fillId="58" borderId="192" xfId="0" applyNumberFormat="1" applyFont="1" applyFill="1" applyBorder="1" applyAlignment="1">
      <alignment horizontal="center"/>
    </xf>
    <xf numFmtId="0" fontId="23" fillId="58" borderId="209" xfId="321" applyFont="1" applyFill="1" applyBorder="1" applyAlignment="1" applyProtection="1">
      <alignment wrapText="1"/>
      <protection locked="0"/>
    </xf>
    <xf numFmtId="197" fontId="23" fillId="58" borderId="209" xfId="321" applyNumberFormat="1" applyFont="1" applyFill="1" applyBorder="1" applyProtection="1">
      <protection locked="0"/>
    </xf>
    <xf numFmtId="0" fontId="23" fillId="58" borderId="236" xfId="321" applyFont="1" applyFill="1" applyBorder="1" applyAlignment="1" applyProtection="1">
      <alignment wrapText="1"/>
      <protection locked="0"/>
    </xf>
    <xf numFmtId="166" fontId="23" fillId="58" borderId="192" xfId="321" applyNumberFormat="1" applyFont="1" applyFill="1" applyBorder="1" applyProtection="1">
      <protection locked="0"/>
    </xf>
    <xf numFmtId="166" fontId="23" fillId="58" borderId="236" xfId="321" applyNumberFormat="1" applyFont="1" applyFill="1" applyBorder="1" applyProtection="1">
      <protection locked="0"/>
    </xf>
    <xf numFmtId="166" fontId="23" fillId="58" borderId="219" xfId="321" applyNumberFormat="1" applyFont="1" applyFill="1" applyBorder="1" applyProtection="1">
      <protection locked="0"/>
    </xf>
    <xf numFmtId="166" fontId="23" fillId="58" borderId="189" xfId="321" applyNumberFormat="1" applyFont="1" applyFill="1" applyBorder="1" applyProtection="1">
      <protection locked="0"/>
    </xf>
    <xf numFmtId="166" fontId="23" fillId="58" borderId="209" xfId="321" applyNumberFormat="1" applyFont="1" applyFill="1" applyBorder="1" applyProtection="1">
      <protection locked="0"/>
    </xf>
    <xf numFmtId="166" fontId="23" fillId="58" borderId="194" xfId="321" applyNumberFormat="1" applyFont="1" applyFill="1" applyBorder="1" applyProtection="1">
      <protection locked="0"/>
    </xf>
    <xf numFmtId="199" fontId="19" fillId="58" borderId="214" xfId="321" applyNumberFormat="1" applyFont="1" applyFill="1" applyBorder="1" applyAlignment="1"/>
    <xf numFmtId="238" fontId="12" fillId="58" borderId="14" xfId="325" applyNumberFormat="1" applyFont="1" applyFill="1" applyBorder="1"/>
    <xf numFmtId="237" fontId="12" fillId="58" borderId="14" xfId="41" applyNumberFormat="1" applyFont="1" applyFill="1" applyBorder="1"/>
    <xf numFmtId="9" fontId="12" fillId="58" borderId="14" xfId="326" applyFont="1" applyFill="1" applyBorder="1"/>
    <xf numFmtId="178" fontId="12" fillId="58" borderId="14" xfId="41" applyNumberFormat="1" applyFont="1" applyFill="1" applyBorder="1"/>
    <xf numFmtId="166" fontId="12" fillId="58" borderId="14" xfId="41" applyFont="1" applyFill="1" applyBorder="1"/>
    <xf numFmtId="0" fontId="13" fillId="35" borderId="0" xfId="0" applyFont="1" applyFill="1" applyBorder="1" applyAlignment="1">
      <alignment horizontal="center"/>
    </xf>
    <xf numFmtId="0" fontId="154" fillId="47" borderId="0" xfId="0" applyFont="1" applyFill="1" applyBorder="1" applyAlignment="1">
      <alignment horizontal="center" vertical="center" wrapText="1"/>
    </xf>
    <xf numFmtId="186" fontId="0" fillId="47" borderId="0" xfId="41" applyNumberFormat="1" applyFont="1" applyFill="1" applyBorder="1"/>
    <xf numFmtId="177" fontId="0" fillId="47" borderId="0" xfId="178" applyNumberFormat="1" applyFont="1" applyFill="1" applyBorder="1"/>
    <xf numFmtId="186" fontId="0" fillId="47" borderId="0" xfId="41" applyNumberFormat="1" applyFont="1" applyFill="1" applyBorder="1" applyProtection="1">
      <protection locked="0"/>
    </xf>
    <xf numFmtId="186" fontId="0" fillId="47" borderId="0" xfId="41" applyNumberFormat="1" applyFont="1" applyFill="1" applyBorder="1" applyAlignment="1">
      <alignment vertical="center"/>
    </xf>
    <xf numFmtId="0" fontId="156" fillId="47" borderId="0" xfId="0" applyFont="1" applyFill="1" applyBorder="1"/>
    <xf numFmtId="0" fontId="154" fillId="47" borderId="0" xfId="0" applyFont="1" applyFill="1" applyBorder="1" applyAlignment="1">
      <alignment horizontal="center"/>
    </xf>
    <xf numFmtId="186" fontId="0" fillId="47" borderId="0" xfId="0" applyNumberFormat="1" applyFill="1" applyBorder="1"/>
    <xf numFmtId="186" fontId="154" fillId="47" borderId="0" xfId="0" applyNumberFormat="1" applyFont="1" applyFill="1" applyBorder="1"/>
    <xf numFmtId="186" fontId="0" fillId="47" borderId="0" xfId="0" applyNumberFormat="1" applyFont="1" applyFill="1" applyBorder="1"/>
    <xf numFmtId="186" fontId="154" fillId="47" borderId="0" xfId="41" applyNumberFormat="1" applyFont="1" applyFill="1" applyBorder="1"/>
    <xf numFmtId="0" fontId="155" fillId="47" borderId="0" xfId="0" applyFont="1" applyFill="1" applyAlignment="1">
      <alignment wrapText="1"/>
    </xf>
    <xf numFmtId="0" fontId="13" fillId="47" borderId="0" xfId="0" applyFont="1" applyFill="1" applyBorder="1" applyAlignment="1">
      <alignment horizontal="right"/>
    </xf>
    <xf numFmtId="14" fontId="19" fillId="58" borderId="189" xfId="0" applyNumberFormat="1" applyFont="1" applyFill="1" applyBorder="1" applyAlignment="1">
      <alignment horizontal="center"/>
    </xf>
    <xf numFmtId="0" fontId="19" fillId="58" borderId="188" xfId="0" applyFont="1" applyFill="1" applyBorder="1" applyAlignment="1">
      <alignment horizontal="center"/>
    </xf>
    <xf numFmtId="0" fontId="19" fillId="58" borderId="190" xfId="0" applyNumberFormat="1" applyFont="1" applyFill="1" applyBorder="1" applyAlignment="1">
      <alignment vertical="center"/>
    </xf>
    <xf numFmtId="14" fontId="19" fillId="58" borderId="191" xfId="0" applyNumberFormat="1" applyFont="1" applyFill="1" applyBorder="1" applyAlignment="1">
      <alignment vertical="center"/>
    </xf>
    <xf numFmtId="0" fontId="12" fillId="58" borderId="194" xfId="0" applyFont="1" applyFill="1" applyBorder="1"/>
    <xf numFmtId="0" fontId="0" fillId="58" borderId="196" xfId="0" applyFill="1" applyBorder="1"/>
    <xf numFmtId="0" fontId="12" fillId="58" borderId="55" xfId="41" applyNumberFormat="1" applyFont="1" applyFill="1" applyBorder="1" applyAlignment="1" applyProtection="1">
      <alignment horizontal="center" vertical="center"/>
      <protection locked="0"/>
    </xf>
    <xf numFmtId="0" fontId="12" fillId="58" borderId="44" xfId="41" applyNumberFormat="1" applyFont="1" applyFill="1" applyBorder="1" applyAlignment="1" applyProtection="1">
      <alignment horizontal="center" vertical="center"/>
      <protection locked="0"/>
    </xf>
    <xf numFmtId="0" fontId="153" fillId="58" borderId="50" xfId="0" applyFont="1" applyFill="1" applyBorder="1"/>
    <xf numFmtId="0" fontId="0" fillId="58" borderId="2" xfId="0" applyFill="1" applyBorder="1"/>
    <xf numFmtId="0" fontId="0" fillId="58" borderId="44" xfId="0" applyFill="1" applyBorder="1"/>
    <xf numFmtId="0" fontId="154" fillId="58" borderId="192" xfId="0" applyFont="1" applyFill="1" applyBorder="1" applyAlignment="1" applyProtection="1">
      <alignment horizontal="center" vertical="center" wrapText="1"/>
      <protection locked="0"/>
    </xf>
    <xf numFmtId="0" fontId="154" fillId="58" borderId="209" xfId="0" applyFont="1" applyFill="1" applyBorder="1" applyAlignment="1" applyProtection="1">
      <alignment horizontal="center" vertical="center" wrapText="1"/>
      <protection locked="0"/>
    </xf>
    <xf numFmtId="186" fontId="12" fillId="58" borderId="192" xfId="41" applyNumberFormat="1" applyFont="1" applyFill="1" applyBorder="1" applyProtection="1">
      <protection locked="0"/>
    </xf>
    <xf numFmtId="186" fontId="12" fillId="58" borderId="209" xfId="41" applyNumberFormat="1" applyFont="1" applyFill="1" applyBorder="1" applyProtection="1">
      <protection locked="0"/>
    </xf>
    <xf numFmtId="186" fontId="12" fillId="58" borderId="245" xfId="41" applyNumberFormat="1" applyFont="1" applyFill="1" applyBorder="1" applyProtection="1">
      <protection locked="0"/>
    </xf>
    <xf numFmtId="186" fontId="12" fillId="58" borderId="192" xfId="41" applyNumberFormat="1" applyFont="1" applyFill="1" applyBorder="1" applyAlignment="1" applyProtection="1">
      <alignment vertical="center"/>
      <protection locked="0"/>
    </xf>
    <xf numFmtId="186" fontId="12" fillId="58" borderId="209" xfId="41" applyNumberFormat="1" applyFont="1" applyFill="1" applyBorder="1" applyAlignment="1" applyProtection="1">
      <alignment vertical="center"/>
      <protection locked="0"/>
    </xf>
    <xf numFmtId="186" fontId="12" fillId="58" borderId="193" xfId="41" applyNumberFormat="1" applyFont="1" applyFill="1" applyBorder="1" applyProtection="1">
      <protection locked="0"/>
    </xf>
    <xf numFmtId="0" fontId="153" fillId="58" borderId="50" xfId="0" applyFont="1" applyFill="1" applyBorder="1" applyAlignment="1"/>
    <xf numFmtId="0" fontId="153" fillId="58" borderId="50" xfId="0" applyFont="1" applyFill="1" applyBorder="1" applyAlignment="1">
      <alignment wrapText="1"/>
    </xf>
    <xf numFmtId="0" fontId="0" fillId="47" borderId="42" xfId="0" applyFill="1" applyBorder="1"/>
    <xf numFmtId="0" fontId="0" fillId="47" borderId="45" xfId="0" applyFill="1" applyBorder="1"/>
    <xf numFmtId="0" fontId="154" fillId="47" borderId="42" xfId="0" applyFont="1" applyFill="1" applyBorder="1"/>
    <xf numFmtId="0" fontId="154" fillId="47" borderId="42" xfId="0" applyFont="1" applyFill="1" applyBorder="1" applyAlignment="1">
      <alignment vertical="center" wrapText="1"/>
    </xf>
    <xf numFmtId="0" fontId="0" fillId="47" borderId="42" xfId="0" applyFill="1" applyBorder="1" applyAlignment="1">
      <alignment wrapText="1"/>
    </xf>
    <xf numFmtId="0" fontId="154" fillId="47" borderId="42" xfId="0" applyFont="1" applyFill="1" applyBorder="1" applyAlignment="1">
      <alignment wrapText="1"/>
    </xf>
    <xf numFmtId="186" fontId="154" fillId="47" borderId="8" xfId="0" applyNumberFormat="1" applyFont="1" applyFill="1" applyBorder="1"/>
    <xf numFmtId="0" fontId="0" fillId="47" borderId="0" xfId="0" applyFont="1" applyFill="1" applyBorder="1"/>
    <xf numFmtId="0" fontId="0" fillId="47" borderId="47" xfId="0" applyFill="1" applyBorder="1"/>
    <xf numFmtId="0" fontId="0" fillId="47" borderId="43" xfId="0" applyFill="1" applyBorder="1"/>
    <xf numFmtId="0" fontId="0" fillId="47" borderId="55" xfId="0" applyFill="1" applyBorder="1"/>
    <xf numFmtId="0" fontId="154" fillId="47" borderId="153" xfId="0" applyFont="1" applyFill="1" applyBorder="1" applyAlignment="1">
      <alignment horizontal="center" vertical="center" wrapText="1"/>
    </xf>
    <xf numFmtId="186" fontId="0" fillId="47" borderId="153" xfId="41" applyNumberFormat="1" applyFont="1" applyFill="1" applyBorder="1"/>
    <xf numFmtId="186" fontId="0" fillId="47" borderId="20" xfId="41" applyNumberFormat="1" applyFont="1" applyFill="1" applyBorder="1"/>
    <xf numFmtId="186" fontId="0" fillId="47" borderId="154" xfId="41" applyNumberFormat="1" applyFont="1" applyFill="1" applyBorder="1"/>
    <xf numFmtId="186" fontId="154" fillId="47" borderId="17" xfId="41" applyNumberFormat="1" applyFont="1" applyFill="1" applyBorder="1"/>
    <xf numFmtId="186" fontId="154" fillId="47" borderId="106" xfId="41" applyNumberFormat="1" applyFont="1" applyFill="1" applyBorder="1"/>
    <xf numFmtId="186" fontId="0" fillId="47" borderId="153" xfId="0" applyNumberFormat="1" applyFill="1" applyBorder="1"/>
    <xf numFmtId="177" fontId="0" fillId="47" borderId="153" xfId="178" applyNumberFormat="1" applyFont="1" applyFill="1" applyBorder="1"/>
    <xf numFmtId="186" fontId="154" fillId="47" borderId="67" xfId="0" applyNumberFormat="1" applyFont="1" applyFill="1" applyBorder="1"/>
    <xf numFmtId="0" fontId="154" fillId="47" borderId="42" xfId="0" applyFont="1" applyFill="1" applyBorder="1" applyAlignment="1"/>
    <xf numFmtId="0" fontId="0" fillId="47" borderId="42" xfId="0" applyFont="1" applyFill="1" applyBorder="1" applyAlignment="1">
      <alignment vertical="center" wrapText="1"/>
    </xf>
    <xf numFmtId="186" fontId="0" fillId="47" borderId="45" xfId="0" applyNumberFormat="1" applyFill="1" applyBorder="1"/>
    <xf numFmtId="186" fontId="154" fillId="47" borderId="45" xfId="0" applyNumberFormat="1" applyFont="1" applyFill="1" applyBorder="1"/>
    <xf numFmtId="177" fontId="0" fillId="47" borderId="0" xfId="178" applyNumberFormat="1" applyFont="1" applyFill="1" applyBorder="1" applyProtection="1"/>
    <xf numFmtId="177" fontId="0" fillId="47" borderId="45" xfId="178" applyNumberFormat="1" applyFont="1" applyFill="1" applyBorder="1" applyProtection="1"/>
    <xf numFmtId="186" fontId="0" fillId="47" borderId="45" xfId="0" applyNumberFormat="1" applyFont="1" applyFill="1" applyBorder="1"/>
    <xf numFmtId="0" fontId="153" fillId="47" borderId="0" xfId="0" applyFont="1" applyFill="1"/>
    <xf numFmtId="0" fontId="12" fillId="47" borderId="47" xfId="0" applyFont="1" applyFill="1" applyBorder="1"/>
    <xf numFmtId="0" fontId="12" fillId="47" borderId="50" xfId="0" applyNumberFormat="1" applyFont="1" applyFill="1" applyBorder="1" applyAlignment="1">
      <alignment vertical="center"/>
    </xf>
    <xf numFmtId="0" fontId="12" fillId="47" borderId="2" xfId="0" applyNumberFormat="1" applyFont="1" applyFill="1" applyBorder="1" applyAlignment="1">
      <alignment vertical="center"/>
    </xf>
    <xf numFmtId="0" fontId="154" fillId="47" borderId="45" xfId="0" applyFont="1" applyFill="1" applyBorder="1" applyAlignment="1">
      <alignment horizontal="center" vertical="center" wrapText="1"/>
    </xf>
    <xf numFmtId="186" fontId="0" fillId="47" borderId="45" xfId="41" applyNumberFormat="1" applyFont="1" applyFill="1" applyBorder="1"/>
    <xf numFmtId="177" fontId="0" fillId="47" borderId="45" xfId="178" applyNumberFormat="1" applyFont="1" applyFill="1" applyBorder="1"/>
    <xf numFmtId="177" fontId="0" fillId="47" borderId="24" xfId="178" applyNumberFormat="1" applyFont="1" applyFill="1" applyBorder="1"/>
    <xf numFmtId="186" fontId="0" fillId="47" borderId="24" xfId="41" applyNumberFormat="1" applyFont="1" applyFill="1" applyBorder="1"/>
    <xf numFmtId="0" fontId="0" fillId="47" borderId="42" xfId="0" applyFont="1" applyFill="1" applyBorder="1" applyAlignment="1">
      <alignment wrapText="1"/>
    </xf>
    <xf numFmtId="186" fontId="0" fillId="47" borderId="45" xfId="41" applyNumberFormat="1" applyFont="1" applyFill="1" applyBorder="1" applyAlignment="1">
      <alignment vertical="center"/>
    </xf>
    <xf numFmtId="0" fontId="0" fillId="47" borderId="42" xfId="0" applyFont="1" applyFill="1" applyBorder="1" applyAlignment="1"/>
    <xf numFmtId="186" fontId="0" fillId="47" borderId="20" xfId="41" applyNumberFormat="1" applyFont="1" applyFill="1" applyBorder="1" applyProtection="1"/>
    <xf numFmtId="186" fontId="0" fillId="47" borderId="18" xfId="41" applyNumberFormat="1" applyFont="1" applyFill="1" applyBorder="1" applyProtection="1"/>
    <xf numFmtId="0" fontId="154" fillId="47" borderId="45" xfId="0" applyFont="1" applyFill="1" applyBorder="1" applyAlignment="1">
      <alignment horizontal="center"/>
    </xf>
    <xf numFmtId="0" fontId="0" fillId="47" borderId="0" xfId="0" applyFill="1" applyBorder="1" applyAlignment="1">
      <alignment horizontal="center"/>
    </xf>
    <xf numFmtId="186" fontId="156" fillId="47" borderId="20" xfId="41" applyNumberFormat="1" applyFont="1" applyFill="1" applyBorder="1"/>
    <xf numFmtId="186" fontId="0" fillId="47" borderId="8" xfId="41" applyNumberFormat="1" applyFont="1" applyFill="1" applyBorder="1"/>
    <xf numFmtId="232" fontId="19" fillId="58" borderId="70" xfId="321" applyNumberFormat="1" applyFont="1" applyFill="1" applyBorder="1" applyAlignment="1">
      <alignment horizontal="center"/>
    </xf>
    <xf numFmtId="232" fontId="19" fillId="58" borderId="14" xfId="321" applyNumberFormat="1" applyFont="1" applyFill="1" applyBorder="1" applyAlignment="1">
      <alignment horizontal="center"/>
    </xf>
    <xf numFmtId="14" fontId="12" fillId="58" borderId="220" xfId="321" applyNumberFormat="1" applyFont="1" applyFill="1" applyBorder="1" applyAlignment="1">
      <alignment horizontal="center"/>
    </xf>
    <xf numFmtId="0" fontId="12" fillId="58" borderId="220" xfId="321" applyFont="1" applyFill="1" applyBorder="1" applyAlignment="1">
      <alignment horizontal="center"/>
    </xf>
    <xf numFmtId="232" fontId="12" fillId="58" borderId="220" xfId="321" applyNumberFormat="1" applyFont="1" applyFill="1" applyBorder="1" applyAlignment="1">
      <alignment horizontal="center"/>
    </xf>
    <xf numFmtId="9" fontId="12" fillId="58" borderId="220" xfId="321" applyNumberFormat="1" applyFont="1" applyFill="1" applyBorder="1"/>
    <xf numFmtId="9" fontId="12" fillId="58" borderId="220" xfId="321" applyNumberFormat="1" applyFont="1" applyFill="1" applyBorder="1" applyAlignment="1">
      <alignment horizontal="center"/>
    </xf>
    <xf numFmtId="0" fontId="12" fillId="58" borderId="198" xfId="321" applyFont="1" applyFill="1" applyBorder="1" applyAlignment="1">
      <alignment horizontal="center"/>
    </xf>
    <xf numFmtId="232" fontId="12" fillId="58" borderId="198" xfId="321" applyNumberFormat="1" applyFont="1" applyFill="1" applyBorder="1" applyAlignment="1">
      <alignment horizontal="center"/>
    </xf>
    <xf numFmtId="9" fontId="19" fillId="58" borderId="198" xfId="321" applyNumberFormat="1" applyFont="1" applyFill="1" applyBorder="1"/>
    <xf numFmtId="14" fontId="12" fillId="58" borderId="198" xfId="321" applyNumberFormat="1" applyFont="1" applyFill="1" applyBorder="1" applyAlignment="1">
      <alignment horizontal="center"/>
    </xf>
    <xf numFmtId="0" fontId="19" fillId="58" borderId="198" xfId="321" applyFont="1" applyFill="1" applyBorder="1" applyAlignment="1">
      <alignment horizontal="center"/>
    </xf>
    <xf numFmtId="232" fontId="19" fillId="58" borderId="198" xfId="321" applyNumberFormat="1" applyFont="1" applyFill="1" applyBorder="1" applyAlignment="1">
      <alignment horizontal="center"/>
    </xf>
    <xf numFmtId="14" fontId="19" fillId="58" borderId="198" xfId="321" applyNumberFormat="1" applyFont="1" applyFill="1" applyBorder="1" applyAlignment="1">
      <alignment horizontal="center"/>
    </xf>
    <xf numFmtId="14" fontId="19" fillId="58" borderId="199" xfId="321" applyNumberFormat="1" applyFont="1" applyFill="1" applyBorder="1" applyAlignment="1">
      <alignment horizontal="center"/>
    </xf>
    <xf numFmtId="0" fontId="19" fillId="58" borderId="199" xfId="321" applyFont="1" applyFill="1" applyBorder="1" applyAlignment="1">
      <alignment horizontal="center"/>
    </xf>
    <xf numFmtId="232" fontId="19" fillId="58" borderId="199" xfId="321" applyNumberFormat="1" applyFont="1" applyFill="1" applyBorder="1" applyAlignment="1">
      <alignment horizontal="center"/>
    </xf>
    <xf numFmtId="9" fontId="19" fillId="58" borderId="199" xfId="321" applyNumberFormat="1" applyFont="1" applyFill="1" applyBorder="1"/>
    <xf numFmtId="9" fontId="12" fillId="58" borderId="31" xfId="321" applyNumberFormat="1" applyFont="1" applyFill="1" applyBorder="1" applyAlignment="1">
      <alignment horizontal="center"/>
    </xf>
    <xf numFmtId="0" fontId="12" fillId="58" borderId="197" xfId="321" applyFont="1" applyFill="1" applyBorder="1" applyAlignment="1">
      <alignment horizontal="center"/>
    </xf>
    <xf numFmtId="178" fontId="12" fillId="58" borderId="197" xfId="41" applyNumberFormat="1" applyFont="1" applyFill="1" applyBorder="1" applyAlignment="1">
      <alignment horizontal="center"/>
    </xf>
    <xf numFmtId="10" fontId="12" fillId="58" borderId="197" xfId="321" applyNumberFormat="1" applyFont="1" applyFill="1" applyBorder="1" applyAlignment="1">
      <alignment horizontal="center"/>
    </xf>
    <xf numFmtId="178" fontId="12" fillId="58" borderId="198" xfId="41" applyNumberFormat="1" applyFont="1" applyFill="1" applyBorder="1" applyAlignment="1">
      <alignment horizontal="center"/>
    </xf>
    <xf numFmtId="10" fontId="12" fillId="58" borderId="198" xfId="321" applyNumberFormat="1" applyFont="1" applyFill="1" applyBorder="1" applyAlignment="1">
      <alignment horizontal="center"/>
    </xf>
    <xf numFmtId="0" fontId="12" fillId="58" borderId="199" xfId="321" applyFont="1" applyFill="1" applyBorder="1" applyAlignment="1">
      <alignment horizontal="center"/>
    </xf>
    <xf numFmtId="178" fontId="12" fillId="58" borderId="199" xfId="41" applyNumberFormat="1" applyFont="1" applyFill="1" applyBorder="1" applyAlignment="1">
      <alignment horizontal="center"/>
    </xf>
    <xf numFmtId="10" fontId="12" fillId="58" borderId="199" xfId="321" applyNumberFormat="1" applyFont="1" applyFill="1" applyBorder="1" applyAlignment="1">
      <alignment horizontal="center"/>
    </xf>
    <xf numFmtId="171" fontId="19" fillId="58" borderId="14" xfId="321" applyNumberFormat="1" applyFont="1" applyFill="1" applyBorder="1" applyAlignment="1">
      <alignment horizontal="right"/>
    </xf>
    <xf numFmtId="166" fontId="19" fillId="58" borderId="197" xfId="321" applyNumberFormat="1" applyFont="1" applyFill="1" applyBorder="1" applyAlignment="1">
      <alignment horizontal="right"/>
    </xf>
    <xf numFmtId="166" fontId="19" fillId="58" borderId="198" xfId="321" applyNumberFormat="1" applyFont="1" applyFill="1" applyBorder="1" applyAlignment="1">
      <alignment horizontal="right"/>
    </xf>
    <xf numFmtId="166" fontId="19" fillId="58" borderId="199" xfId="321" applyNumberFormat="1" applyFont="1" applyFill="1" applyBorder="1" applyAlignment="1">
      <alignment horizontal="right"/>
    </xf>
    <xf numFmtId="166" fontId="19" fillId="58" borderId="220" xfId="321" applyNumberFormat="1" applyFont="1" applyFill="1" applyBorder="1" applyAlignment="1">
      <alignment horizontal="right"/>
    </xf>
    <xf numFmtId="1" fontId="0" fillId="58" borderId="14" xfId="321" applyNumberFormat="1" applyFont="1" applyFill="1" applyBorder="1" applyAlignment="1" applyProtection="1">
      <alignment horizontal="center"/>
      <protection locked="0"/>
    </xf>
    <xf numFmtId="166" fontId="0" fillId="58" borderId="14" xfId="321" applyNumberFormat="1" applyFont="1" applyFill="1" applyBorder="1"/>
    <xf numFmtId="166" fontId="0" fillId="58" borderId="14" xfId="321" applyNumberFormat="1" applyFont="1" applyFill="1" applyBorder="1" applyProtection="1">
      <protection locked="0"/>
    </xf>
    <xf numFmtId="166" fontId="0" fillId="58" borderId="14" xfId="321" applyNumberFormat="1" applyFont="1" applyFill="1" applyBorder="1" applyProtection="1"/>
    <xf numFmtId="166" fontId="12" fillId="58" borderId="197" xfId="321" applyNumberFormat="1" applyFont="1" applyFill="1" applyBorder="1" applyProtection="1">
      <protection locked="0"/>
    </xf>
    <xf numFmtId="1" fontId="12" fillId="58" borderId="197" xfId="321" applyNumberFormat="1" applyFont="1" applyFill="1" applyBorder="1" applyAlignment="1" applyProtection="1">
      <alignment horizontal="center"/>
      <protection locked="0"/>
    </xf>
    <xf numFmtId="1" fontId="12" fillId="58" borderId="198" xfId="321" applyNumberFormat="1" applyFont="1" applyFill="1" applyBorder="1" applyAlignment="1" applyProtection="1">
      <alignment horizontal="center"/>
      <protection locked="0"/>
    </xf>
    <xf numFmtId="166" fontId="12" fillId="58" borderId="198" xfId="321" applyNumberFormat="1" applyFont="1" applyFill="1" applyBorder="1" applyProtection="1">
      <protection locked="0"/>
    </xf>
    <xf numFmtId="166" fontId="12" fillId="58" borderId="199" xfId="321" applyNumberFormat="1" applyFont="1" applyFill="1" applyBorder="1" applyProtection="1"/>
    <xf numFmtId="1" fontId="12" fillId="58" borderId="199" xfId="321" applyNumberFormat="1" applyFont="1" applyFill="1" applyBorder="1" applyAlignment="1" applyProtection="1">
      <alignment horizontal="center"/>
      <protection locked="0"/>
    </xf>
    <xf numFmtId="166" fontId="12" fillId="58" borderId="192" xfId="321" applyNumberFormat="1" applyFont="1" applyFill="1" applyBorder="1"/>
    <xf numFmtId="180" fontId="19" fillId="58" borderId="14" xfId="321" applyNumberFormat="1" applyFont="1" applyFill="1" applyBorder="1" applyAlignment="1" applyProtection="1">
      <alignment horizontal="center"/>
      <protection locked="0"/>
    </xf>
    <xf numFmtId="182" fontId="19" fillId="58" borderId="14" xfId="321" applyNumberFormat="1" applyFont="1" applyFill="1" applyBorder="1" applyAlignment="1" applyProtection="1">
      <alignment horizontal="center"/>
      <protection locked="0"/>
    </xf>
    <xf numFmtId="179" fontId="19" fillId="58" borderId="14" xfId="321" applyNumberFormat="1" applyFont="1" applyFill="1" applyBorder="1" applyAlignment="1" applyProtection="1">
      <alignment horizontal="center"/>
      <protection locked="0"/>
    </xf>
    <xf numFmtId="180" fontId="13" fillId="58" borderId="14" xfId="321" applyNumberFormat="1" applyFont="1" applyFill="1" applyBorder="1" applyAlignment="1" applyProtection="1">
      <alignment horizontal="left"/>
      <protection locked="0"/>
    </xf>
    <xf numFmtId="176" fontId="12" fillId="58" borderId="197" xfId="321" applyNumberFormat="1" applyFont="1" applyFill="1" applyBorder="1" applyAlignment="1">
      <alignment horizontal="left" vertical="top"/>
    </xf>
    <xf numFmtId="166" fontId="19" fillId="58" borderId="197" xfId="321" applyNumberFormat="1" applyFont="1" applyFill="1" applyBorder="1" applyAlignment="1">
      <alignment vertical="top"/>
    </xf>
    <xf numFmtId="173" fontId="19" fillId="58" borderId="197" xfId="321" applyNumberFormat="1" applyFont="1" applyFill="1" applyBorder="1" applyAlignment="1">
      <alignment horizontal="center" vertical="top"/>
    </xf>
    <xf numFmtId="176" fontId="12" fillId="58" borderId="198" xfId="321" applyNumberFormat="1" applyFont="1" applyFill="1" applyBorder="1" applyAlignment="1">
      <alignment horizontal="left" vertical="top"/>
    </xf>
    <xf numFmtId="166" fontId="19" fillId="58" borderId="198" xfId="321" applyNumberFormat="1" applyFont="1" applyFill="1" applyBorder="1" applyAlignment="1">
      <alignment vertical="top"/>
    </xf>
    <xf numFmtId="173" fontId="19" fillId="58" borderId="198" xfId="321" applyNumberFormat="1" applyFont="1" applyFill="1" applyBorder="1" applyAlignment="1">
      <alignment horizontal="center" vertical="top"/>
    </xf>
    <xf numFmtId="176" fontId="19" fillId="58" borderId="198" xfId="321" applyNumberFormat="1" applyFont="1" applyFill="1" applyBorder="1" applyAlignment="1">
      <alignment horizontal="left" vertical="top"/>
    </xf>
    <xf numFmtId="176" fontId="19" fillId="58" borderId="199" xfId="321" applyNumberFormat="1" applyFont="1" applyFill="1" applyBorder="1" applyAlignment="1">
      <alignment horizontal="left" vertical="top"/>
    </xf>
    <xf numFmtId="166" fontId="19" fillId="58" borderId="199" xfId="321" applyNumberFormat="1" applyFont="1" applyFill="1" applyBorder="1" applyAlignment="1">
      <alignment vertical="top"/>
    </xf>
    <xf numFmtId="173" fontId="19" fillId="58" borderId="199" xfId="321" applyNumberFormat="1" applyFont="1" applyFill="1" applyBorder="1" applyAlignment="1">
      <alignment horizontal="center" vertical="top"/>
    </xf>
    <xf numFmtId="166" fontId="19" fillId="58" borderId="28" xfId="321" applyNumberFormat="1" applyFont="1" applyFill="1" applyBorder="1" applyAlignment="1">
      <alignment horizontal="left" vertical="top"/>
    </xf>
    <xf numFmtId="166" fontId="19" fillId="58" borderId="198" xfId="321" applyNumberFormat="1" applyFont="1" applyFill="1" applyBorder="1" applyAlignment="1">
      <alignment horizontal="left" vertical="top"/>
    </xf>
    <xf numFmtId="166" fontId="19" fillId="58" borderId="199" xfId="321" applyNumberFormat="1" applyFont="1" applyFill="1" applyBorder="1" applyAlignment="1">
      <alignment horizontal="left" vertical="top"/>
    </xf>
    <xf numFmtId="0" fontId="19" fillId="58" borderId="197" xfId="321" applyFont="1" applyFill="1" applyBorder="1" applyAlignment="1">
      <alignment vertical="top"/>
    </xf>
    <xf numFmtId="0" fontId="19" fillId="58" borderId="198" xfId="321" applyFont="1" applyFill="1" applyBorder="1" applyAlignment="1">
      <alignment vertical="top"/>
    </xf>
    <xf numFmtId="9" fontId="19" fillId="58" borderId="197" xfId="321" applyNumberFormat="1" applyFont="1" applyFill="1" applyBorder="1" applyAlignment="1">
      <alignment vertical="top"/>
    </xf>
    <xf numFmtId="9" fontId="19" fillId="58" borderId="198" xfId="321" applyNumberFormat="1" applyFont="1" applyFill="1" applyBorder="1" applyAlignment="1">
      <alignment vertical="top"/>
    </xf>
    <xf numFmtId="0" fontId="19" fillId="58" borderId="199" xfId="321" applyFont="1" applyFill="1" applyBorder="1" applyAlignment="1">
      <alignment vertical="top"/>
    </xf>
    <xf numFmtId="9" fontId="19" fillId="58" borderId="199" xfId="321" applyNumberFormat="1" applyFont="1" applyFill="1" applyBorder="1" applyAlignment="1">
      <alignment vertical="top"/>
    </xf>
    <xf numFmtId="166" fontId="19" fillId="58" borderId="197" xfId="321" applyNumberFormat="1" applyFont="1" applyFill="1" applyBorder="1" applyAlignment="1">
      <alignment horizontal="left" vertical="top"/>
    </xf>
    <xf numFmtId="0" fontId="19" fillId="58" borderId="199" xfId="321" applyFont="1" applyFill="1" applyBorder="1" applyAlignment="1">
      <alignment horizontal="left"/>
    </xf>
    <xf numFmtId="174" fontId="19" fillId="58" borderId="197" xfId="0" applyNumberFormat="1" applyFont="1" applyFill="1" applyBorder="1" applyAlignment="1">
      <alignment horizontal="left"/>
    </xf>
    <xf numFmtId="174" fontId="19" fillId="58" borderId="198" xfId="0" applyNumberFormat="1" applyFont="1" applyFill="1" applyBorder="1" applyAlignment="1">
      <alignment horizontal="left"/>
    </xf>
    <xf numFmtId="174" fontId="19" fillId="58" borderId="199" xfId="0" applyNumberFormat="1" applyFont="1" applyFill="1" applyBorder="1" applyAlignment="1">
      <alignment horizontal="left"/>
    </xf>
    <xf numFmtId="166" fontId="19" fillId="58" borderId="197" xfId="56" applyNumberFormat="1" applyFont="1" applyFill="1" applyBorder="1"/>
    <xf numFmtId="166" fontId="19" fillId="58" borderId="198" xfId="56" applyNumberFormat="1" applyFont="1" applyFill="1" applyBorder="1"/>
    <xf numFmtId="166" fontId="19" fillId="58" borderId="199" xfId="56" applyNumberFormat="1" applyFont="1" applyFill="1" applyBorder="1"/>
    <xf numFmtId="166" fontId="19" fillId="58" borderId="197" xfId="0" applyNumberFormat="1" applyFont="1" applyFill="1" applyBorder="1"/>
    <xf numFmtId="166" fontId="19" fillId="58" borderId="198" xfId="0" applyNumberFormat="1" applyFont="1" applyFill="1" applyBorder="1"/>
    <xf numFmtId="166" fontId="19" fillId="58" borderId="199" xfId="0" applyNumberFormat="1" applyFont="1" applyFill="1" applyBorder="1"/>
    <xf numFmtId="166" fontId="19" fillId="58" borderId="192" xfId="56" applyNumberFormat="1" applyFont="1" applyFill="1" applyBorder="1"/>
    <xf numFmtId="174" fontId="19" fillId="58" borderId="14" xfId="0" applyNumberFormat="1" applyFont="1" applyFill="1" applyBorder="1" applyAlignment="1">
      <alignment horizontal="left"/>
    </xf>
    <xf numFmtId="166" fontId="19" fillId="58" borderId="14" xfId="56" applyNumberFormat="1" applyFont="1" applyFill="1" applyBorder="1"/>
    <xf numFmtId="178" fontId="19" fillId="58" borderId="242" xfId="41" applyNumberFormat="1" applyFont="1" applyFill="1" applyBorder="1"/>
    <xf numFmtId="178" fontId="19" fillId="58" borderId="241" xfId="321" applyNumberFormat="1" applyFont="1" applyFill="1" applyBorder="1"/>
    <xf numFmtId="178" fontId="19" fillId="58" borderId="192" xfId="41" applyNumberFormat="1" applyFont="1" applyFill="1" applyBorder="1"/>
    <xf numFmtId="0" fontId="19" fillId="58" borderId="192" xfId="321" applyNumberFormat="1" applyFont="1" applyFill="1" applyBorder="1"/>
    <xf numFmtId="178" fontId="19" fillId="58" borderId="209" xfId="321" applyNumberFormat="1" applyFont="1" applyFill="1" applyBorder="1" applyAlignment="1">
      <alignment vertical="top" wrapText="1"/>
    </xf>
    <xf numFmtId="178" fontId="19" fillId="58" borderId="14" xfId="321" applyNumberFormat="1" applyFont="1" applyFill="1" applyBorder="1"/>
    <xf numFmtId="178" fontId="19" fillId="58" borderId="28" xfId="321" applyNumberFormat="1" applyFont="1" applyFill="1" applyBorder="1"/>
    <xf numFmtId="178" fontId="19" fillId="58" borderId="199" xfId="321" applyNumberFormat="1" applyFont="1" applyFill="1" applyBorder="1"/>
    <xf numFmtId="166" fontId="12" fillId="58" borderId="193" xfId="321" applyNumberFormat="1" applyFont="1" applyFill="1" applyBorder="1"/>
    <xf numFmtId="0" fontId="158" fillId="58" borderId="192" xfId="321" applyFont="1" applyFill="1" applyBorder="1"/>
    <xf numFmtId="14" fontId="12" fillId="58" borderId="192" xfId="321" applyNumberFormat="1" applyFont="1" applyFill="1" applyBorder="1"/>
    <xf numFmtId="166" fontId="19" fillId="58" borderId="197" xfId="321" applyNumberFormat="1" applyFont="1" applyFill="1" applyBorder="1" applyAlignment="1">
      <alignment horizontal="left"/>
    </xf>
    <xf numFmtId="10" fontId="19" fillId="58" borderId="199" xfId="321" applyNumberFormat="1" applyFont="1" applyFill="1" applyBorder="1" applyAlignment="1">
      <alignment horizontal="right"/>
    </xf>
    <xf numFmtId="165" fontId="43" fillId="58" borderId="191" xfId="321" applyNumberFormat="1" applyFont="1" applyFill="1" applyBorder="1" applyAlignment="1">
      <alignment horizontal="right"/>
    </xf>
    <xf numFmtId="165" fontId="43" fillId="58" borderId="14" xfId="321" applyNumberFormat="1" applyFont="1" applyFill="1" applyBorder="1"/>
    <xf numFmtId="38" fontId="43" fillId="58" borderId="14" xfId="321" applyNumberFormat="1" applyFont="1" applyFill="1" applyBorder="1"/>
    <xf numFmtId="187" fontId="43" fillId="58" borderId="34" xfId="321" applyNumberFormat="1" applyFont="1" applyFill="1" applyBorder="1"/>
    <xf numFmtId="165" fontId="43" fillId="58" borderId="38" xfId="64" applyFont="1" applyFill="1" applyBorder="1"/>
    <xf numFmtId="0" fontId="19" fillId="58" borderId="188" xfId="321" applyFont="1" applyFill="1" applyBorder="1" applyAlignment="1" applyProtection="1">
      <alignment wrapText="1"/>
      <protection locked="0"/>
    </xf>
    <xf numFmtId="0" fontId="19" fillId="58" borderId="219" xfId="321" applyFont="1" applyFill="1" applyBorder="1" applyAlignment="1" applyProtection="1">
      <alignment wrapText="1"/>
      <protection locked="0"/>
    </xf>
    <xf numFmtId="0" fontId="19" fillId="58" borderId="232" xfId="321" applyFont="1" applyFill="1" applyBorder="1" applyAlignment="1" applyProtection="1">
      <alignment wrapText="1"/>
      <protection locked="0"/>
    </xf>
    <xf numFmtId="0" fontId="19" fillId="58" borderId="192" xfId="321" applyFont="1" applyFill="1" applyBorder="1" applyAlignment="1" applyProtection="1">
      <alignment wrapText="1"/>
      <protection locked="0"/>
    </xf>
    <xf numFmtId="199" fontId="0" fillId="58" borderId="87" xfId="321" applyNumberFormat="1" applyFont="1" applyFill="1" applyBorder="1" applyAlignment="1">
      <alignment vertical="center"/>
    </xf>
    <xf numFmtId="199" fontId="0" fillId="58" borderId="84" xfId="321" applyNumberFormat="1" applyFont="1" applyFill="1" applyBorder="1" applyAlignment="1">
      <alignment vertical="center"/>
    </xf>
    <xf numFmtId="199" fontId="0" fillId="58" borderId="85" xfId="321" applyNumberFormat="1" applyFont="1" applyFill="1" applyBorder="1" applyAlignment="1">
      <alignment vertical="center"/>
    </xf>
    <xf numFmtId="199" fontId="0" fillId="58" borderId="86" xfId="321" applyNumberFormat="1" applyFont="1" applyFill="1" applyBorder="1" applyAlignment="1">
      <alignment vertical="center"/>
    </xf>
    <xf numFmtId="199" fontId="13" fillId="58" borderId="49" xfId="0" applyNumberFormat="1" applyFont="1" applyFill="1" applyBorder="1" applyAlignment="1">
      <alignment vertical="center"/>
    </xf>
    <xf numFmtId="199" fontId="13" fillId="58" borderId="41" xfId="0" applyNumberFormat="1" applyFont="1" applyFill="1" applyBorder="1" applyAlignment="1">
      <alignment vertical="center"/>
    </xf>
    <xf numFmtId="14" fontId="19" fillId="58" borderId="0" xfId="321" applyNumberFormat="1" applyFont="1" applyFill="1" applyBorder="1" applyAlignment="1">
      <alignment vertical="center"/>
    </xf>
    <xf numFmtId="166" fontId="19" fillId="58" borderId="0" xfId="321" applyNumberFormat="1" applyFont="1" applyFill="1" applyBorder="1" applyAlignment="1">
      <alignment vertical="center"/>
    </xf>
    <xf numFmtId="166" fontId="19" fillId="58" borderId="0" xfId="321" applyNumberFormat="1" applyFont="1" applyFill="1" applyBorder="1" applyAlignment="1">
      <alignment horizontal="center" vertical="center"/>
    </xf>
    <xf numFmtId="0" fontId="19" fillId="58" borderId="0" xfId="321" applyNumberFormat="1" applyFont="1" applyFill="1" applyBorder="1" applyAlignment="1">
      <alignment vertical="center"/>
    </xf>
    <xf numFmtId="10" fontId="13" fillId="58" borderId="20" xfId="321" applyNumberFormat="1" applyFont="1" applyFill="1" applyBorder="1" applyAlignment="1">
      <alignment horizontal="center" vertical="center" wrapText="1"/>
    </xf>
    <xf numFmtId="9" fontId="19" fillId="58" borderId="0" xfId="321" applyNumberFormat="1" applyFont="1" applyFill="1" applyBorder="1" applyAlignment="1">
      <alignment vertical="center"/>
    </xf>
    <xf numFmtId="10" fontId="19" fillId="58" borderId="0" xfId="321" applyNumberFormat="1" applyFont="1" applyFill="1" applyBorder="1" applyAlignment="1">
      <alignment vertical="center"/>
    </xf>
    <xf numFmtId="9" fontId="19" fillId="58" borderId="197" xfId="321" applyNumberFormat="1" applyFont="1" applyFill="1" applyBorder="1" applyAlignment="1">
      <alignment horizontal="center"/>
    </xf>
    <xf numFmtId="9" fontId="19" fillId="58" borderId="198" xfId="321" applyNumberFormat="1" applyFont="1" applyFill="1" applyBorder="1" applyAlignment="1">
      <alignment horizontal="center"/>
    </xf>
    <xf numFmtId="9" fontId="19" fillId="58" borderId="199" xfId="321" applyNumberFormat="1" applyFont="1" applyFill="1" applyBorder="1" applyAlignment="1">
      <alignment horizontal="center"/>
    </xf>
    <xf numFmtId="199" fontId="19" fillId="58" borderId="192" xfId="321" applyNumberFormat="1" applyFont="1" applyFill="1" applyBorder="1" applyAlignment="1"/>
    <xf numFmtId="199" fontId="19" fillId="58" borderId="193" xfId="321" applyNumberFormat="1" applyFont="1" applyFill="1" applyBorder="1" applyAlignment="1"/>
    <xf numFmtId="199" fontId="19" fillId="58" borderId="5" xfId="56" applyNumberFormat="1" applyFont="1" applyFill="1" applyBorder="1" applyAlignment="1">
      <alignment vertical="center"/>
    </xf>
    <xf numFmtId="199" fontId="19" fillId="58" borderId="77" xfId="56" applyNumberFormat="1" applyFont="1" applyFill="1" applyBorder="1" applyAlignment="1">
      <alignment vertical="center"/>
    </xf>
    <xf numFmtId="166" fontId="19" fillId="58" borderId="28" xfId="321" applyNumberFormat="1" applyFont="1" applyFill="1" applyBorder="1"/>
    <xf numFmtId="9" fontId="19" fillId="58" borderId="192" xfId="321" applyNumberFormat="1" applyFont="1" applyFill="1" applyBorder="1" applyAlignment="1">
      <alignment horizontal="center"/>
    </xf>
    <xf numFmtId="9" fontId="19" fillId="58" borderId="192" xfId="321" applyNumberFormat="1" applyFont="1" applyFill="1" applyBorder="1" applyAlignment="1" applyProtection="1">
      <alignment horizontal="left"/>
      <protection locked="0"/>
    </xf>
    <xf numFmtId="180" fontId="19" fillId="58" borderId="197" xfId="321" applyNumberFormat="1" applyFont="1" applyFill="1" applyBorder="1" applyProtection="1">
      <protection locked="0"/>
    </xf>
    <xf numFmtId="180" fontId="19" fillId="58" borderId="199" xfId="321" applyNumberFormat="1" applyFont="1" applyFill="1" applyBorder="1" applyProtection="1">
      <protection locked="0"/>
    </xf>
    <xf numFmtId="166" fontId="19" fillId="58" borderId="197" xfId="321" applyNumberFormat="1" applyFont="1" applyFill="1" applyBorder="1" applyAlignment="1" applyProtection="1">
      <alignment horizontal="left"/>
      <protection locked="0"/>
    </xf>
    <xf numFmtId="174" fontId="19" fillId="58" borderId="198" xfId="321" applyNumberFormat="1" applyFont="1" applyFill="1" applyBorder="1" applyAlignment="1" applyProtection="1">
      <alignment horizontal="left"/>
      <protection locked="0"/>
    </xf>
    <xf numFmtId="174" fontId="19" fillId="58" borderId="31" xfId="321" applyNumberFormat="1" applyFont="1" applyFill="1" applyBorder="1" applyAlignment="1" applyProtection="1">
      <alignment horizontal="left"/>
      <protection locked="0"/>
    </xf>
    <xf numFmtId="166" fontId="19" fillId="58" borderId="14" xfId="321" applyNumberFormat="1" applyFont="1" applyFill="1" applyBorder="1" applyProtection="1">
      <protection locked="0"/>
    </xf>
    <xf numFmtId="0" fontId="19" fillId="58" borderId="197" xfId="321" applyFont="1" applyFill="1" applyBorder="1" applyProtection="1">
      <protection locked="0"/>
    </xf>
    <xf numFmtId="0" fontId="19" fillId="58" borderId="199" xfId="321" applyFont="1" applyFill="1" applyBorder="1" applyProtection="1">
      <protection locked="0"/>
    </xf>
    <xf numFmtId="10" fontId="19" fillId="58" borderId="199" xfId="321" applyNumberFormat="1" applyFont="1" applyFill="1" applyBorder="1" applyProtection="1">
      <protection locked="0"/>
    </xf>
    <xf numFmtId="0" fontId="19" fillId="58" borderId="192" xfId="321" applyFont="1" applyFill="1" applyBorder="1" applyProtection="1">
      <protection locked="0"/>
    </xf>
    <xf numFmtId="180" fontId="19" fillId="58" borderId="192" xfId="321" applyNumberFormat="1" applyFont="1" applyFill="1" applyBorder="1"/>
    <xf numFmtId="174" fontId="19" fillId="58" borderId="192" xfId="321" applyNumberFormat="1" applyFont="1" applyFill="1" applyBorder="1" applyAlignment="1">
      <alignment horizontal="center"/>
    </xf>
    <xf numFmtId="173" fontId="19" fillId="58" borderId="223" xfId="321" applyNumberFormat="1" applyFont="1" applyFill="1" applyBorder="1" applyAlignment="1">
      <alignment horizontal="left"/>
    </xf>
    <xf numFmtId="229" fontId="19" fillId="58" borderId="192" xfId="321" applyNumberFormat="1" applyFont="1" applyFill="1" applyBorder="1" applyAlignment="1">
      <alignment horizontal="left"/>
    </xf>
    <xf numFmtId="229" fontId="12" fillId="58" borderId="192" xfId="321" applyNumberFormat="1" applyFont="1" applyFill="1" applyBorder="1" applyAlignment="1">
      <alignment horizontal="left"/>
    </xf>
    <xf numFmtId="166" fontId="19" fillId="58" borderId="192" xfId="321" applyNumberFormat="1" applyFont="1" applyFill="1" applyBorder="1" applyAlignment="1">
      <alignment horizontal="left"/>
    </xf>
    <xf numFmtId="186" fontId="19" fillId="58" borderId="192" xfId="321" applyNumberFormat="1" applyFont="1" applyFill="1" applyBorder="1" applyAlignment="1">
      <alignment horizontal="left"/>
    </xf>
    <xf numFmtId="10" fontId="19" fillId="58" borderId="192" xfId="321" applyNumberFormat="1" applyFont="1" applyFill="1" applyBorder="1" applyAlignment="1">
      <alignment horizontal="right"/>
    </xf>
    <xf numFmtId="10" fontId="13" fillId="58" borderId="14" xfId="321" applyNumberFormat="1" applyFont="1" applyFill="1" applyBorder="1" applyAlignment="1">
      <alignment horizontal="center"/>
    </xf>
    <xf numFmtId="199" fontId="19" fillId="58" borderId="192" xfId="321" applyNumberFormat="1" applyFont="1" applyFill="1" applyBorder="1"/>
    <xf numFmtId="166" fontId="13" fillId="58" borderId="197" xfId="321" applyNumberFormat="1" applyFont="1" applyFill="1" applyBorder="1" applyAlignment="1">
      <alignment horizontal="center"/>
    </xf>
    <xf numFmtId="166" fontId="13" fillId="58" borderId="198" xfId="321" applyNumberFormat="1" applyFont="1" applyFill="1" applyBorder="1" applyAlignment="1">
      <alignment horizontal="center"/>
    </xf>
    <xf numFmtId="166" fontId="13" fillId="58" borderId="212" xfId="321" applyNumberFormat="1" applyFont="1" applyFill="1" applyBorder="1" applyAlignment="1">
      <alignment horizontal="center"/>
    </xf>
    <xf numFmtId="175" fontId="19" fillId="58" borderId="14" xfId="321" applyNumberFormat="1" applyFont="1" applyFill="1" applyBorder="1" applyAlignment="1">
      <alignment vertical="center"/>
    </xf>
    <xf numFmtId="0" fontId="12" fillId="58" borderId="14" xfId="321" applyNumberFormat="1" applyFont="1" applyFill="1" applyBorder="1" applyAlignment="1">
      <alignment horizontal="left" vertical="center"/>
    </xf>
    <xf numFmtId="0" fontId="19" fillId="58" borderId="14" xfId="321" applyNumberFormat="1" applyFont="1" applyFill="1" applyBorder="1" applyAlignment="1">
      <alignment horizontal="left" vertical="center"/>
    </xf>
    <xf numFmtId="199" fontId="19" fillId="58" borderId="14" xfId="321" applyNumberFormat="1" applyFont="1" applyFill="1" applyBorder="1" applyAlignment="1">
      <alignment vertical="center"/>
    </xf>
    <xf numFmtId="9" fontId="19" fillId="58" borderId="192" xfId="321" applyNumberFormat="1" applyFont="1" applyFill="1" applyBorder="1" applyAlignment="1">
      <alignment vertical="center"/>
    </xf>
    <xf numFmtId="0" fontId="19" fillId="58" borderId="192" xfId="321" applyNumberFormat="1" applyFont="1" applyFill="1" applyBorder="1" applyAlignment="1">
      <alignment vertical="center"/>
    </xf>
    <xf numFmtId="0" fontId="19" fillId="58" borderId="0" xfId="56" applyNumberFormat="1" applyFont="1" applyFill="1" applyAlignment="1">
      <alignment horizontal="center" vertical="center"/>
    </xf>
    <xf numFmtId="0" fontId="129" fillId="47" borderId="0" xfId="149" applyFont="1" applyFill="1">
      <alignment vertical="center"/>
    </xf>
    <xf numFmtId="0" fontId="128" fillId="47" borderId="0" xfId="149" applyFont="1" applyFill="1">
      <alignment vertical="center"/>
    </xf>
    <xf numFmtId="0" fontId="19" fillId="47" borderId="0" xfId="149" applyFill="1">
      <alignment vertical="center"/>
    </xf>
    <xf numFmtId="0" fontId="128" fillId="47" borderId="0" xfId="149" applyFont="1" applyFill="1" applyBorder="1">
      <alignment vertical="center"/>
    </xf>
    <xf numFmtId="0" fontId="130" fillId="47" borderId="0" xfId="149" applyFont="1" applyFill="1" applyBorder="1">
      <alignment vertical="center"/>
    </xf>
    <xf numFmtId="0" fontId="35" fillId="47" borderId="0" xfId="149" applyFont="1" applyFill="1" applyBorder="1">
      <alignment vertical="center"/>
    </xf>
    <xf numFmtId="49" fontId="35" fillId="47" borderId="0" xfId="149" applyNumberFormat="1" applyFont="1" applyFill="1" applyBorder="1">
      <alignment vertical="center"/>
    </xf>
    <xf numFmtId="0" fontId="131" fillId="47" borderId="0" xfId="149" applyFont="1" applyFill="1" applyAlignment="1">
      <alignment vertical="top"/>
    </xf>
    <xf numFmtId="0" fontId="128" fillId="47" borderId="0" xfId="149" applyFont="1" applyFill="1" applyAlignment="1">
      <alignment horizontal="centerContinuous" vertical="top"/>
    </xf>
    <xf numFmtId="2" fontId="128" fillId="47" borderId="0" xfId="149" applyNumberFormat="1" applyFont="1" applyFill="1" applyBorder="1" applyAlignment="1">
      <alignment horizontal="centerContinuous" vertical="center"/>
    </xf>
    <xf numFmtId="0" fontId="69" fillId="47" borderId="0" xfId="35" applyFill="1" applyAlignment="1">
      <alignment horizontal="left" vertical="center"/>
    </xf>
    <xf numFmtId="0" fontId="195" fillId="47" borderId="0" xfId="54" applyFont="1" applyFill="1" applyAlignment="1">
      <alignment horizontal="left" vertical="center"/>
    </xf>
    <xf numFmtId="0" fontId="180" fillId="47" borderId="0" xfId="53" applyFont="1" applyFill="1" applyAlignment="1">
      <alignment wrapText="1"/>
    </xf>
    <xf numFmtId="0" fontId="128" fillId="47" borderId="0" xfId="149" applyFont="1" applyFill="1" applyBorder="1" applyAlignment="1">
      <alignment horizontal="left" vertical="center"/>
    </xf>
    <xf numFmtId="0" fontId="70" fillId="47" borderId="0" xfId="195" applyFont="1" applyFill="1" applyAlignment="1">
      <alignment horizontal="center" wrapText="1"/>
    </xf>
    <xf numFmtId="0" fontId="132" fillId="47" borderId="0" xfId="149" applyFont="1" applyFill="1" applyBorder="1" applyAlignment="1">
      <alignment vertical="center"/>
    </xf>
    <xf numFmtId="0" fontId="88" fillId="47" borderId="0" xfId="212" applyFill="1">
      <alignment vertical="center"/>
    </xf>
    <xf numFmtId="0" fontId="19" fillId="47" borderId="0" xfId="149" applyFill="1" applyBorder="1">
      <alignment vertical="center"/>
    </xf>
    <xf numFmtId="201" fontId="13" fillId="58" borderId="14" xfId="56" applyNumberFormat="1" applyFont="1" applyFill="1" applyBorder="1" applyAlignment="1">
      <alignment horizontal="center" vertical="center" wrapText="1"/>
    </xf>
    <xf numFmtId="201" fontId="12" fillId="58" borderId="28" xfId="56" applyNumberFormat="1" applyFont="1" applyFill="1" applyBorder="1"/>
    <xf numFmtId="201" fontId="12" fillId="58" borderId="199" xfId="56" applyNumberFormat="1" applyFont="1" applyFill="1" applyBorder="1"/>
    <xf numFmtId="201" fontId="12" fillId="58" borderId="296" xfId="56" applyNumberFormat="1" applyFont="1" applyFill="1" applyBorder="1"/>
    <xf numFmtId="201" fontId="12" fillId="58" borderId="265" xfId="56" applyNumberFormat="1" applyFont="1" applyFill="1" applyBorder="1"/>
    <xf numFmtId="201" fontId="12" fillId="58" borderId="197" xfId="56" applyNumberFormat="1" applyFont="1" applyFill="1" applyBorder="1"/>
    <xf numFmtId="201" fontId="12" fillId="58" borderId="198" xfId="56" applyNumberFormat="1" applyFont="1" applyFill="1" applyBorder="1"/>
    <xf numFmtId="0" fontId="12" fillId="35" borderId="0" xfId="272" applyFont="1" applyFill="1" applyAlignment="1">
      <alignment wrapText="1"/>
    </xf>
    <xf numFmtId="0" fontId="12" fillId="35" borderId="0" xfId="0" applyFont="1" applyFill="1" applyAlignment="1">
      <alignment wrapText="1"/>
    </xf>
    <xf numFmtId="178" fontId="12" fillId="50" borderId="14" xfId="41" applyNumberFormat="1" applyFont="1" applyFill="1" applyBorder="1" applyAlignment="1">
      <alignment vertical="top"/>
    </xf>
    <xf numFmtId="9" fontId="12" fillId="50" borderId="14" xfId="0" applyNumberFormat="1" applyFont="1" applyFill="1" applyBorder="1" applyAlignment="1">
      <alignment vertical="top"/>
    </xf>
    <xf numFmtId="177" fontId="12" fillId="50" borderId="14" xfId="0" applyNumberFormat="1" applyFont="1" applyFill="1" applyBorder="1" applyAlignment="1">
      <alignment vertical="top"/>
    </xf>
    <xf numFmtId="177" fontId="12" fillId="50" borderId="14" xfId="178" applyNumberFormat="1" applyFont="1" applyFill="1" applyBorder="1" applyAlignment="1">
      <alignment vertical="top"/>
    </xf>
    <xf numFmtId="10" fontId="12" fillId="50" borderId="14" xfId="178" applyNumberFormat="1" applyFont="1" applyFill="1" applyBorder="1" applyAlignment="1">
      <alignment vertical="top"/>
    </xf>
    <xf numFmtId="178" fontId="12" fillId="50" borderId="14" xfId="41" applyNumberFormat="1" applyFont="1" applyFill="1" applyBorder="1" applyAlignment="1">
      <alignment horizontal="center" vertical="top"/>
    </xf>
    <xf numFmtId="166" fontId="12" fillId="0" borderId="0" xfId="41" applyFont="1" applyAlignment="1">
      <alignment vertical="top"/>
    </xf>
    <xf numFmtId="166" fontId="12" fillId="0" borderId="0" xfId="41" applyFont="1" applyAlignment="1">
      <alignment horizontal="center" vertical="top"/>
    </xf>
    <xf numFmtId="9" fontId="12" fillId="0" borderId="0" xfId="178" applyFont="1" applyAlignment="1">
      <alignment vertical="top"/>
    </xf>
    <xf numFmtId="9" fontId="12" fillId="0" borderId="0" xfId="178" applyFont="1" applyAlignment="1">
      <alignment horizontal="center" vertical="top"/>
    </xf>
    <xf numFmtId="0" fontId="13" fillId="50" borderId="14" xfId="0" applyFont="1" applyFill="1" applyBorder="1" applyAlignment="1">
      <alignment vertical="top"/>
    </xf>
    <xf numFmtId="0" fontId="12" fillId="50" borderId="14" xfId="0" applyFont="1" applyFill="1" applyBorder="1" applyAlignment="1">
      <alignment vertical="top"/>
    </xf>
    <xf numFmtId="0" fontId="22" fillId="35" borderId="0" xfId="0" applyFont="1" applyFill="1" applyBorder="1" applyAlignment="1">
      <alignment horizontal="left" vertical="top"/>
    </xf>
    <xf numFmtId="0" fontId="27" fillId="47" borderId="17" xfId="131" applyFill="1" applyBorder="1" applyAlignment="1" applyProtection="1">
      <alignment horizontal="left" vertical="top" wrapText="1"/>
    </xf>
    <xf numFmtId="165" fontId="12" fillId="0" borderId="0" xfId="56" applyFont="1" applyFill="1"/>
    <xf numFmtId="165" fontId="164" fillId="47" borderId="263" xfId="56" applyFont="1" applyFill="1" applyBorder="1"/>
    <xf numFmtId="165" fontId="12" fillId="58" borderId="296" xfId="56" applyFont="1" applyFill="1" applyBorder="1"/>
    <xf numFmtId="166" fontId="12" fillId="58" borderId="14" xfId="325" applyFont="1" applyFill="1" applyBorder="1"/>
    <xf numFmtId="0" fontId="27" fillId="47" borderId="0" xfId="131" quotePrefix="1" applyFill="1" applyAlignment="1" applyProtection="1"/>
    <xf numFmtId="0" fontId="152" fillId="35" borderId="0" xfId="0" applyFont="1" applyFill="1" applyAlignment="1">
      <alignment horizontal="left"/>
    </xf>
    <xf numFmtId="0" fontId="186" fillId="35" borderId="0" xfId="0" applyFont="1" applyFill="1"/>
    <xf numFmtId="191" fontId="12" fillId="50" borderId="14" xfId="56" applyNumberFormat="1" applyFont="1" applyFill="1" applyBorder="1" applyAlignment="1">
      <alignment vertical="top"/>
    </xf>
    <xf numFmtId="191" fontId="12" fillId="50" borderId="14" xfId="56" applyNumberFormat="1" applyFont="1" applyFill="1" applyBorder="1" applyAlignment="1">
      <alignment horizontal="center" vertical="top"/>
    </xf>
    <xf numFmtId="0" fontId="18" fillId="0" borderId="18" xfId="0" applyFont="1" applyBorder="1" applyAlignment="1">
      <alignment vertical="top"/>
    </xf>
    <xf numFmtId="0" fontId="22" fillId="0" borderId="0" xfId="0" applyFont="1" applyAlignment="1">
      <alignment horizontal="left" vertical="top"/>
    </xf>
    <xf numFmtId="0" fontId="13" fillId="0" borderId="0" xfId="0" applyFont="1" applyAlignment="1">
      <alignment horizontal="left" vertical="top"/>
    </xf>
    <xf numFmtId="0" fontId="13" fillId="0" borderId="0" xfId="0" applyFont="1" applyAlignment="1">
      <alignment horizontal="right" vertical="top" indent="1"/>
    </xf>
    <xf numFmtId="174" fontId="13" fillId="0" borderId="0" xfId="0" applyNumberFormat="1" applyFont="1" applyAlignment="1">
      <alignment horizontal="right" vertical="top"/>
    </xf>
    <xf numFmtId="2" fontId="13" fillId="0" borderId="0" xfId="0" applyNumberFormat="1" applyFont="1" applyAlignment="1">
      <alignment horizontal="right" vertical="top"/>
    </xf>
    <xf numFmtId="14" fontId="12" fillId="0" borderId="0" xfId="0" applyNumberFormat="1" applyFont="1" applyAlignment="1">
      <alignment vertical="top"/>
    </xf>
    <xf numFmtId="0" fontId="95" fillId="0" borderId="0" xfId="0" applyFont="1"/>
    <xf numFmtId="166" fontId="0" fillId="0" borderId="0" xfId="0" applyNumberFormat="1"/>
    <xf numFmtId="169" fontId="0" fillId="0" borderId="0" xfId="0" applyNumberFormat="1"/>
    <xf numFmtId="177" fontId="0" fillId="0" borderId="0" xfId="0" applyNumberFormat="1"/>
    <xf numFmtId="10" fontId="0" fillId="0" borderId="0" xfId="0" applyNumberFormat="1"/>
    <xf numFmtId="12" fontId="12" fillId="0" borderId="103" xfId="0" applyNumberFormat="1" applyFont="1" applyBorder="1" applyAlignment="1">
      <alignment horizontal="center" vertical="top"/>
    </xf>
    <xf numFmtId="0" fontId="12" fillId="0" borderId="106" xfId="0" applyFont="1" applyBorder="1" applyAlignment="1">
      <alignment horizontal="center" vertical="top"/>
    </xf>
    <xf numFmtId="10" fontId="12" fillId="47" borderId="106" xfId="0" applyNumberFormat="1" applyFont="1" applyFill="1" applyBorder="1" applyAlignment="1">
      <alignment horizontal="center" vertical="top"/>
    </xf>
    <xf numFmtId="10" fontId="12" fillId="47" borderId="106" xfId="272" applyNumberFormat="1" applyFill="1" applyBorder="1" applyAlignment="1">
      <alignment horizontal="center" vertical="top"/>
    </xf>
    <xf numFmtId="10" fontId="12" fillId="0" borderId="106" xfId="272" applyNumberFormat="1" applyBorder="1" applyAlignment="1">
      <alignment horizontal="center" vertical="top"/>
    </xf>
    <xf numFmtId="10" fontId="12" fillId="47" borderId="252" xfId="0" applyNumberFormat="1" applyFont="1" applyFill="1" applyBorder="1" applyAlignment="1">
      <alignment horizontal="center" vertical="top"/>
    </xf>
    <xf numFmtId="0" fontId="12" fillId="47" borderId="111" xfId="0" applyFont="1" applyFill="1" applyBorder="1" applyAlignment="1">
      <alignment horizontal="center" vertical="top"/>
    </xf>
    <xf numFmtId="1" fontId="13" fillId="47" borderId="0" xfId="0" applyNumberFormat="1" applyFont="1" applyFill="1" applyAlignment="1">
      <alignment horizontal="right"/>
    </xf>
    <xf numFmtId="0" fontId="12" fillId="68" borderId="28" xfId="272" applyFill="1" applyBorder="1" applyAlignment="1">
      <alignment horizontal="right" vertical="center"/>
    </xf>
    <xf numFmtId="49" fontId="13" fillId="47" borderId="0" xfId="0" applyNumberFormat="1" applyFont="1" applyFill="1" applyAlignment="1">
      <alignment horizontal="left"/>
    </xf>
    <xf numFmtId="49" fontId="13" fillId="35" borderId="0" xfId="0" applyNumberFormat="1" applyFont="1" applyFill="1" applyBorder="1" applyAlignment="1">
      <alignment horizontal="left"/>
    </xf>
    <xf numFmtId="1" fontId="13" fillId="35" borderId="0" xfId="0" applyNumberFormat="1" applyFont="1" applyFill="1" applyAlignment="1">
      <alignment horizontal="right"/>
    </xf>
    <xf numFmtId="166" fontId="12" fillId="47" borderId="0" xfId="272" applyNumberFormat="1" applyFill="1" applyAlignment="1">
      <alignment vertical="center"/>
    </xf>
    <xf numFmtId="9" fontId="12" fillId="50" borderId="14" xfId="178" applyFont="1" applyFill="1" applyBorder="1" applyAlignment="1">
      <alignment horizontal="right" vertical="top"/>
    </xf>
    <xf numFmtId="166" fontId="12" fillId="50" borderId="14" xfId="41" applyFont="1" applyFill="1" applyBorder="1" applyAlignment="1">
      <alignment vertical="top"/>
    </xf>
    <xf numFmtId="9" fontId="12" fillId="50" borderId="14" xfId="0" quotePrefix="1" applyNumberFormat="1" applyFont="1" applyFill="1" applyBorder="1" applyAlignment="1">
      <alignment vertical="top"/>
    </xf>
    <xf numFmtId="178" fontId="12" fillId="50" borderId="14" xfId="0" applyNumberFormat="1" applyFont="1" applyFill="1" applyBorder="1" applyAlignment="1">
      <alignment vertical="top"/>
    </xf>
    <xf numFmtId="0" fontId="22" fillId="35" borderId="0" xfId="0" applyFont="1" applyFill="1" applyBorder="1" applyAlignment="1">
      <alignment horizontal="left" vertical="top"/>
    </xf>
    <xf numFmtId="0" fontId="122" fillId="58" borderId="14" xfId="0" applyFont="1" applyFill="1" applyBorder="1" applyAlignment="1">
      <alignment horizontal="center" vertical="center"/>
    </xf>
    <xf numFmtId="0" fontId="122" fillId="58" borderId="38" xfId="321" applyFont="1" applyFill="1" applyBorder="1" applyAlignment="1">
      <alignment horizontal="left" vertical="top" wrapText="1"/>
    </xf>
    <xf numFmtId="0" fontId="122" fillId="58" borderId="32" xfId="321" applyFont="1" applyFill="1" applyBorder="1" applyAlignment="1">
      <alignment horizontal="left" vertical="top" wrapText="1"/>
    </xf>
    <xf numFmtId="175" fontId="13" fillId="35" borderId="0" xfId="0" applyNumberFormat="1" applyFont="1" applyFill="1" applyBorder="1" applyAlignment="1">
      <alignment horizontal="right"/>
    </xf>
    <xf numFmtId="14" fontId="13" fillId="50" borderId="113" xfId="0" applyNumberFormat="1" applyFont="1" applyFill="1" applyBorder="1" applyAlignment="1">
      <alignment horizontal="center" vertical="top"/>
    </xf>
    <xf numFmtId="10" fontId="12" fillId="50" borderId="113" xfId="0" applyNumberFormat="1" applyFont="1" applyFill="1" applyBorder="1" applyAlignment="1">
      <alignment horizontal="center" vertical="top"/>
    </xf>
    <xf numFmtId="0" fontId="12" fillId="50" borderId="113" xfId="0" applyFont="1" applyFill="1" applyBorder="1" applyAlignment="1">
      <alignment horizontal="center" vertical="top"/>
    </xf>
    <xf numFmtId="0" fontId="12" fillId="50" borderId="105" xfId="131" applyFont="1" applyFill="1" applyBorder="1" applyAlignment="1" applyProtection="1">
      <alignment horizontal="left" vertical="top" indent="1"/>
    </xf>
    <xf numFmtId="0" fontId="12" fillId="50" borderId="17" xfId="131" applyFont="1" applyFill="1" applyBorder="1" applyAlignment="1" applyProtection="1">
      <alignment horizontal="center" vertical="top" wrapText="1"/>
    </xf>
    <xf numFmtId="14" fontId="158" fillId="50" borderId="38" xfId="131" applyNumberFormat="1" applyFont="1" applyFill="1" applyBorder="1" applyAlignment="1" applyProtection="1">
      <alignment horizontal="center" vertical="top" wrapText="1"/>
    </xf>
    <xf numFmtId="10" fontId="12" fillId="50" borderId="106" xfId="272" applyNumberFormat="1" applyFill="1" applyBorder="1" applyAlignment="1">
      <alignment horizontal="center" vertical="top"/>
    </xf>
    <xf numFmtId="0" fontId="13" fillId="47" borderId="0" xfId="178" applyNumberFormat="1" applyFont="1" applyFill="1" applyAlignment="1">
      <alignment vertical="center"/>
    </xf>
    <xf numFmtId="178" fontId="12" fillId="47" borderId="14" xfId="41" applyNumberFormat="1" applyFont="1" applyFill="1" applyBorder="1" applyAlignment="1">
      <alignment vertical="center"/>
    </xf>
    <xf numFmtId="178" fontId="12" fillId="47" borderId="0" xfId="41" applyNumberFormat="1" applyFont="1" applyFill="1" applyAlignment="1">
      <alignment vertical="center"/>
    </xf>
    <xf numFmtId="178" fontId="12" fillId="47" borderId="0" xfId="56" applyNumberFormat="1" applyFont="1" applyFill="1" applyAlignment="1">
      <alignment vertical="center"/>
    </xf>
    <xf numFmtId="178" fontId="12" fillId="68" borderId="32" xfId="41" applyNumberFormat="1" applyFont="1" applyFill="1" applyBorder="1" applyAlignment="1">
      <alignment vertical="center"/>
    </xf>
    <xf numFmtId="178" fontId="12" fillId="68" borderId="38" xfId="41" applyNumberFormat="1" applyFont="1" applyFill="1" applyBorder="1" applyAlignment="1">
      <alignment vertical="center"/>
    </xf>
    <xf numFmtId="178" fontId="12" fillId="68" borderId="31" xfId="41" applyNumberFormat="1" applyFont="1" applyFill="1" applyBorder="1" applyAlignment="1">
      <alignment vertical="center"/>
    </xf>
    <xf numFmtId="178" fontId="12" fillId="68" borderId="262" xfId="41" applyNumberFormat="1" applyFont="1" applyFill="1" applyBorder="1" applyAlignment="1">
      <alignment vertical="center"/>
    </xf>
    <xf numFmtId="178" fontId="13" fillId="47" borderId="14" xfId="41" applyNumberFormat="1" applyFont="1" applyFill="1" applyBorder="1" applyAlignment="1">
      <alignment vertical="center"/>
    </xf>
    <xf numFmtId="178" fontId="13" fillId="41" borderId="14" xfId="41" applyNumberFormat="1" applyFont="1" applyFill="1" applyBorder="1" applyAlignment="1">
      <alignment vertical="center"/>
    </xf>
    <xf numFmtId="178" fontId="12" fillId="47" borderId="0" xfId="272" applyNumberFormat="1" applyFill="1" applyAlignment="1">
      <alignment vertical="center"/>
    </xf>
    <xf numFmtId="178" fontId="13" fillId="47" borderId="0" xfId="41" applyNumberFormat="1" applyFont="1" applyFill="1" applyBorder="1" applyAlignment="1">
      <alignment vertical="center"/>
    </xf>
    <xf numFmtId="178" fontId="12" fillId="41" borderId="14" xfId="41" applyNumberFormat="1" applyFont="1" applyFill="1" applyBorder="1" applyAlignment="1">
      <alignment vertical="center"/>
    </xf>
    <xf numFmtId="178" fontId="13" fillId="62" borderId="0" xfId="41" applyNumberFormat="1" applyFont="1" applyFill="1" applyBorder="1" applyAlignment="1">
      <alignment vertical="center"/>
    </xf>
    <xf numFmtId="178" fontId="12" fillId="62" borderId="0" xfId="41" applyNumberFormat="1" applyFont="1" applyFill="1" applyBorder="1" applyAlignment="1">
      <alignment horizontal="right" vertical="center"/>
    </xf>
    <xf numFmtId="178" fontId="12" fillId="62" borderId="0" xfId="41" applyNumberFormat="1" applyFill="1" applyAlignment="1">
      <alignment vertical="center"/>
    </xf>
    <xf numFmtId="178" fontId="12" fillId="62" borderId="263" xfId="41" applyNumberFormat="1" applyFont="1" applyFill="1" applyBorder="1" applyAlignment="1">
      <alignment vertical="center"/>
    </xf>
    <xf numFmtId="178" fontId="12" fillId="62" borderId="17" xfId="41" applyNumberFormat="1" applyFont="1" applyFill="1" applyBorder="1" applyAlignment="1">
      <alignment vertical="center"/>
    </xf>
    <xf numFmtId="178" fontId="12" fillId="62" borderId="0" xfId="178" applyNumberFormat="1" applyFont="1" applyFill="1" applyBorder="1" applyAlignment="1">
      <alignment vertical="center"/>
    </xf>
    <xf numFmtId="0" fontId="13" fillId="62" borderId="0" xfId="272" applyFont="1" applyFill="1" applyAlignment="1">
      <alignment horizontal="left" vertical="center" wrapText="1" indent="2"/>
    </xf>
    <xf numFmtId="178" fontId="12" fillId="47" borderId="0" xfId="41" applyNumberFormat="1" applyFill="1" applyAlignment="1">
      <alignment vertical="center"/>
    </xf>
    <xf numFmtId="178" fontId="12" fillId="62" borderId="0" xfId="41" applyNumberFormat="1" applyFont="1" applyFill="1" applyAlignment="1">
      <alignment vertical="center"/>
    </xf>
    <xf numFmtId="0" fontId="197" fillId="47" borderId="0" xfId="272" applyFont="1" applyFill="1" applyAlignment="1">
      <alignment vertical="center"/>
    </xf>
    <xf numFmtId="0" fontId="0" fillId="47" borderId="0" xfId="0" applyFill="1" applyAlignment="1">
      <alignment wrapText="1"/>
    </xf>
    <xf numFmtId="0" fontId="158" fillId="47" borderId="14" xfId="324" applyFont="1" applyFill="1" applyBorder="1"/>
    <xf numFmtId="0" fontId="13" fillId="35" borderId="0" xfId="272" applyFont="1" applyFill="1" applyBorder="1" applyAlignment="1">
      <alignment horizontal="center" wrapText="1"/>
    </xf>
    <xf numFmtId="9" fontId="13" fillId="58" borderId="14" xfId="178" applyFont="1" applyFill="1" applyBorder="1" applyAlignment="1">
      <alignment horizontal="center" vertical="center" wrapText="1"/>
    </xf>
    <xf numFmtId="0" fontId="27" fillId="47" borderId="0" xfId="131" applyNumberFormat="1" applyFill="1" applyAlignment="1" applyProtection="1">
      <alignment horizontal="left" vertical="center"/>
    </xf>
    <xf numFmtId="0" fontId="12" fillId="0" borderId="0" xfId="0" applyFont="1" applyAlignment="1">
      <alignment horizontal="right" vertical="top"/>
    </xf>
    <xf numFmtId="9" fontId="12" fillId="0" borderId="0" xfId="178" applyFont="1" applyAlignment="1">
      <alignment horizontal="left" vertical="top"/>
    </xf>
    <xf numFmtId="188" fontId="12" fillId="47" borderId="0" xfId="41" applyNumberFormat="1" applyFont="1" applyFill="1" applyBorder="1" applyAlignment="1"/>
    <xf numFmtId="188" fontId="186" fillId="47" borderId="0" xfId="41" applyNumberFormat="1" applyFont="1" applyFill="1" applyBorder="1" applyAlignment="1"/>
    <xf numFmtId="188" fontId="186" fillId="47" borderId="0" xfId="321" applyNumberFormat="1" applyFont="1" applyFill="1" applyBorder="1" applyAlignment="1" applyProtection="1">
      <protection locked="0"/>
    </xf>
    <xf numFmtId="164" fontId="186" fillId="47" borderId="0" xfId="41" applyNumberFormat="1" applyFont="1" applyFill="1" applyBorder="1" applyAlignment="1" applyProtection="1">
      <alignment horizontal="right"/>
      <protection locked="0"/>
    </xf>
    <xf numFmtId="178" fontId="186" fillId="47" borderId="0" xfId="41" applyNumberFormat="1" applyFont="1" applyFill="1" applyBorder="1" applyAlignment="1" applyProtection="1">
      <protection locked="0"/>
    </xf>
    <xf numFmtId="188" fontId="186" fillId="47" borderId="0" xfId="41" applyNumberFormat="1" applyFont="1" applyFill="1" applyBorder="1" applyAlignment="1" applyProtection="1">
      <protection locked="0"/>
    </xf>
    <xf numFmtId="40" fontId="12" fillId="47" borderId="22" xfId="308" applyNumberFormat="1" applyFont="1" applyFill="1" applyBorder="1"/>
    <xf numFmtId="40" fontId="12" fillId="47" borderId="18" xfId="308" applyNumberFormat="1" applyFont="1" applyFill="1" applyBorder="1"/>
    <xf numFmtId="40" fontId="12" fillId="47" borderId="26" xfId="308" applyNumberFormat="1" applyFont="1" applyFill="1" applyBorder="1"/>
    <xf numFmtId="38" fontId="12" fillId="47" borderId="244" xfId="308" applyNumberFormat="1" applyFont="1" applyFill="1" applyBorder="1"/>
    <xf numFmtId="10" fontId="12" fillId="47" borderId="0" xfId="178" applyNumberFormat="1" applyFont="1" applyFill="1" applyBorder="1"/>
    <xf numFmtId="38" fontId="12" fillId="47" borderId="0" xfId="308" applyNumberFormat="1" applyFont="1" applyFill="1" applyBorder="1"/>
    <xf numFmtId="10" fontId="12" fillId="47" borderId="24" xfId="178" applyNumberFormat="1" applyFont="1" applyFill="1" applyBorder="1"/>
    <xf numFmtId="38" fontId="12" fillId="47" borderId="25" xfId="308" applyNumberFormat="1" applyFont="1" applyFill="1" applyBorder="1"/>
    <xf numFmtId="10" fontId="12" fillId="47" borderId="263" xfId="178" applyNumberFormat="1" applyFont="1" applyFill="1" applyBorder="1"/>
    <xf numFmtId="38" fontId="12" fillId="47" borderId="263" xfId="308" applyNumberFormat="1" applyFont="1" applyFill="1" applyBorder="1"/>
    <xf numFmtId="10" fontId="12" fillId="47" borderId="262" xfId="178" applyNumberFormat="1" applyFont="1" applyFill="1" applyBorder="1"/>
    <xf numFmtId="166" fontId="12" fillId="58" borderId="14" xfId="41" applyFont="1" applyFill="1" applyBorder="1" applyAlignment="1">
      <alignment vertical="center"/>
    </xf>
    <xf numFmtId="0" fontId="13" fillId="47" borderId="0" xfId="308" applyFont="1" applyFill="1" applyBorder="1" applyAlignment="1">
      <alignment horizontal="center"/>
    </xf>
    <xf numFmtId="0" fontId="14" fillId="47" borderId="0" xfId="0" applyFont="1" applyFill="1" applyBorder="1" applyAlignment="1">
      <alignment horizontal="right"/>
    </xf>
    <xf numFmtId="9" fontId="12" fillId="47" borderId="0" xfId="178" applyFont="1" applyFill="1" applyBorder="1"/>
    <xf numFmtId="177" fontId="12" fillId="47" borderId="0" xfId="178" applyNumberFormat="1" applyFont="1" applyFill="1" applyBorder="1"/>
    <xf numFmtId="240" fontId="12" fillId="58" borderId="14" xfId="321" applyNumberFormat="1" applyFont="1" applyFill="1" applyBorder="1" applyAlignment="1" applyProtection="1">
      <protection locked="0"/>
    </xf>
    <xf numFmtId="188" fontId="12" fillId="58" borderId="14" xfId="41" applyNumberFormat="1" applyFont="1" applyFill="1" applyBorder="1" applyAlignment="1" applyProtection="1">
      <protection locked="0"/>
    </xf>
    <xf numFmtId="188" fontId="12" fillId="58" borderId="14" xfId="321" applyNumberFormat="1" applyFont="1" applyFill="1" applyBorder="1" applyAlignment="1" applyProtection="1">
      <protection locked="0"/>
    </xf>
    <xf numFmtId="0" fontId="12" fillId="47" borderId="14" xfId="0" applyFont="1" applyFill="1" applyBorder="1" applyAlignment="1">
      <alignment horizontal="right"/>
    </xf>
    <xf numFmtId="0" fontId="12" fillId="47" borderId="25" xfId="0" applyFont="1" applyFill="1" applyBorder="1" applyAlignment="1">
      <alignment horizontal="right"/>
    </xf>
    <xf numFmtId="0" fontId="12" fillId="69" borderId="298" xfId="272" applyFill="1" applyBorder="1" applyAlignment="1">
      <alignment vertical="center"/>
    </xf>
    <xf numFmtId="0" fontId="12" fillId="69" borderId="299" xfId="272" applyFill="1" applyBorder="1" applyAlignment="1">
      <alignment vertical="center"/>
    </xf>
    <xf numFmtId="0" fontId="12" fillId="69" borderId="300" xfId="272" applyFill="1" applyBorder="1" applyAlignment="1">
      <alignment vertical="center"/>
    </xf>
    <xf numFmtId="178" fontId="12" fillId="0" borderId="0" xfId="41" applyNumberFormat="1" applyFont="1" applyFill="1" applyBorder="1" applyAlignment="1">
      <alignment horizontal="left" vertical="top" wrapText="1"/>
    </xf>
    <xf numFmtId="0" fontId="13" fillId="0" borderId="0" xfId="272" applyFont="1" applyFill="1" applyAlignment="1">
      <alignment horizontal="right" vertical="center"/>
    </xf>
    <xf numFmtId="0" fontId="12" fillId="0" borderId="0" xfId="321" applyNumberFormat="1" applyFont="1" applyFill="1" applyBorder="1" applyAlignment="1">
      <alignment vertical="center"/>
    </xf>
    <xf numFmtId="14" fontId="12" fillId="0" borderId="0" xfId="321" applyNumberFormat="1" applyFont="1" applyFill="1" applyBorder="1" applyAlignment="1">
      <alignment vertical="center"/>
    </xf>
    <xf numFmtId="0" fontId="12" fillId="0" borderId="0" xfId="272" applyFill="1" applyAlignment="1">
      <alignment vertical="top"/>
    </xf>
    <xf numFmtId="0" fontId="183" fillId="0" borderId="0" xfId="0" applyFont="1" applyAlignment="1">
      <alignment vertical="top"/>
    </xf>
    <xf numFmtId="0" fontId="183" fillId="0" borderId="0" xfId="195" applyFont="1" applyAlignment="1">
      <alignment vertical="top"/>
    </xf>
    <xf numFmtId="0" fontId="183" fillId="0" borderId="0" xfId="0" applyFont="1" applyAlignment="1">
      <alignment vertical="top" wrapText="1"/>
    </xf>
    <xf numFmtId="0" fontId="198" fillId="47" borderId="0" xfId="272" applyFont="1" applyFill="1" applyAlignment="1">
      <alignment vertical="center"/>
    </xf>
    <xf numFmtId="178" fontId="12" fillId="0" borderId="0" xfId="272" applyNumberFormat="1" applyFill="1" applyAlignment="1">
      <alignment vertical="center"/>
    </xf>
    <xf numFmtId="0" fontId="12" fillId="0" borderId="0" xfId="272" applyFill="1" applyAlignment="1">
      <alignment vertical="center"/>
    </xf>
    <xf numFmtId="0" fontId="13" fillId="0" borderId="0" xfId="272" applyFont="1" applyFill="1" applyAlignment="1">
      <alignment vertical="center"/>
    </xf>
    <xf numFmtId="0" fontId="12" fillId="0" borderId="0" xfId="178" applyNumberFormat="1" applyFont="1" applyFill="1" applyAlignment="1">
      <alignment vertical="center"/>
    </xf>
    <xf numFmtId="0" fontId="12" fillId="0" borderId="0" xfId="56" applyNumberFormat="1" applyFont="1" applyFill="1" applyAlignment="1">
      <alignment vertical="center"/>
    </xf>
    <xf numFmtId="0" fontId="12" fillId="0" borderId="0" xfId="272" applyFill="1"/>
    <xf numFmtId="0" fontId="12" fillId="58" borderId="14" xfId="321" applyFont="1" applyFill="1" applyBorder="1" applyAlignment="1">
      <alignment horizontal="center"/>
    </xf>
    <xf numFmtId="0" fontId="158" fillId="47" borderId="0" xfId="0" applyFont="1" applyFill="1"/>
    <xf numFmtId="0" fontId="13" fillId="47" borderId="0" xfId="0" applyFont="1" applyFill="1" applyAlignment="1">
      <alignment horizontal="right"/>
    </xf>
    <xf numFmtId="0" fontId="13" fillId="47" borderId="0" xfId="321" applyNumberFormat="1" applyFont="1" applyFill="1" applyBorder="1" applyAlignment="1">
      <alignment horizontal="center"/>
    </xf>
    <xf numFmtId="0" fontId="12" fillId="47" borderId="0" xfId="321" applyFont="1" applyFill="1" applyBorder="1" applyAlignment="1">
      <alignment horizontal="center"/>
    </xf>
    <xf numFmtId="14" fontId="12" fillId="47" borderId="0" xfId="321" applyNumberFormat="1" applyFont="1" applyFill="1" applyBorder="1" applyAlignment="1">
      <alignment horizontal="center"/>
    </xf>
    <xf numFmtId="0" fontId="12" fillId="47" borderId="0" xfId="327" applyNumberFormat="1" applyFont="1" applyFill="1" applyAlignment="1" applyProtection="1">
      <alignment horizontal="right" vertical="center"/>
    </xf>
    <xf numFmtId="0" fontId="199" fillId="47" borderId="0" xfId="0" applyFont="1" applyFill="1"/>
    <xf numFmtId="0" fontId="164" fillId="47" borderId="0" xfId="329" applyFont="1" applyFill="1"/>
    <xf numFmtId="0" fontId="158" fillId="47" borderId="0" xfId="329" applyFont="1" applyFill="1"/>
    <xf numFmtId="0" fontId="164" fillId="47" borderId="0" xfId="0" applyFont="1" applyFill="1"/>
    <xf numFmtId="0" fontId="39" fillId="47" borderId="0" xfId="131" applyFont="1" applyFill="1" applyAlignment="1" applyProtection="1"/>
    <xf numFmtId="0" fontId="12" fillId="58" borderId="14" xfId="321" applyFont="1" applyFill="1" applyBorder="1" applyAlignment="1">
      <alignment horizontal="center"/>
    </xf>
    <xf numFmtId="0" fontId="12" fillId="58" borderId="14" xfId="321" applyFont="1" applyFill="1" applyBorder="1" applyAlignment="1">
      <alignment horizontal="center"/>
    </xf>
    <xf numFmtId="0" fontId="27" fillId="0" borderId="0" xfId="131" applyFill="1" applyBorder="1" applyAlignment="1" applyProtection="1">
      <alignment horizontal="left" indent="2"/>
    </xf>
    <xf numFmtId="0" fontId="164" fillId="47" borderId="0" xfId="0" applyFont="1" applyFill="1" applyAlignment="1">
      <alignment horizontal="center" vertical="center" wrapText="1"/>
    </xf>
    <xf numFmtId="0" fontId="39" fillId="0" borderId="0" xfId="131" applyFont="1" applyFill="1" applyAlignment="1" applyProtection="1"/>
    <xf numFmtId="0" fontId="19" fillId="0" borderId="0" xfId="0" applyFont="1" applyFill="1" applyAlignment="1">
      <alignment horizontal="center" vertical="top"/>
    </xf>
    <xf numFmtId="0" fontId="27" fillId="35" borderId="0" xfId="131" applyFill="1" applyBorder="1" applyAlignment="1" applyProtection="1">
      <alignment horizontal="right" vertical="top"/>
    </xf>
    <xf numFmtId="0" fontId="13" fillId="35" borderId="0" xfId="0" applyFont="1" applyFill="1" applyBorder="1" applyAlignment="1">
      <alignment horizontal="center"/>
    </xf>
    <xf numFmtId="0" fontId="14" fillId="0" borderId="296" xfId="0" applyFont="1" applyFill="1" applyBorder="1" applyAlignment="1">
      <alignment vertical="top"/>
    </xf>
    <xf numFmtId="0" fontId="12" fillId="0" borderId="29" xfId="0" applyFont="1" applyFill="1" applyBorder="1" applyAlignment="1">
      <alignment vertical="top"/>
    </xf>
    <xf numFmtId="0" fontId="12" fillId="0" borderId="31" xfId="0" applyFont="1" applyFill="1" applyBorder="1" applyAlignment="1">
      <alignment vertical="top"/>
    </xf>
    <xf numFmtId="0" fontId="29" fillId="0" borderId="296" xfId="131" applyFont="1" applyFill="1" applyBorder="1" applyAlignment="1" applyProtection="1">
      <alignment horizontal="center" vertical="top"/>
    </xf>
    <xf numFmtId="170" fontId="19" fillId="50" borderId="29" xfId="0" applyNumberFormat="1" applyFont="1" applyFill="1" applyBorder="1" applyAlignment="1">
      <alignment horizontal="center" vertical="top"/>
    </xf>
    <xf numFmtId="10" fontId="19" fillId="50" borderId="29" xfId="178" applyNumberFormat="1" applyFont="1" applyFill="1" applyBorder="1" applyAlignment="1">
      <alignment horizontal="center" vertical="top"/>
    </xf>
    <xf numFmtId="10" fontId="19" fillId="50" borderId="31" xfId="178" applyNumberFormat="1" applyFont="1" applyFill="1" applyBorder="1" applyAlignment="1">
      <alignment horizontal="center" vertical="top"/>
    </xf>
    <xf numFmtId="178" fontId="12" fillId="0" borderId="0" xfId="41" applyNumberFormat="1" applyFont="1" applyFill="1"/>
    <xf numFmtId="10" fontId="19" fillId="0" borderId="0" xfId="178" applyNumberFormat="1" applyFont="1" applyFill="1" applyBorder="1"/>
    <xf numFmtId="10" fontId="196" fillId="0" borderId="0" xfId="41" applyNumberFormat="1" applyFont="1" applyFill="1" applyAlignment="1">
      <alignment horizontal="right"/>
    </xf>
    <xf numFmtId="10" fontId="12" fillId="0" borderId="0" xfId="178" applyNumberFormat="1" applyFont="1" applyFill="1" applyBorder="1"/>
    <xf numFmtId="178" fontId="19" fillId="55" borderId="0" xfId="41" applyNumberFormat="1" applyFont="1" applyFill="1" applyBorder="1"/>
    <xf numFmtId="178" fontId="19" fillId="0" borderId="0" xfId="41" applyNumberFormat="1" applyFont="1" applyFill="1"/>
    <xf numFmtId="178" fontId="19" fillId="0" borderId="17" xfId="41" applyNumberFormat="1" applyFont="1" applyFill="1" applyBorder="1" applyAlignment="1">
      <alignment vertical="center"/>
    </xf>
    <xf numFmtId="178" fontId="19" fillId="55" borderId="20" xfId="41" applyNumberFormat="1" applyFont="1" applyFill="1" applyBorder="1"/>
    <xf numFmtId="178" fontId="12" fillId="55" borderId="0" xfId="41" applyNumberFormat="1" applyFont="1" applyFill="1" applyBorder="1"/>
    <xf numFmtId="178" fontId="12" fillId="47" borderId="0" xfId="41" applyNumberFormat="1" applyFont="1" applyFill="1" applyBorder="1"/>
    <xf numFmtId="178" fontId="13" fillId="0" borderId="17" xfId="41" applyNumberFormat="1" applyFont="1" applyFill="1" applyBorder="1" applyAlignment="1">
      <alignment vertical="center"/>
    </xf>
    <xf numFmtId="178" fontId="12" fillId="0" borderId="0" xfId="41" applyNumberFormat="1" applyFont="1" applyFill="1" applyBorder="1"/>
    <xf numFmtId="178" fontId="12" fillId="0" borderId="0" xfId="41" applyNumberFormat="1" applyFont="1"/>
    <xf numFmtId="178" fontId="12" fillId="0" borderId="17" xfId="41" applyNumberFormat="1" applyFont="1" applyBorder="1" applyAlignment="1">
      <alignment vertical="center"/>
    </xf>
    <xf numFmtId="178" fontId="12" fillId="55" borderId="263" xfId="41" applyNumberFormat="1" applyFont="1" applyFill="1" applyBorder="1"/>
    <xf numFmtId="178" fontId="12" fillId="0" borderId="17" xfId="41" applyNumberFormat="1" applyFont="1" applyBorder="1"/>
    <xf numFmtId="10" fontId="19" fillId="0" borderId="26" xfId="178" applyNumberFormat="1" applyFont="1" applyFill="1" applyBorder="1" applyAlignment="1">
      <alignment horizontal="center" vertical="top"/>
    </xf>
    <xf numFmtId="10" fontId="19" fillId="0" borderId="24" xfId="178" applyNumberFormat="1" applyFont="1" applyFill="1" applyBorder="1" applyAlignment="1">
      <alignment horizontal="center" vertical="top"/>
    </xf>
    <xf numFmtId="10" fontId="12" fillId="47" borderId="24" xfId="178" applyNumberFormat="1" applyFont="1" applyFill="1" applyBorder="1" applyAlignment="1">
      <alignment horizontal="center" vertical="top"/>
    </xf>
    <xf numFmtId="0" fontId="19" fillId="0" borderId="18" xfId="0" applyFont="1" applyFill="1" applyBorder="1" applyAlignment="1">
      <alignment horizontal="center" vertical="top"/>
    </xf>
    <xf numFmtId="0" fontId="19" fillId="0" borderId="0" xfId="0" applyFont="1" applyFill="1" applyBorder="1" applyAlignment="1">
      <alignment horizontal="center" vertical="top"/>
    </xf>
    <xf numFmtId="0" fontId="12" fillId="47" borderId="0" xfId="0" applyFont="1" applyFill="1" applyBorder="1" applyAlignment="1">
      <alignment horizontal="center" vertical="top"/>
    </xf>
    <xf numFmtId="0" fontId="13" fillId="0" borderId="32" xfId="0" applyFont="1" applyBorder="1" applyAlignment="1">
      <alignment horizontal="center" vertical="top"/>
    </xf>
    <xf numFmtId="0" fontId="13" fillId="0" borderId="38" xfId="0" applyFont="1" applyBorder="1" applyAlignment="1">
      <alignment horizontal="center" vertical="top"/>
    </xf>
    <xf numFmtId="0" fontId="27" fillId="0" borderId="0" xfId="131" applyFill="1" applyBorder="1" applyAlignment="1" applyProtection="1">
      <alignment horizontal="left" vertical="center"/>
    </xf>
    <xf numFmtId="0" fontId="27" fillId="0" borderId="0" xfId="131" applyFill="1" applyBorder="1" applyAlignment="1" applyProtection="1">
      <alignment horizontal="right" vertical="center"/>
    </xf>
    <xf numFmtId="0" fontId="19" fillId="58" borderId="210" xfId="321" applyFont="1" applyFill="1" applyBorder="1" applyAlignment="1">
      <alignment horizontal="center"/>
    </xf>
    <xf numFmtId="0" fontId="19" fillId="58" borderId="215" xfId="321" applyNumberFormat="1" applyFont="1" applyFill="1" applyBorder="1" applyAlignment="1">
      <alignment vertical="center"/>
    </xf>
    <xf numFmtId="0" fontId="19" fillId="58" borderId="191" xfId="321" applyNumberFormat="1" applyFont="1" applyFill="1" applyBorder="1" applyAlignment="1">
      <alignment vertical="center"/>
    </xf>
    <xf numFmtId="0" fontId="23" fillId="58" borderId="188" xfId="321" applyNumberFormat="1" applyFont="1" applyFill="1" applyBorder="1" applyAlignment="1" applyProtection="1">
      <protection locked="0"/>
    </xf>
    <xf numFmtId="0" fontId="23" fillId="58" borderId="219" xfId="321" applyNumberFormat="1" applyFont="1" applyFill="1" applyBorder="1" applyAlignment="1" applyProtection="1">
      <alignment horizontal="center"/>
      <protection locked="0"/>
    </xf>
    <xf numFmtId="216" fontId="23" fillId="58" borderId="189" xfId="321" applyNumberFormat="1" applyFont="1" applyFill="1" applyBorder="1" applyAlignment="1" applyProtection="1">
      <alignment horizontal="center"/>
      <protection locked="0"/>
    </xf>
    <xf numFmtId="0" fontId="23" fillId="58" borderId="232" xfId="321" applyNumberFormat="1" applyFont="1" applyFill="1" applyBorder="1" applyAlignment="1" applyProtection="1">
      <protection locked="0"/>
    </xf>
    <xf numFmtId="0" fontId="23" fillId="58" borderId="192" xfId="321" applyNumberFormat="1" applyFont="1" applyFill="1" applyBorder="1" applyAlignment="1" applyProtection="1">
      <alignment horizontal="center"/>
      <protection locked="0"/>
    </xf>
    <xf numFmtId="216" fontId="23" fillId="58" borderId="209" xfId="321" applyNumberFormat="1" applyFont="1" applyFill="1" applyBorder="1" applyAlignment="1" applyProtection="1">
      <alignment horizontal="center"/>
      <protection locked="0"/>
    </xf>
    <xf numFmtId="0" fontId="23" fillId="58" borderId="232" xfId="321" applyFont="1" applyFill="1" applyBorder="1" applyAlignment="1" applyProtection="1">
      <alignment wrapText="1"/>
      <protection locked="0"/>
    </xf>
    <xf numFmtId="1" fontId="23" fillId="58" borderId="192" xfId="321" applyNumberFormat="1" applyFont="1" applyFill="1" applyBorder="1" applyAlignment="1" applyProtection="1">
      <alignment horizontal="center"/>
      <protection locked="0"/>
    </xf>
    <xf numFmtId="216" fontId="23" fillId="58" borderId="209" xfId="321" applyNumberFormat="1" applyFont="1" applyFill="1" applyBorder="1" applyProtection="1">
      <protection locked="0"/>
    </xf>
    <xf numFmtId="166" fontId="23" fillId="58" borderId="188" xfId="321" applyNumberFormat="1" applyFont="1" applyFill="1" applyBorder="1" applyProtection="1">
      <protection locked="0"/>
    </xf>
    <xf numFmtId="166" fontId="23" fillId="58" borderId="212" xfId="321" applyNumberFormat="1" applyFont="1" applyFill="1" applyBorder="1" applyProtection="1">
      <protection locked="0"/>
    </xf>
    <xf numFmtId="166" fontId="31" fillId="58" borderId="197" xfId="321" applyNumberFormat="1" applyFont="1" applyFill="1" applyBorder="1" applyProtection="1">
      <protection locked="0"/>
    </xf>
    <xf numFmtId="166" fontId="23" fillId="58" borderId="232" xfId="321" applyNumberFormat="1" applyFont="1" applyFill="1" applyBorder="1" applyProtection="1">
      <protection locked="0"/>
    </xf>
    <xf numFmtId="166" fontId="23" fillId="58" borderId="214" xfId="321" applyNumberFormat="1" applyFont="1" applyFill="1" applyBorder="1" applyProtection="1">
      <protection locked="0"/>
    </xf>
    <xf numFmtId="166" fontId="31" fillId="58" borderId="198" xfId="321" applyNumberFormat="1" applyFont="1" applyFill="1" applyBorder="1" applyProtection="1">
      <protection locked="0"/>
    </xf>
    <xf numFmtId="166" fontId="23" fillId="58" borderId="190" xfId="321" applyNumberFormat="1" applyFont="1" applyFill="1" applyBorder="1" applyProtection="1">
      <protection locked="0"/>
    </xf>
    <xf numFmtId="166" fontId="23" fillId="58" borderId="217" xfId="321" applyNumberFormat="1" applyFont="1" applyFill="1" applyBorder="1" applyProtection="1">
      <protection locked="0"/>
    </xf>
    <xf numFmtId="166" fontId="31" fillId="58" borderId="199" xfId="321" applyNumberFormat="1" applyFont="1" applyFill="1" applyBorder="1" applyProtection="1">
      <protection locked="0"/>
    </xf>
    <xf numFmtId="0" fontId="0" fillId="68" borderId="0" xfId="321" applyFont="1" applyFill="1" applyBorder="1"/>
    <xf numFmtId="178" fontId="12" fillId="68" borderId="0" xfId="41" applyNumberFormat="1" applyFont="1" applyFill="1" applyBorder="1"/>
    <xf numFmtId="200" fontId="13" fillId="47" borderId="0" xfId="41" applyNumberFormat="1" applyFont="1" applyFill="1" applyBorder="1" applyAlignment="1">
      <alignment horizontal="right"/>
    </xf>
    <xf numFmtId="200" fontId="12" fillId="47" borderId="0" xfId="41" applyNumberFormat="1" applyFont="1" applyFill="1" applyBorder="1" applyAlignment="1">
      <alignment horizontal="right"/>
    </xf>
    <xf numFmtId="0" fontId="12" fillId="47" borderId="0" xfId="148" quotePrefix="1" applyFont="1" applyFill="1" applyBorder="1" applyAlignment="1">
      <alignment horizontal="right"/>
    </xf>
    <xf numFmtId="0" fontId="12" fillId="47" borderId="0" xfId="148" quotePrefix="1" applyFont="1" applyFill="1" applyAlignment="1">
      <alignment horizontal="right"/>
    </xf>
    <xf numFmtId="0" fontId="27" fillId="35" borderId="0" xfId="131" applyFill="1" applyBorder="1" applyAlignment="1" applyProtection="1">
      <alignment vertical="top"/>
      <protection locked="0"/>
    </xf>
    <xf numFmtId="0" fontId="12" fillId="47" borderId="0" xfId="317" applyFill="1" applyAlignment="1">
      <alignment horizontal="left"/>
    </xf>
    <xf numFmtId="178" fontId="12" fillId="58" borderId="0" xfId="272" applyNumberFormat="1" applyFill="1" applyAlignment="1">
      <alignment vertical="center"/>
    </xf>
    <xf numFmtId="0" fontId="13" fillId="58" borderId="0" xfId="272" applyFont="1" applyFill="1" applyAlignment="1">
      <alignment vertical="center"/>
    </xf>
    <xf numFmtId="0" fontId="12" fillId="58" borderId="0" xfId="272" applyFill="1" applyAlignment="1">
      <alignment vertical="center"/>
    </xf>
    <xf numFmtId="0" fontId="126" fillId="0" borderId="0" xfId="0" applyFont="1" applyFill="1" applyBorder="1" applyAlignment="1">
      <alignment vertical="center"/>
    </xf>
    <xf numFmtId="178" fontId="125" fillId="0" borderId="0" xfId="0" applyNumberFormat="1" applyFont="1" applyFill="1"/>
    <xf numFmtId="178" fontId="125" fillId="58" borderId="0" xfId="0" applyNumberFormat="1" applyFont="1" applyFill="1"/>
    <xf numFmtId="0" fontId="12" fillId="58" borderId="14" xfId="321" applyFont="1" applyFill="1" applyBorder="1" applyAlignment="1">
      <alignment horizontal="center"/>
    </xf>
    <xf numFmtId="0" fontId="12" fillId="58" borderId="14" xfId="321" applyFont="1" applyFill="1" applyBorder="1" applyAlignment="1">
      <alignment horizontal="center"/>
    </xf>
    <xf numFmtId="0" fontId="13" fillId="0" borderId="0" xfId="0" applyFont="1" applyFill="1" applyBorder="1" applyAlignment="1">
      <alignment horizontal="left"/>
    </xf>
    <xf numFmtId="0" fontId="13" fillId="0" borderId="0" xfId="0" applyFont="1" applyFill="1" applyBorder="1" applyAlignment="1">
      <alignment horizontal="center"/>
    </xf>
    <xf numFmtId="0" fontId="13" fillId="35" borderId="0" xfId="0" applyFont="1" applyFill="1" applyAlignment="1">
      <alignment horizontal="center"/>
    </xf>
    <xf numFmtId="0" fontId="18" fillId="0" borderId="0" xfId="0" applyFont="1" applyAlignment="1">
      <alignment horizontal="center"/>
    </xf>
    <xf numFmtId="0" fontId="18" fillId="58" borderId="14" xfId="56" applyNumberFormat="1" applyFont="1" applyFill="1" applyBorder="1" applyAlignment="1">
      <alignment horizontal="right"/>
    </xf>
    <xf numFmtId="49" fontId="13" fillId="0" borderId="0" xfId="0" applyNumberFormat="1" applyFont="1" applyAlignment="1">
      <alignment horizontal="center"/>
    </xf>
    <xf numFmtId="0" fontId="12" fillId="58" borderId="188" xfId="0" applyFont="1" applyFill="1" applyBorder="1" applyAlignment="1">
      <alignment horizontal="center"/>
    </xf>
    <xf numFmtId="173" fontId="12" fillId="58" borderId="189" xfId="0" applyNumberFormat="1" applyFont="1" applyFill="1" applyBorder="1" applyAlignment="1">
      <alignment horizontal="center"/>
    </xf>
    <xf numFmtId="0" fontId="12" fillId="58" borderId="190" xfId="0" applyFont="1" applyFill="1" applyBorder="1" applyAlignment="1">
      <alignment horizontal="center"/>
    </xf>
    <xf numFmtId="173" fontId="12" fillId="58" borderId="191" xfId="0" applyNumberFormat="1" applyFont="1" applyFill="1" applyBorder="1" applyAlignment="1">
      <alignment horizontal="center"/>
    </xf>
    <xf numFmtId="0" fontId="14" fillId="0" borderId="22" xfId="0" applyFont="1" applyBorder="1"/>
    <xf numFmtId="0" fontId="12" fillId="0" borderId="18" xfId="0" applyFont="1" applyBorder="1"/>
    <xf numFmtId="165" fontId="12" fillId="0" borderId="18" xfId="56" applyFont="1" applyFill="1" applyBorder="1"/>
    <xf numFmtId="165" fontId="12" fillId="0" borderId="18" xfId="56" applyFont="1" applyFill="1" applyBorder="1" applyAlignment="1">
      <alignment horizontal="center"/>
    </xf>
    <xf numFmtId="0" fontId="12" fillId="0" borderId="26" xfId="0" applyFont="1" applyBorder="1"/>
    <xf numFmtId="0" fontId="13" fillId="0" borderId="244" xfId="0" applyFont="1" applyBorder="1"/>
    <xf numFmtId="174" fontId="12" fillId="58" borderId="296" xfId="0" applyNumberFormat="1" applyFont="1" applyFill="1" applyBorder="1"/>
    <xf numFmtId="166" fontId="12" fillId="58" borderId="296" xfId="56" applyNumberFormat="1" applyFont="1" applyFill="1" applyBorder="1"/>
    <xf numFmtId="166" fontId="12" fillId="0" borderId="0" xfId="56" applyNumberFormat="1" applyFont="1" applyFill="1" applyBorder="1"/>
    <xf numFmtId="0" fontId="12" fillId="58" borderId="197" xfId="0" applyFont="1" applyFill="1" applyBorder="1" applyAlignment="1">
      <alignment horizontal="center"/>
    </xf>
    <xf numFmtId="0" fontId="12" fillId="58" borderId="296" xfId="0" applyFont="1" applyFill="1" applyBorder="1" applyAlignment="1">
      <alignment horizontal="center"/>
    </xf>
    <xf numFmtId="174" fontId="12" fillId="58" borderId="198" xfId="0" applyNumberFormat="1" applyFont="1" applyFill="1" applyBorder="1"/>
    <xf numFmtId="166" fontId="12" fillId="58" borderId="198" xfId="56" applyNumberFormat="1" applyFont="1" applyFill="1" applyBorder="1"/>
    <xf numFmtId="0" fontId="12" fillId="58" borderId="198" xfId="0" applyFont="1" applyFill="1" applyBorder="1" applyAlignment="1">
      <alignment horizontal="center"/>
    </xf>
    <xf numFmtId="0" fontId="12" fillId="58" borderId="195" xfId="0" applyFont="1" applyFill="1" applyBorder="1" applyAlignment="1">
      <alignment horizontal="left"/>
    </xf>
    <xf numFmtId="0" fontId="12" fillId="58" borderId="196" xfId="0" applyFont="1" applyFill="1" applyBorder="1" applyAlignment="1">
      <alignment horizontal="left"/>
    </xf>
    <xf numFmtId="174" fontId="12" fillId="58" borderId="192" xfId="0" applyNumberFormat="1" applyFont="1" applyFill="1" applyBorder="1"/>
    <xf numFmtId="166" fontId="12" fillId="58" borderId="192" xfId="56" applyNumberFormat="1" applyFont="1" applyFill="1" applyBorder="1"/>
    <xf numFmtId="166" fontId="12" fillId="58" borderId="209" xfId="56" applyNumberFormat="1" applyFont="1" applyFill="1" applyBorder="1"/>
    <xf numFmtId="0" fontId="12" fillId="58" borderId="232" xfId="0" applyFont="1" applyFill="1" applyBorder="1" applyAlignment="1">
      <alignment horizontal="center"/>
    </xf>
    <xf numFmtId="223" fontId="12" fillId="58" borderId="192" xfId="0" applyNumberFormat="1" applyFont="1" applyFill="1" applyBorder="1"/>
    <xf numFmtId="223" fontId="12" fillId="58" borderId="209" xfId="41" applyNumberFormat="1" applyFont="1" applyFill="1" applyBorder="1" applyAlignment="1"/>
    <xf numFmtId="0" fontId="12" fillId="58" borderId="192" xfId="0" applyFont="1" applyFill="1" applyBorder="1" applyAlignment="1">
      <alignment horizontal="center"/>
    </xf>
    <xf numFmtId="0" fontId="12" fillId="58" borderId="209" xfId="0" applyFont="1" applyFill="1" applyBorder="1" applyAlignment="1">
      <alignment horizontal="center"/>
    </xf>
    <xf numFmtId="165" fontId="12" fillId="0" borderId="0" xfId="56" applyFont="1" applyFill="1" applyBorder="1"/>
    <xf numFmtId="0" fontId="12" fillId="0" borderId="25" xfId="0" applyFont="1" applyBorder="1"/>
    <xf numFmtId="0" fontId="12" fillId="0" borderId="263" xfId="0" applyFont="1" applyBorder="1"/>
    <xf numFmtId="165" fontId="12" fillId="0" borderId="263" xfId="56" applyFont="1" applyFill="1" applyBorder="1"/>
    <xf numFmtId="165" fontId="12" fillId="0" borderId="263" xfId="56" applyFont="1" applyFill="1" applyBorder="1" applyAlignment="1">
      <alignment horizontal="center"/>
    </xf>
    <xf numFmtId="0" fontId="12" fillId="0" borderId="0" xfId="56" applyNumberFormat="1" applyFont="1" applyFill="1" applyBorder="1"/>
    <xf numFmtId="0" fontId="12" fillId="58" borderId="296" xfId="0" applyFont="1" applyFill="1" applyBorder="1"/>
    <xf numFmtId="180" fontId="12" fillId="58" borderId="296" xfId="41" applyNumberFormat="1" applyFont="1" applyFill="1" applyBorder="1" applyAlignment="1">
      <alignment horizontal="center"/>
    </xf>
    <xf numFmtId="180" fontId="12" fillId="58" borderId="296" xfId="56" applyNumberFormat="1" applyFont="1" applyFill="1" applyBorder="1" applyAlignment="1">
      <alignment horizontal="center"/>
    </xf>
    <xf numFmtId="223" fontId="12" fillId="0" borderId="0" xfId="56" applyNumberFormat="1" applyFont="1" applyFill="1" applyBorder="1" applyAlignment="1">
      <alignment horizontal="right"/>
    </xf>
    <xf numFmtId="166" fontId="12" fillId="0" borderId="0" xfId="56" applyNumberFormat="1" applyFont="1" applyFill="1" applyBorder="1" applyAlignment="1">
      <alignment horizontal="right"/>
    </xf>
    <xf numFmtId="0" fontId="12" fillId="58" borderId="198" xfId="0" applyFont="1" applyFill="1" applyBorder="1"/>
    <xf numFmtId="180" fontId="12" fillId="58" borderId="198" xfId="41" applyNumberFormat="1" applyFont="1" applyFill="1" applyBorder="1" applyAlignment="1">
      <alignment horizontal="center"/>
    </xf>
    <xf numFmtId="180" fontId="12" fillId="58" borderId="198" xfId="56" applyNumberFormat="1" applyFont="1" applyFill="1" applyBorder="1" applyAlignment="1">
      <alignment horizontal="center"/>
    </xf>
    <xf numFmtId="0" fontId="12" fillId="58" borderId="31" xfId="0" applyFont="1" applyFill="1" applyBorder="1"/>
    <xf numFmtId="174" fontId="12" fillId="58" borderId="31" xfId="0" applyNumberFormat="1" applyFont="1" applyFill="1" applyBorder="1"/>
    <xf numFmtId="180" fontId="12" fillId="58" borderId="31" xfId="41" applyNumberFormat="1" applyFont="1" applyFill="1" applyBorder="1" applyAlignment="1">
      <alignment horizontal="center"/>
    </xf>
    <xf numFmtId="166" fontId="12" fillId="58" borderId="31" xfId="56" applyNumberFormat="1" applyFont="1" applyFill="1" applyBorder="1"/>
    <xf numFmtId="180" fontId="12" fillId="58" borderId="31" xfId="56" applyNumberFormat="1" applyFont="1" applyFill="1" applyBorder="1" applyAlignment="1">
      <alignment horizontal="center"/>
    </xf>
    <xf numFmtId="0" fontId="12" fillId="58" borderId="199" xfId="0" applyFont="1" applyFill="1" applyBorder="1" applyAlignment="1">
      <alignment horizontal="center"/>
    </xf>
    <xf numFmtId="0" fontId="12" fillId="58" borderId="31" xfId="0" applyFont="1" applyFill="1" applyBorder="1" applyAlignment="1">
      <alignment horizontal="center"/>
    </xf>
    <xf numFmtId="0" fontId="12" fillId="0" borderId="244" xfId="0" applyFont="1" applyBorder="1" applyAlignment="1">
      <alignment horizontal="left"/>
    </xf>
    <xf numFmtId="223" fontId="12" fillId="0" borderId="0" xfId="0" applyNumberFormat="1" applyFont="1"/>
    <xf numFmtId="0" fontId="12" fillId="0" borderId="263" xfId="56" applyNumberFormat="1" applyFont="1" applyFill="1" applyBorder="1"/>
    <xf numFmtId="165" fontId="12" fillId="0" borderId="0" xfId="56" applyFont="1" applyFill="1" applyBorder="1" applyAlignment="1">
      <alignment horizontal="center"/>
    </xf>
    <xf numFmtId="166" fontId="12" fillId="0" borderId="263" xfId="56" applyNumberFormat="1" applyFont="1" applyFill="1" applyBorder="1" applyAlignment="1">
      <alignment horizontal="right"/>
    </xf>
    <xf numFmtId="165" fontId="13" fillId="0" borderId="262" xfId="56" applyFont="1" applyFill="1" applyBorder="1" applyAlignment="1">
      <alignment horizontal="center"/>
    </xf>
    <xf numFmtId="223" fontId="12" fillId="58" borderId="192" xfId="272" applyNumberFormat="1" applyFill="1" applyBorder="1"/>
    <xf numFmtId="223" fontId="12" fillId="35" borderId="0" xfId="260" applyNumberFormat="1" applyFont="1" applyFill="1" applyAlignment="1"/>
    <xf numFmtId="223" fontId="12" fillId="58" borderId="193" xfId="272" applyNumberFormat="1" applyFill="1" applyBorder="1"/>
    <xf numFmtId="0" fontId="14" fillId="58" borderId="195" xfId="0" applyFont="1" applyFill="1" applyBorder="1" applyAlignment="1">
      <alignment horizontal="left"/>
    </xf>
    <xf numFmtId="0" fontId="13" fillId="35" borderId="0" xfId="0" applyFont="1" applyFill="1" applyAlignment="1">
      <alignment horizontal="center"/>
    </xf>
    <xf numFmtId="0" fontId="27" fillId="0" borderId="18" xfId="131" applyFill="1" applyBorder="1" applyAlignment="1" applyProtection="1">
      <alignment vertical="top"/>
    </xf>
    <xf numFmtId="0" fontId="18" fillId="58" borderId="14" xfId="330" applyNumberFormat="1" applyFont="1" applyFill="1" applyBorder="1" applyAlignment="1">
      <alignment horizontal="right"/>
    </xf>
    <xf numFmtId="49" fontId="13" fillId="35" borderId="0" xfId="0" applyNumberFormat="1" applyFont="1" applyFill="1" applyAlignment="1">
      <alignment horizontal="center"/>
    </xf>
    <xf numFmtId="0" fontId="12" fillId="58" borderId="188" xfId="330" applyFont="1" applyFill="1" applyBorder="1" applyAlignment="1">
      <alignment horizontal="center"/>
    </xf>
    <xf numFmtId="173" fontId="12" fillId="58" borderId="189" xfId="330" applyNumberFormat="1" applyFont="1" applyFill="1" applyBorder="1" applyAlignment="1">
      <alignment horizontal="center"/>
    </xf>
    <xf numFmtId="0" fontId="12" fillId="58" borderId="190" xfId="330" applyFont="1" applyFill="1" applyBorder="1" applyAlignment="1">
      <alignment horizontal="center"/>
    </xf>
    <xf numFmtId="173" fontId="12" fillId="58" borderId="191" xfId="330" applyNumberFormat="1" applyFont="1" applyFill="1" applyBorder="1" applyAlignment="1">
      <alignment horizontal="center"/>
    </xf>
    <xf numFmtId="166" fontId="12" fillId="58" borderId="192" xfId="330" applyNumberFormat="1" applyFont="1" applyFill="1" applyBorder="1" applyAlignment="1" applyProtection="1">
      <protection locked="0"/>
    </xf>
    <xf numFmtId="165" fontId="12" fillId="58" borderId="192" xfId="330" applyNumberFormat="1" applyFont="1" applyFill="1" applyBorder="1" applyAlignment="1" applyProtection="1">
      <protection locked="0"/>
    </xf>
    <xf numFmtId="173" fontId="12" fillId="58" borderId="192" xfId="330" applyNumberFormat="1" applyFont="1" applyFill="1" applyBorder="1" applyAlignment="1" applyProtection="1">
      <alignment horizontal="center"/>
      <protection locked="0"/>
    </xf>
    <xf numFmtId="198" fontId="12" fillId="58" borderId="192" xfId="330" applyNumberFormat="1" applyFont="1" applyFill="1" applyBorder="1" applyAlignment="1" applyProtection="1">
      <alignment horizontal="center"/>
      <protection locked="0"/>
    </xf>
    <xf numFmtId="174" fontId="12" fillId="58" borderId="262" xfId="330" applyNumberFormat="1" applyFont="1" applyFill="1" applyBorder="1" applyAlignment="1" applyProtection="1">
      <alignment horizontal="left"/>
      <protection locked="0"/>
    </xf>
    <xf numFmtId="1" fontId="12" fillId="58" borderId="263" xfId="330" applyNumberFormat="1" applyFont="1" applyFill="1" applyBorder="1" applyAlignment="1" applyProtection="1">
      <protection locked="0"/>
    </xf>
    <xf numFmtId="166" fontId="12" fillId="58" borderId="263" xfId="330" applyNumberFormat="1" applyFont="1" applyFill="1" applyBorder="1" applyAlignment="1"/>
    <xf numFmtId="166" fontId="20" fillId="58" borderId="0" xfId="330" applyNumberFormat="1" applyFont="1" applyFill="1" applyBorder="1" applyAlignment="1"/>
    <xf numFmtId="166" fontId="13" fillId="58" borderId="263" xfId="330" applyNumberFormat="1" applyFont="1" applyFill="1" applyBorder="1" applyAlignment="1"/>
    <xf numFmtId="166" fontId="12" fillId="58" borderId="192" xfId="0" applyNumberFormat="1" applyFont="1" applyFill="1" applyBorder="1" applyProtection="1">
      <protection locked="0"/>
    </xf>
    <xf numFmtId="165" fontId="12" fillId="58" borderId="192" xfId="0" applyNumberFormat="1" applyFont="1" applyFill="1" applyBorder="1" applyProtection="1">
      <protection locked="0"/>
    </xf>
    <xf numFmtId="173" fontId="12" fillId="58" borderId="192" xfId="0" applyNumberFormat="1" applyFont="1" applyFill="1" applyBorder="1" applyAlignment="1" applyProtection="1">
      <alignment horizontal="center"/>
      <protection locked="0"/>
    </xf>
    <xf numFmtId="198" fontId="12" fillId="58" borderId="192" xfId="0" applyNumberFormat="1" applyFont="1" applyFill="1" applyBorder="1" applyAlignment="1" applyProtection="1">
      <alignment horizontal="center"/>
      <protection locked="0"/>
    </xf>
    <xf numFmtId="174" fontId="12" fillId="58" borderId="262" xfId="0" applyNumberFormat="1" applyFont="1" applyFill="1" applyBorder="1" applyAlignment="1" applyProtection="1">
      <alignment horizontal="left"/>
      <protection locked="0"/>
    </xf>
    <xf numFmtId="1" fontId="12" fillId="58" borderId="263" xfId="0" applyNumberFormat="1" applyFont="1" applyFill="1" applyBorder="1" applyProtection="1">
      <protection locked="0"/>
    </xf>
    <xf numFmtId="166" fontId="12" fillId="58" borderId="263" xfId="0" applyNumberFormat="1" applyFont="1" applyFill="1" applyBorder="1"/>
    <xf numFmtId="166" fontId="13" fillId="58" borderId="263" xfId="0" applyNumberFormat="1" applyFont="1" applyFill="1" applyBorder="1"/>
    <xf numFmtId="0" fontId="12" fillId="58" borderId="14" xfId="321" applyFont="1" applyFill="1" applyBorder="1" applyAlignment="1">
      <alignment horizontal="center"/>
    </xf>
    <xf numFmtId="0" fontId="158" fillId="47" borderId="0" xfId="331" applyFont="1" applyFill="1"/>
    <xf numFmtId="186" fontId="164" fillId="47" borderId="14" xfId="331" applyNumberFormat="1" applyFont="1" applyFill="1" applyBorder="1"/>
    <xf numFmtId="0" fontId="164" fillId="47" borderId="14" xfId="331" applyFont="1" applyFill="1" applyBorder="1"/>
    <xf numFmtId="0" fontId="164" fillId="47" borderId="14" xfId="331" applyFont="1" applyFill="1" applyBorder="1" applyAlignment="1">
      <alignment horizontal="center"/>
    </xf>
    <xf numFmtId="0" fontId="158" fillId="47" borderId="14" xfId="331" applyFont="1" applyFill="1" applyBorder="1"/>
    <xf numFmtId="186" fontId="158" fillId="0" borderId="14" xfId="332" applyNumberFormat="1" applyFont="1" applyBorder="1" applyAlignment="1"/>
    <xf numFmtId="9" fontId="158" fillId="58" borderId="14" xfId="333" applyFont="1" applyFill="1" applyBorder="1"/>
    <xf numFmtId="186" fontId="158" fillId="58" borderId="14" xfId="332" applyNumberFormat="1" applyFont="1" applyFill="1" applyBorder="1" applyAlignment="1"/>
    <xf numFmtId="0" fontId="158" fillId="58" borderId="14" xfId="331" applyFont="1" applyFill="1" applyBorder="1"/>
    <xf numFmtId="0" fontId="164" fillId="0" borderId="14" xfId="331" applyFont="1" applyBorder="1" applyAlignment="1">
      <alignment horizontal="center" vertical="center" wrapText="1"/>
    </xf>
    <xf numFmtId="0" fontId="164" fillId="0" borderId="14" xfId="331" applyFont="1" applyBorder="1" applyAlignment="1">
      <alignment vertical="center" wrapText="1"/>
    </xf>
    <xf numFmtId="0" fontId="164" fillId="47" borderId="0" xfId="331" applyFont="1" applyFill="1"/>
    <xf numFmtId="0" fontId="158" fillId="47" borderId="0" xfId="331" quotePrefix="1" applyFont="1" applyFill="1"/>
    <xf numFmtId="0" fontId="12" fillId="47" borderId="0" xfId="331" applyFont="1" applyFill="1" applyAlignment="1">
      <alignment vertical="center"/>
    </xf>
    <xf numFmtId="0" fontId="12" fillId="47" borderId="0" xfId="331" applyFont="1" applyFill="1"/>
    <xf numFmtId="0" fontId="12" fillId="47" borderId="0" xfId="334" applyNumberFormat="1" applyFont="1" applyFill="1" applyAlignment="1">
      <alignment vertical="center"/>
    </xf>
    <xf numFmtId="0" fontId="12" fillId="47" borderId="0" xfId="333" applyNumberFormat="1" applyFont="1" applyFill="1" applyAlignment="1">
      <alignment vertical="center"/>
    </xf>
    <xf numFmtId="175" fontId="13" fillId="47" borderId="0" xfId="331" applyNumberFormat="1" applyFont="1" applyFill="1" applyAlignment="1">
      <alignment vertical="center"/>
    </xf>
    <xf numFmtId="0" fontId="13" fillId="47" borderId="0" xfId="331" applyFont="1" applyFill="1" applyAlignment="1">
      <alignment horizontal="right" vertical="center"/>
    </xf>
    <xf numFmtId="0" fontId="13" fillId="47" borderId="0" xfId="331" applyFont="1" applyFill="1" applyAlignment="1">
      <alignment vertical="center"/>
    </xf>
    <xf numFmtId="0" fontId="13" fillId="47" borderId="0" xfId="331" applyFont="1" applyFill="1" applyAlignment="1">
      <alignment horizontal="left" vertical="center"/>
    </xf>
    <xf numFmtId="0" fontId="36" fillId="47" borderId="0" xfId="327" applyFont="1" applyFill="1" applyAlignment="1" applyProtection="1">
      <alignment horizontal="left" vertical="top"/>
    </xf>
    <xf numFmtId="0" fontId="193" fillId="0" borderId="0" xfId="327" applyFont="1" applyFill="1" applyBorder="1" applyAlignment="1" applyProtection="1">
      <alignment horizontal="right" vertical="center"/>
    </xf>
    <xf numFmtId="0" fontId="12" fillId="47" borderId="0" xfId="331" applyFont="1" applyFill="1" applyAlignment="1">
      <alignment vertical="top"/>
    </xf>
    <xf numFmtId="0" fontId="22" fillId="47" borderId="0" xfId="331" applyFont="1" applyFill="1" applyAlignment="1">
      <alignment vertical="center"/>
    </xf>
    <xf numFmtId="0" fontId="13" fillId="47" borderId="0" xfId="331" applyFont="1" applyFill="1" applyAlignment="1">
      <alignment horizontal="center" vertical="center"/>
    </xf>
    <xf numFmtId="0" fontId="18" fillId="47" borderId="0" xfId="331" applyFont="1" applyFill="1" applyAlignment="1">
      <alignment vertical="center"/>
    </xf>
    <xf numFmtId="1" fontId="13" fillId="35" borderId="0" xfId="331" applyNumberFormat="1" applyFont="1" applyFill="1" applyAlignment="1">
      <alignment horizontal="right"/>
    </xf>
    <xf numFmtId="186" fontId="164" fillId="47" borderId="14" xfId="335" applyNumberFormat="1" applyFont="1" applyFill="1" applyBorder="1"/>
    <xf numFmtId="186" fontId="158" fillId="47" borderId="0" xfId="335" applyNumberFormat="1" applyFont="1" applyFill="1"/>
    <xf numFmtId="186" fontId="158" fillId="58" borderId="14" xfId="332" applyNumberFormat="1" applyFont="1" applyFill="1" applyBorder="1"/>
    <xf numFmtId="186" fontId="158" fillId="47" borderId="14" xfId="332" applyNumberFormat="1" applyFont="1" applyFill="1" applyBorder="1"/>
    <xf numFmtId="0" fontId="158" fillId="47" borderId="0" xfId="335" applyFont="1" applyFill="1"/>
    <xf numFmtId="0" fontId="158" fillId="47" borderId="0" xfId="335" quotePrefix="1" applyFont="1" applyFill="1"/>
    <xf numFmtId="0" fontId="18" fillId="47" borderId="0" xfId="331" applyFont="1" applyFill="1" applyAlignment="1">
      <alignment horizontal="left" vertical="center"/>
    </xf>
    <xf numFmtId="0" fontId="193" fillId="47" borderId="0" xfId="327" applyFont="1" applyFill="1" applyAlignment="1">
      <alignment horizontal="left"/>
    </xf>
    <xf numFmtId="0" fontId="164" fillId="47" borderId="0" xfId="335" applyFont="1" applyFill="1" applyAlignment="1">
      <alignment horizontal="left"/>
    </xf>
    <xf numFmtId="0" fontId="158" fillId="47" borderId="0" xfId="335" applyFont="1" applyFill="1" applyAlignment="1">
      <alignment horizontal="left" indent="1"/>
    </xf>
    <xf numFmtId="0" fontId="191" fillId="47" borderId="0" xfId="335" applyFont="1" applyFill="1"/>
    <xf numFmtId="0" fontId="164" fillId="47" borderId="14" xfId="335" applyFont="1" applyFill="1" applyBorder="1" applyAlignment="1">
      <alignment vertical="center" wrapText="1"/>
    </xf>
    <xf numFmtId="0" fontId="164" fillId="47" borderId="14" xfId="335" applyFont="1" applyFill="1" applyBorder="1" applyAlignment="1">
      <alignment horizontal="center" vertical="center" wrapText="1"/>
    </xf>
    <xf numFmtId="0" fontId="158" fillId="58" borderId="14" xfId="335" applyFont="1" applyFill="1" applyBorder="1"/>
    <xf numFmtId="0" fontId="164" fillId="47" borderId="14" xfId="335" applyFont="1" applyFill="1" applyBorder="1"/>
    <xf numFmtId="0" fontId="27" fillId="0" borderId="0" xfId="131" applyFont="1" applyFill="1" applyBorder="1" applyAlignment="1" applyProtection="1">
      <alignment horizontal="right" vertical="center"/>
    </xf>
    <xf numFmtId="0" fontId="191" fillId="47" borderId="0" xfId="331" applyFont="1" applyFill="1"/>
    <xf numFmtId="0" fontId="199" fillId="47" borderId="0" xfId="335" applyFont="1" applyFill="1"/>
    <xf numFmtId="10" fontId="19" fillId="0" borderId="0" xfId="143" applyNumberFormat="1" applyFont="1" applyFill="1" applyAlignment="1" applyProtection="1">
      <alignment horizontal="right"/>
    </xf>
    <xf numFmtId="0" fontId="13" fillId="47" borderId="0" xfId="0" applyNumberFormat="1" applyFont="1" applyFill="1" applyAlignment="1">
      <alignment horizontal="left" vertical="center"/>
    </xf>
    <xf numFmtId="0" fontId="12" fillId="58" borderId="14" xfId="321" applyFont="1" applyFill="1" applyBorder="1" applyAlignment="1">
      <alignment horizontal="center"/>
    </xf>
    <xf numFmtId="0" fontId="158" fillId="47" borderId="0" xfId="336" applyFont="1" applyFill="1"/>
    <xf numFmtId="0" fontId="154" fillId="47" borderId="0" xfId="337" applyFont="1" applyFill="1"/>
    <xf numFmtId="1" fontId="13" fillId="47" borderId="0" xfId="336" applyNumberFormat="1" applyFont="1" applyFill="1" applyAlignment="1">
      <alignment horizontal="right"/>
    </xf>
    <xf numFmtId="0" fontId="18" fillId="47" borderId="0" xfId="336" applyFont="1" applyFill="1" applyAlignment="1">
      <alignment vertical="center"/>
    </xf>
    <xf numFmtId="0" fontId="13" fillId="47" borderId="0" xfId="336" applyFont="1" applyFill="1" applyAlignment="1">
      <alignment vertical="center"/>
    </xf>
    <xf numFmtId="0" fontId="13" fillId="47" borderId="0" xfId="336" applyFont="1" applyFill="1" applyAlignment="1">
      <alignment horizontal="center" vertical="center"/>
    </xf>
    <xf numFmtId="0" fontId="13" fillId="47" borderId="0" xfId="336" applyFont="1" applyFill="1" applyAlignment="1">
      <alignment horizontal="right" vertical="center"/>
    </xf>
    <xf numFmtId="0" fontId="12" fillId="58" borderId="190" xfId="321" applyNumberFormat="1" applyFont="1" applyFill="1" applyBorder="1" applyAlignment="1" applyProtection="1">
      <alignment vertical="center"/>
      <protection locked="0"/>
    </xf>
    <xf numFmtId="14" fontId="12" fillId="58" borderId="191" xfId="321" applyNumberFormat="1" applyFont="1" applyFill="1" applyBorder="1" applyAlignment="1" applyProtection="1">
      <alignment vertical="center"/>
      <protection locked="0"/>
    </xf>
    <xf numFmtId="0" fontId="12" fillId="47" borderId="0" xfId="338" applyFont="1" applyFill="1" applyAlignment="1">
      <alignment vertical="center"/>
    </xf>
    <xf numFmtId="0" fontId="12" fillId="47" borderId="0" xfId="339" applyNumberFormat="1" applyFont="1" applyFill="1" applyAlignment="1">
      <alignment vertical="center"/>
    </xf>
    <xf numFmtId="0" fontId="12" fillId="47" borderId="0" xfId="338" applyFont="1" applyFill="1"/>
    <xf numFmtId="0" fontId="12" fillId="47" borderId="0" xfId="340" applyNumberFormat="1" applyFont="1" applyFill="1" applyAlignment="1">
      <alignment vertical="center"/>
    </xf>
    <xf numFmtId="0" fontId="13" fillId="47" borderId="0" xfId="338" applyFont="1" applyFill="1" applyAlignment="1">
      <alignment horizontal="left" vertical="center"/>
    </xf>
    <xf numFmtId="0" fontId="13" fillId="47" borderId="0" xfId="338" applyFont="1" applyFill="1" applyAlignment="1">
      <alignment horizontal="right" vertical="center"/>
    </xf>
    <xf numFmtId="175" fontId="13" fillId="47" borderId="0" xfId="338" applyNumberFormat="1" applyFont="1" applyFill="1" applyAlignment="1">
      <alignment vertical="center"/>
    </xf>
    <xf numFmtId="0" fontId="158" fillId="47" borderId="0" xfId="336" applyFont="1" applyFill="1" applyAlignment="1">
      <alignment wrapText="1"/>
    </xf>
    <xf numFmtId="0" fontId="193" fillId="47" borderId="0" xfId="327" applyFont="1" applyFill="1" applyProtection="1"/>
    <xf numFmtId="0" fontId="164" fillId="47" borderId="249" xfId="336" applyFont="1" applyFill="1" applyBorder="1"/>
    <xf numFmtId="0" fontId="158" fillId="47" borderId="250" xfId="336" applyFont="1" applyFill="1" applyBorder="1"/>
    <xf numFmtId="0" fontId="158" fillId="47" borderId="44" xfId="336" applyFont="1" applyFill="1" applyBorder="1"/>
    <xf numFmtId="0" fontId="164" fillId="47" borderId="0" xfId="336" applyFont="1" applyFill="1"/>
    <xf numFmtId="0" fontId="164" fillId="47" borderId="42" xfId="336" applyFont="1" applyFill="1" applyBorder="1"/>
    <xf numFmtId="0" fontId="158" fillId="47" borderId="45" xfId="336" applyFont="1" applyFill="1" applyBorder="1"/>
    <xf numFmtId="165" fontId="158" fillId="58" borderId="45" xfId="339" applyFont="1" applyFill="1" applyBorder="1" applyProtection="1">
      <protection locked="0"/>
    </xf>
    <xf numFmtId="0" fontId="164" fillId="47" borderId="43" xfId="336" applyFont="1" applyFill="1" applyBorder="1"/>
    <xf numFmtId="0" fontId="158" fillId="47" borderId="301" xfId="336" applyFont="1" applyFill="1" applyBorder="1"/>
    <xf numFmtId="0" fontId="200" fillId="47" borderId="0" xfId="336" applyFont="1" applyFill="1" applyAlignment="1">
      <alignment horizontal="center" vertical="center"/>
    </xf>
    <xf numFmtId="0" fontId="158" fillId="47" borderId="0" xfId="336" applyFont="1" applyFill="1" applyAlignment="1">
      <alignment vertical="center" wrapText="1"/>
    </xf>
    <xf numFmtId="0" fontId="158" fillId="47" borderId="0" xfId="336" applyFont="1" applyFill="1" applyAlignment="1">
      <alignment horizontal="justify" vertical="center" wrapText="1"/>
    </xf>
    <xf numFmtId="0" fontId="27" fillId="0" borderId="0" xfId="131" applyAlignment="1" applyProtection="1">
      <alignment horizontal="right"/>
    </xf>
    <xf numFmtId="165" fontId="158" fillId="0" borderId="45" xfId="339" applyFont="1" applyFill="1" applyBorder="1" applyProtection="1">
      <protection locked="0"/>
    </xf>
    <xf numFmtId="0" fontId="164" fillId="47" borderId="0" xfId="336" applyFont="1" applyFill="1" applyBorder="1"/>
    <xf numFmtId="0" fontId="158" fillId="58" borderId="0" xfId="336" applyFont="1" applyFill="1" applyBorder="1" applyAlignment="1" applyProtection="1">
      <alignment wrapText="1"/>
      <protection locked="0"/>
    </xf>
    <xf numFmtId="0" fontId="158" fillId="47" borderId="0" xfId="336" applyFont="1" applyFill="1" applyBorder="1"/>
    <xf numFmtId="0" fontId="164" fillId="47" borderId="0" xfId="336" applyFont="1" applyFill="1" applyBorder="1" applyAlignment="1">
      <alignment wrapText="1"/>
    </xf>
    <xf numFmtId="0" fontId="188" fillId="47" borderId="0" xfId="336" applyFont="1" applyFill="1" applyBorder="1"/>
    <xf numFmtId="0" fontId="158" fillId="47" borderId="47" xfId="336" applyFont="1" applyFill="1" applyBorder="1"/>
    <xf numFmtId="0" fontId="158" fillId="47" borderId="43" xfId="336" applyFont="1" applyFill="1" applyBorder="1"/>
    <xf numFmtId="165" fontId="158" fillId="47" borderId="55" xfId="336" applyNumberFormat="1" applyFont="1" applyFill="1" applyBorder="1"/>
    <xf numFmtId="165" fontId="158" fillId="47" borderId="0" xfId="336" applyNumberFormat="1" applyFont="1" applyFill="1" applyBorder="1"/>
    <xf numFmtId="165" fontId="158" fillId="0" borderId="67" xfId="339" applyFont="1" applyFill="1" applyBorder="1" applyProtection="1">
      <protection locked="0"/>
    </xf>
    <xf numFmtId="0" fontId="158" fillId="58" borderId="296" xfId="324" applyFont="1" applyFill="1" applyBorder="1" applyAlignment="1">
      <alignment horizontal="center" vertical="center"/>
    </xf>
    <xf numFmtId="191" fontId="164" fillId="47" borderId="0" xfId="324" applyNumberFormat="1" applyFont="1" applyFill="1" applyBorder="1"/>
    <xf numFmtId="165" fontId="12" fillId="47" borderId="0" xfId="56" applyFont="1" applyFill="1" applyBorder="1"/>
    <xf numFmtId="0" fontId="12" fillId="47" borderId="0" xfId="0" applyFont="1" applyFill="1" applyAlignment="1">
      <alignment horizontal="center" vertical="top"/>
    </xf>
    <xf numFmtId="0" fontId="12" fillId="58" borderId="14" xfId="321" applyFont="1" applyFill="1" applyBorder="1" applyAlignment="1">
      <alignment horizontal="center"/>
    </xf>
    <xf numFmtId="0" fontId="22" fillId="47" borderId="0" xfId="341" applyFont="1" applyFill="1" applyAlignment="1">
      <alignment horizontal="left" vertical="top"/>
    </xf>
    <xf numFmtId="0" fontId="18" fillId="47" borderId="0" xfId="341" applyFont="1" applyFill="1" applyAlignment="1">
      <alignment horizontal="center"/>
    </xf>
    <xf numFmtId="165" fontId="12" fillId="47" borderId="0" xfId="342" applyFont="1" applyFill="1"/>
    <xf numFmtId="1" fontId="13" fillId="47" borderId="0" xfId="341" applyNumberFormat="1" applyFont="1" applyFill="1" applyAlignment="1">
      <alignment horizontal="right"/>
    </xf>
    <xf numFmtId="0" fontId="12" fillId="47" borderId="0" xfId="341" applyFont="1" applyFill="1"/>
    <xf numFmtId="0" fontId="13" fillId="47" borderId="0" xfId="341" applyFont="1" applyFill="1" applyAlignment="1">
      <alignment horizontal="right"/>
    </xf>
    <xf numFmtId="0" fontId="12" fillId="47" borderId="0" xfId="341" applyFont="1" applyFill="1" applyAlignment="1">
      <alignment vertical="top"/>
    </xf>
    <xf numFmtId="0" fontId="13" fillId="47" borderId="0" xfId="341" applyFont="1" applyFill="1" applyAlignment="1">
      <alignment horizontal="center"/>
    </xf>
    <xf numFmtId="49" fontId="13" fillId="47" borderId="0" xfId="341" applyNumberFormat="1" applyFont="1" applyFill="1" applyAlignment="1">
      <alignment horizontal="center"/>
    </xf>
    <xf numFmtId="0" fontId="18" fillId="47" borderId="0" xfId="341" applyFont="1" applyFill="1" applyAlignment="1">
      <alignment horizontal="center" vertical="top"/>
    </xf>
    <xf numFmtId="0" fontId="3" fillId="47" borderId="0" xfId="341" applyFill="1"/>
    <xf numFmtId="0" fontId="3" fillId="47" borderId="0" xfId="341" quotePrefix="1" applyFill="1"/>
    <xf numFmtId="0" fontId="3" fillId="47" borderId="263" xfId="341" quotePrefix="1" applyFill="1" applyBorder="1"/>
    <xf numFmtId="0" fontId="3" fillId="47" borderId="263" xfId="341" applyFill="1" applyBorder="1"/>
    <xf numFmtId="0" fontId="27" fillId="47" borderId="0" xfId="131" applyFill="1" applyAlignment="1" applyProtection="1">
      <alignment horizontal="right"/>
    </xf>
    <xf numFmtId="0" fontId="199" fillId="47" borderId="14" xfId="341" applyFont="1" applyFill="1" applyBorder="1"/>
    <xf numFmtId="234" fontId="12" fillId="58" borderId="14" xfId="343" applyNumberFormat="1" applyFont="1" applyFill="1" applyBorder="1"/>
    <xf numFmtId="0" fontId="191" fillId="47" borderId="0" xfId="341" applyFont="1" applyFill="1"/>
    <xf numFmtId="0" fontId="191" fillId="47" borderId="14" xfId="341" applyFont="1" applyFill="1" applyBorder="1"/>
    <xf numFmtId="0" fontId="199" fillId="47" borderId="14" xfId="341" applyFont="1" applyFill="1" applyBorder="1" applyAlignment="1">
      <alignment horizontal="center" vertical="center" wrapText="1"/>
    </xf>
    <xf numFmtId="234" fontId="12" fillId="47" borderId="14" xfId="343" applyNumberFormat="1" applyFont="1" applyFill="1" applyBorder="1"/>
    <xf numFmtId="186" fontId="191" fillId="47" borderId="14" xfId="341" applyNumberFormat="1" applyFont="1" applyFill="1" applyBorder="1"/>
    <xf numFmtId="0" fontId="199" fillId="47" borderId="14" xfId="341" applyFont="1" applyFill="1" applyBorder="1" applyAlignment="1">
      <alignment wrapText="1"/>
    </xf>
    <xf numFmtId="234" fontId="191" fillId="47" borderId="14" xfId="341" applyNumberFormat="1" applyFont="1" applyFill="1" applyBorder="1"/>
    <xf numFmtId="0" fontId="199" fillId="47" borderId="0" xfId="341" applyFont="1" applyFill="1"/>
    <xf numFmtId="0" fontId="191" fillId="47" borderId="0" xfId="341" quotePrefix="1" applyFont="1" applyFill="1"/>
    <xf numFmtId="0" fontId="199" fillId="47" borderId="14" xfId="341" applyFont="1" applyFill="1" applyBorder="1" applyAlignment="1">
      <alignment horizontal="right"/>
    </xf>
    <xf numFmtId="0" fontId="199" fillId="47" borderId="14" xfId="341" applyFont="1" applyFill="1" applyBorder="1" applyAlignment="1">
      <alignment horizontal="center"/>
    </xf>
    <xf numFmtId="186" fontId="12" fillId="47" borderId="14" xfId="343" applyNumberFormat="1" applyFont="1" applyFill="1" applyBorder="1"/>
    <xf numFmtId="9" fontId="12" fillId="47" borderId="14" xfId="344" applyFont="1" applyFill="1" applyBorder="1"/>
    <xf numFmtId="177" fontId="12" fillId="47" borderId="14" xfId="344" applyNumberFormat="1" applyFont="1" applyFill="1" applyBorder="1"/>
    <xf numFmtId="9" fontId="191" fillId="47" borderId="14" xfId="341" applyNumberFormat="1" applyFont="1" applyFill="1" applyBorder="1"/>
    <xf numFmtId="9" fontId="191" fillId="0" borderId="14" xfId="178" applyFont="1" applyFill="1" applyBorder="1"/>
    <xf numFmtId="177" fontId="191" fillId="47" borderId="14" xfId="178" applyNumberFormat="1" applyFont="1" applyFill="1" applyBorder="1"/>
    <xf numFmtId="0" fontId="12" fillId="58" borderId="14" xfId="321" applyFont="1" applyFill="1" applyBorder="1" applyAlignment="1">
      <alignment horizontal="center"/>
    </xf>
    <xf numFmtId="0" fontId="199" fillId="68" borderId="14" xfId="341" applyFont="1" applyFill="1" applyBorder="1"/>
    <xf numFmtId="234" fontId="12" fillId="68" borderId="14" xfId="343" applyNumberFormat="1" applyFont="1" applyFill="1" applyBorder="1"/>
    <xf numFmtId="186" fontId="191" fillId="68" borderId="14" xfId="341" applyNumberFormat="1" applyFont="1" applyFill="1" applyBorder="1"/>
    <xf numFmtId="177" fontId="191" fillId="68" borderId="14" xfId="178" applyNumberFormat="1" applyFont="1" applyFill="1" applyBorder="1"/>
    <xf numFmtId="0" fontId="199" fillId="68" borderId="14" xfId="341" applyFont="1" applyFill="1" applyBorder="1" applyAlignment="1">
      <alignment horizontal="right"/>
    </xf>
    <xf numFmtId="0" fontId="199" fillId="68" borderId="14" xfId="341" applyFont="1" applyFill="1" applyBorder="1" applyAlignment="1">
      <alignment horizontal="center"/>
    </xf>
    <xf numFmtId="186" fontId="12" fillId="68" borderId="14" xfId="343" applyNumberFormat="1" applyFont="1" applyFill="1" applyBorder="1"/>
    <xf numFmtId="9" fontId="191" fillId="68" borderId="14" xfId="341" applyNumberFormat="1" applyFont="1" applyFill="1" applyBorder="1"/>
    <xf numFmtId="14" fontId="13" fillId="0" borderId="113" xfId="0" applyNumberFormat="1" applyFont="1" applyFill="1" applyBorder="1" applyAlignment="1">
      <alignment horizontal="center" vertical="top"/>
    </xf>
    <xf numFmtId="10" fontId="12" fillId="0" borderId="113" xfId="0" applyNumberFormat="1" applyFont="1" applyFill="1" applyBorder="1" applyAlignment="1">
      <alignment horizontal="center" vertical="top"/>
    </xf>
    <xf numFmtId="0" fontId="12" fillId="0" borderId="113" xfId="0" applyFont="1" applyFill="1" applyBorder="1" applyAlignment="1">
      <alignment horizontal="center" vertical="top"/>
    </xf>
    <xf numFmtId="10" fontId="12" fillId="0" borderId="106" xfId="272" applyNumberFormat="1" applyFill="1" applyBorder="1" applyAlignment="1">
      <alignment horizontal="center" vertical="top"/>
    </xf>
    <xf numFmtId="0" fontId="2" fillId="47" borderId="0" xfId="345" applyFill="1"/>
    <xf numFmtId="0" fontId="154" fillId="47" borderId="0" xfId="345" applyFont="1" applyFill="1"/>
    <xf numFmtId="0" fontId="154" fillId="47" borderId="0" xfId="345" applyFont="1" applyFill="1" applyAlignment="1">
      <alignment horizontal="center"/>
    </xf>
    <xf numFmtId="0" fontId="2" fillId="65" borderId="14" xfId="345" applyFill="1" applyBorder="1"/>
    <xf numFmtId="186" fontId="0" fillId="65" borderId="14" xfId="346" applyNumberFormat="1" applyFont="1" applyFill="1" applyBorder="1"/>
    <xf numFmtId="186" fontId="0" fillId="47" borderId="0" xfId="346" applyNumberFormat="1" applyFont="1" applyFill="1" applyBorder="1"/>
    <xf numFmtId="166" fontId="0" fillId="47" borderId="0" xfId="346" applyFont="1" applyFill="1" applyBorder="1"/>
    <xf numFmtId="0" fontId="153" fillId="47" borderId="0" xfId="345" applyFont="1" applyFill="1"/>
    <xf numFmtId="0" fontId="203" fillId="47" borderId="0" xfId="345" applyFont="1" applyFill="1"/>
    <xf numFmtId="186" fontId="153" fillId="47" borderId="0" xfId="345" applyNumberFormat="1" applyFont="1" applyFill="1"/>
    <xf numFmtId="9" fontId="153" fillId="47" borderId="0" xfId="347" applyFont="1" applyFill="1"/>
    <xf numFmtId="186" fontId="203" fillId="47" borderId="0" xfId="345" applyNumberFormat="1" applyFont="1" applyFill="1"/>
    <xf numFmtId="186" fontId="2" fillId="47" borderId="0" xfId="345" applyNumberFormat="1" applyFill="1"/>
    <xf numFmtId="9" fontId="203" fillId="47" borderId="0" xfId="347" applyFont="1" applyFill="1" applyAlignment="1">
      <alignment horizontal="right"/>
    </xf>
    <xf numFmtId="186" fontId="2" fillId="47" borderId="263" xfId="345" applyNumberFormat="1" applyFill="1" applyBorder="1"/>
    <xf numFmtId="9" fontId="203" fillId="47" borderId="263" xfId="347" applyFont="1" applyFill="1" applyBorder="1" applyAlignment="1">
      <alignment horizontal="right"/>
    </xf>
    <xf numFmtId="9" fontId="153" fillId="47" borderId="0" xfId="345" applyNumberFormat="1" applyFont="1" applyFill="1" applyAlignment="1">
      <alignment horizontal="right"/>
    </xf>
    <xf numFmtId="0" fontId="203" fillId="47" borderId="0" xfId="345" applyFont="1" applyFill="1" applyAlignment="1">
      <alignment horizontal="right"/>
    </xf>
    <xf numFmtId="186" fontId="153" fillId="47" borderId="8" xfId="345" applyNumberFormat="1" applyFont="1" applyFill="1" applyBorder="1"/>
    <xf numFmtId="9" fontId="153" fillId="47" borderId="8" xfId="347" applyFont="1" applyFill="1" applyBorder="1" applyAlignment="1">
      <alignment horizontal="right"/>
    </xf>
    <xf numFmtId="166" fontId="203" fillId="47" borderId="0" xfId="345" applyNumberFormat="1" applyFont="1" applyFill="1"/>
    <xf numFmtId="0" fontId="201" fillId="47" borderId="32" xfId="345" applyFont="1" applyFill="1" applyBorder="1" applyAlignment="1">
      <alignment horizontal="centerContinuous"/>
    </xf>
    <xf numFmtId="0" fontId="2" fillId="47" borderId="17" xfId="345" applyFill="1" applyBorder="1" applyAlignment="1">
      <alignment horizontal="centerContinuous"/>
    </xf>
    <xf numFmtId="0" fontId="2" fillId="47" borderId="38" xfId="345" applyFill="1" applyBorder="1" applyAlignment="1">
      <alignment horizontal="centerContinuous"/>
    </xf>
    <xf numFmtId="0" fontId="2" fillId="47" borderId="14" xfId="345" applyFill="1" applyBorder="1"/>
    <xf numFmtId="166" fontId="0" fillId="47" borderId="14" xfId="346" applyFont="1" applyFill="1" applyBorder="1"/>
    <xf numFmtId="0" fontId="2" fillId="47" borderId="0" xfId="345" applyFill="1" applyBorder="1"/>
    <xf numFmtId="166" fontId="154" fillId="47" borderId="31" xfId="346" applyFont="1" applyFill="1" applyBorder="1"/>
    <xf numFmtId="0" fontId="154" fillId="47" borderId="14" xfId="345" applyFont="1" applyFill="1" applyBorder="1" applyAlignment="1">
      <alignment horizontal="right"/>
    </xf>
    <xf numFmtId="0" fontId="154" fillId="47" borderId="31" xfId="345" applyFont="1" applyFill="1" applyBorder="1"/>
    <xf numFmtId="0" fontId="154" fillId="47" borderId="14" xfId="345" applyFont="1" applyFill="1" applyBorder="1"/>
    <xf numFmtId="166" fontId="0" fillId="62" borderId="14" xfId="346" applyFont="1" applyFill="1" applyBorder="1"/>
    <xf numFmtId="0" fontId="2" fillId="62" borderId="14" xfId="345" applyFill="1" applyBorder="1" applyAlignment="1">
      <alignment horizontal="center"/>
    </xf>
    <xf numFmtId="0" fontId="202" fillId="65" borderId="14" xfId="345" applyFont="1" applyFill="1" applyBorder="1"/>
    <xf numFmtId="0" fontId="154" fillId="65" borderId="14" xfId="345" applyFont="1" applyFill="1" applyBorder="1" applyAlignment="1">
      <alignment horizontal="center"/>
    </xf>
    <xf numFmtId="0" fontId="154" fillId="47" borderId="14" xfId="346" applyNumberFormat="1" applyFont="1" applyFill="1" applyBorder="1" applyAlignment="1">
      <alignment horizontal="right"/>
    </xf>
    <xf numFmtId="166" fontId="12" fillId="47" borderId="14" xfId="41" applyFont="1" applyFill="1" applyBorder="1"/>
    <xf numFmtId="166" fontId="12" fillId="47" borderId="0" xfId="41" applyFont="1" applyFill="1"/>
    <xf numFmtId="166" fontId="12" fillId="47" borderId="0" xfId="41" applyFont="1" applyFill="1" applyBorder="1"/>
    <xf numFmtId="166" fontId="164" fillId="47" borderId="14" xfId="41" applyFont="1" applyFill="1" applyBorder="1"/>
    <xf numFmtId="166" fontId="12" fillId="0" borderId="14" xfId="41" applyFont="1" applyFill="1" applyBorder="1"/>
    <xf numFmtId="166" fontId="12" fillId="58" borderId="31" xfId="41" applyFont="1" applyFill="1" applyBorder="1"/>
    <xf numFmtId="10" fontId="0" fillId="50" borderId="262" xfId="178" applyNumberFormat="1" applyFont="1" applyFill="1" applyBorder="1" applyAlignment="1">
      <alignment horizontal="center"/>
    </xf>
    <xf numFmtId="178" fontId="12" fillId="50" borderId="14" xfId="350" applyNumberFormat="1" applyFont="1" applyFill="1" applyBorder="1" applyAlignment="1">
      <alignment vertical="top"/>
    </xf>
    <xf numFmtId="0" fontId="0" fillId="50" borderId="263" xfId="0" applyFill="1" applyBorder="1" applyAlignment="1">
      <alignment horizontal="center"/>
    </xf>
    <xf numFmtId="0" fontId="160" fillId="0" borderId="0" xfId="0" applyFont="1" applyAlignment="1">
      <alignment horizontal="center" vertical="top"/>
    </xf>
    <xf numFmtId="178" fontId="12" fillId="50" borderId="14" xfId="368" applyNumberFormat="1" applyFont="1" applyFill="1" applyBorder="1" applyAlignment="1">
      <alignment vertical="top"/>
    </xf>
    <xf numFmtId="178" fontId="12" fillId="50" borderId="14" xfId="368" applyNumberFormat="1" applyFont="1" applyFill="1" applyBorder="1" applyAlignment="1">
      <alignment vertical="top"/>
    </xf>
    <xf numFmtId="0" fontId="160" fillId="0" borderId="0" xfId="0" applyFont="1" applyAlignment="1">
      <alignment horizontal="center" vertical="top"/>
    </xf>
    <xf numFmtId="178" fontId="12" fillId="50" borderId="14" xfId="368" applyNumberFormat="1" applyFont="1" applyFill="1" applyBorder="1" applyAlignment="1">
      <alignment vertical="top"/>
    </xf>
    <xf numFmtId="0" fontId="159" fillId="0" borderId="0" xfId="0" applyFont="1" applyAlignment="1">
      <alignment horizontal="center" vertical="top"/>
    </xf>
    <xf numFmtId="0" fontId="13" fillId="35" borderId="0" xfId="0" applyFont="1" applyFill="1"/>
    <xf numFmtId="0" fontId="12" fillId="0" borderId="0" xfId="0" applyFont="1" applyAlignment="1">
      <alignment vertical="top"/>
    </xf>
    <xf numFmtId="0" fontId="12" fillId="0" borderId="14" xfId="0" applyFont="1" applyBorder="1" applyAlignment="1">
      <alignment vertical="top"/>
    </xf>
    <xf numFmtId="0" fontId="12" fillId="0" borderId="0" xfId="0" applyFont="1" applyAlignment="1">
      <alignment horizontal="center" vertical="top"/>
    </xf>
    <xf numFmtId="0" fontId="12" fillId="50" borderId="14" xfId="0" applyFont="1" applyFill="1" applyBorder="1" applyAlignment="1">
      <alignment vertical="top"/>
    </xf>
    <xf numFmtId="49" fontId="13" fillId="47" borderId="0" xfId="0" applyNumberFormat="1" applyFont="1" applyFill="1" applyAlignment="1">
      <alignment horizontal="left"/>
    </xf>
    <xf numFmtId="0" fontId="160" fillId="0" borderId="0" xfId="0" applyFont="1" applyAlignment="1">
      <alignment horizontal="center" vertical="top"/>
    </xf>
    <xf numFmtId="0" fontId="159" fillId="0" borderId="0" xfId="0" applyFont="1" applyAlignment="1">
      <alignment vertical="top"/>
    </xf>
    <xf numFmtId="0" fontId="13" fillId="50" borderId="14" xfId="0" applyFont="1" applyFill="1" applyBorder="1" applyAlignment="1">
      <alignment horizontal="center" vertical="top"/>
    </xf>
    <xf numFmtId="0" fontId="12" fillId="50" borderId="14" xfId="0" applyFont="1" applyFill="1" applyBorder="1" applyAlignment="1">
      <alignment vertical="top" wrapText="1"/>
    </xf>
    <xf numFmtId="1" fontId="12" fillId="35" borderId="0" xfId="0" applyNumberFormat="1" applyFont="1" applyFill="1"/>
    <xf numFmtId="201" fontId="12" fillId="0" borderId="0" xfId="0" applyNumberFormat="1" applyFont="1"/>
    <xf numFmtId="166" fontId="13" fillId="0" borderId="0" xfId="41" applyFont="1" applyFill="1" applyBorder="1" applyAlignment="1">
      <alignment horizontal="center" vertical="center"/>
    </xf>
    <xf numFmtId="166" fontId="12" fillId="0" borderId="0" xfId="41" applyFont="1" applyFill="1" applyBorder="1" applyAlignment="1">
      <alignment horizontal="center" vertical="center"/>
    </xf>
    <xf numFmtId="0" fontId="12" fillId="0" borderId="0" xfId="272" applyFill="1" applyBorder="1" applyAlignment="1">
      <alignment vertical="center"/>
    </xf>
    <xf numFmtId="0" fontId="12" fillId="47" borderId="0" xfId="272" applyFont="1" applyFill="1" applyAlignment="1">
      <alignment horizontal="left" vertical="center" indent="2"/>
    </xf>
    <xf numFmtId="0" fontId="13" fillId="47" borderId="0" xfId="272" applyFont="1" applyFill="1" applyAlignment="1">
      <alignment horizontal="left" vertical="center" indent="2"/>
    </xf>
    <xf numFmtId="178" fontId="12" fillId="47" borderId="14" xfId="272" applyNumberFormat="1" applyFill="1" applyBorder="1" applyAlignment="1">
      <alignment vertical="center"/>
    </xf>
    <xf numFmtId="178" fontId="12" fillId="0" borderId="14" xfId="41" applyNumberFormat="1" applyFont="1" applyFill="1" applyBorder="1" applyAlignment="1">
      <alignment horizontal="center" vertical="center"/>
    </xf>
    <xf numFmtId="178" fontId="12" fillId="0" borderId="0" xfId="41" applyNumberFormat="1" applyFont="1" applyFill="1" applyBorder="1" applyAlignment="1">
      <alignment horizontal="center" vertical="center"/>
    </xf>
    <xf numFmtId="0" fontId="13" fillId="47" borderId="0" xfId="272" applyFont="1" applyFill="1" applyAlignment="1">
      <alignment horizontal="left" vertical="top"/>
    </xf>
    <xf numFmtId="0" fontId="52" fillId="62" borderId="22" xfId="272" applyFont="1" applyFill="1" applyBorder="1" applyAlignment="1">
      <alignment vertical="center"/>
    </xf>
    <xf numFmtId="178" fontId="122" fillId="62" borderId="26" xfId="41" applyNumberFormat="1" applyFont="1" applyFill="1" applyBorder="1" applyAlignment="1">
      <alignment vertical="center"/>
    </xf>
    <xf numFmtId="0" fontId="52" fillId="62" borderId="23" xfId="272" applyFont="1" applyFill="1" applyBorder="1" applyAlignment="1">
      <alignment vertical="center"/>
    </xf>
    <xf numFmtId="178" fontId="122" fillId="62" borderId="24" xfId="41" applyNumberFormat="1" applyFont="1" applyFill="1" applyBorder="1" applyAlignment="1">
      <alignment vertical="center"/>
    </xf>
    <xf numFmtId="178" fontId="52" fillId="62" borderId="41" xfId="41" applyNumberFormat="1" applyFont="1" applyFill="1" applyBorder="1" applyAlignment="1">
      <alignment vertical="center"/>
    </xf>
    <xf numFmtId="178" fontId="122" fillId="62" borderId="24" xfId="272" applyNumberFormat="1" applyFont="1" applyFill="1" applyBorder="1" applyAlignment="1">
      <alignment vertical="center"/>
    </xf>
    <xf numFmtId="178" fontId="52" fillId="62" borderId="24" xfId="41" applyNumberFormat="1" applyFont="1" applyFill="1" applyBorder="1" applyAlignment="1">
      <alignment vertical="center"/>
    </xf>
    <xf numFmtId="0" fontId="52" fillId="62" borderId="25" xfId="272" applyFont="1" applyFill="1" applyBorder="1" applyAlignment="1">
      <alignment vertical="center"/>
    </xf>
    <xf numFmtId="178" fontId="52" fillId="62" borderId="262" xfId="41" applyNumberFormat="1" applyFont="1" applyFill="1" applyBorder="1" applyAlignment="1">
      <alignment vertical="center"/>
    </xf>
    <xf numFmtId="0" fontId="204" fillId="47" borderId="0" xfId="324" applyFont="1" applyFill="1"/>
    <xf numFmtId="0" fontId="204" fillId="47" borderId="0" xfId="324" applyFont="1" applyFill="1" applyAlignment="1">
      <alignment horizontal="left"/>
    </xf>
    <xf numFmtId="0" fontId="158" fillId="0" borderId="0" xfId="0" applyFont="1" applyFill="1"/>
    <xf numFmtId="0" fontId="12" fillId="0" borderId="0" xfId="0" applyFont="1" applyAlignment="1">
      <alignment wrapText="1"/>
    </xf>
    <xf numFmtId="180" fontId="12" fillId="0" borderId="0" xfId="41" applyNumberFormat="1" applyFont="1" applyFill="1" applyBorder="1" applyAlignment="1" applyProtection="1"/>
    <xf numFmtId="186" fontId="12" fillId="0" borderId="0" xfId="41" applyNumberFormat="1" applyFont="1" applyFill="1" applyBorder="1" applyAlignment="1" applyProtection="1"/>
    <xf numFmtId="0" fontId="13" fillId="0" borderId="0" xfId="0" applyFont="1" applyFill="1" applyBorder="1" applyAlignment="1">
      <alignment horizontal="right" vertical="center"/>
    </xf>
    <xf numFmtId="175" fontId="13" fillId="0" borderId="0" xfId="0" applyNumberFormat="1" applyFont="1" applyFill="1" applyAlignment="1">
      <alignment horizontal="center" vertical="top"/>
    </xf>
    <xf numFmtId="175" fontId="13" fillId="0" borderId="0" xfId="0" applyNumberFormat="1" applyFont="1" applyFill="1" applyBorder="1" applyAlignment="1">
      <alignment horizontal="right" vertical="top"/>
    </xf>
    <xf numFmtId="0" fontId="12" fillId="0" borderId="0" xfId="0" applyFont="1" applyFill="1"/>
    <xf numFmtId="0" fontId="12" fillId="0" borderId="0" xfId="0" applyFont="1" applyFill="1" applyAlignment="1">
      <alignment horizontal="center"/>
    </xf>
    <xf numFmtId="0" fontId="14" fillId="0" borderId="0" xfId="0" applyFont="1" applyFill="1"/>
    <xf numFmtId="0" fontId="12" fillId="0" borderId="0" xfId="0" applyFont="1" applyFill="1" applyAlignment="1">
      <alignment horizontal="right"/>
    </xf>
    <xf numFmtId="178" fontId="12" fillId="55" borderId="17" xfId="41" applyNumberFormat="1" applyFont="1" applyFill="1" applyBorder="1" applyAlignment="1" applyProtection="1">
      <alignment horizontal="centerContinuous"/>
    </xf>
    <xf numFmtId="178" fontId="12" fillId="55" borderId="38" xfId="41" applyNumberFormat="1" applyFont="1" applyFill="1" applyBorder="1" applyAlignment="1" applyProtection="1">
      <alignment horizontal="centerContinuous"/>
    </xf>
    <xf numFmtId="178" fontId="12" fillId="0" borderId="0" xfId="41" applyNumberFormat="1" applyFont="1" applyFill="1" applyBorder="1" applyAlignment="1" applyProtection="1">
      <alignment horizontal="right"/>
    </xf>
    <xf numFmtId="0" fontId="164" fillId="55" borderId="32" xfId="0" applyFont="1" applyFill="1" applyBorder="1" applyAlignment="1">
      <alignment horizontal="centerContinuous"/>
    </xf>
    <xf numFmtId="0" fontId="207" fillId="0" borderId="0" xfId="96" applyNumberFormat="1" applyFont="1" applyFill="1" applyBorder="1" applyAlignment="1" applyProtection="1"/>
    <xf numFmtId="0" fontId="207" fillId="0" borderId="0" xfId="96" applyNumberFormat="1" applyFont="1" applyFill="1" applyBorder="1" applyAlignment="1" applyProtection="1">
      <alignment horizontal="left"/>
    </xf>
    <xf numFmtId="178" fontId="12" fillId="0" borderId="30" xfId="41" applyNumberFormat="1" applyFont="1" applyFill="1" applyBorder="1" applyAlignment="1" applyProtection="1">
      <alignment horizontal="right"/>
    </xf>
    <xf numFmtId="178" fontId="12" fillId="0" borderId="14" xfId="41" applyNumberFormat="1" applyFont="1" applyFill="1" applyBorder="1" applyAlignment="1" applyProtection="1"/>
    <xf numFmtId="0" fontId="206" fillId="0" borderId="0" xfId="0" applyFont="1" applyAlignment="1">
      <alignment horizontal="right"/>
    </xf>
    <xf numFmtId="178" fontId="12" fillId="0" borderId="310" xfId="0" applyNumberFormat="1" applyFont="1" applyFill="1" applyBorder="1"/>
    <xf numFmtId="178" fontId="12" fillId="0" borderId="0" xfId="0" applyNumberFormat="1" applyFont="1" applyFill="1" applyBorder="1"/>
    <xf numFmtId="178" fontId="12" fillId="0" borderId="17" xfId="0" applyNumberFormat="1" applyFont="1" applyFill="1" applyBorder="1"/>
    <xf numFmtId="14" fontId="12" fillId="0" borderId="0" xfId="0" applyNumberFormat="1" applyFont="1" applyFill="1"/>
    <xf numFmtId="200" fontId="12" fillId="47" borderId="14" xfId="41" applyNumberFormat="1" applyFont="1" applyFill="1" applyBorder="1" applyAlignment="1">
      <alignment horizontal="right"/>
    </xf>
    <xf numFmtId="178" fontId="12" fillId="0" borderId="310" xfId="41" applyNumberFormat="1" applyFont="1" applyFill="1" applyBorder="1" applyAlignment="1" applyProtection="1">
      <alignment horizontal="right"/>
    </xf>
    <xf numFmtId="178" fontId="0" fillId="58" borderId="0" xfId="0" applyNumberFormat="1" applyFill="1"/>
    <xf numFmtId="0" fontId="204" fillId="0" borderId="0" xfId="0" applyFont="1" applyFill="1"/>
    <xf numFmtId="178" fontId="12" fillId="0" borderId="0" xfId="0" applyNumberFormat="1" applyFont="1" applyFill="1"/>
    <xf numFmtId="0" fontId="205" fillId="70" borderId="23" xfId="0" applyFont="1" applyFill="1" applyBorder="1" applyAlignment="1">
      <alignment horizontal="centerContinuous" vertical="center"/>
    </xf>
    <xf numFmtId="173" fontId="12" fillId="0" borderId="29" xfId="0" applyNumberFormat="1" applyFont="1" applyBorder="1" applyAlignment="1">
      <alignment horizontal="left"/>
    </xf>
    <xf numFmtId="0" fontId="12" fillId="0" borderId="29" xfId="0" applyFont="1" applyBorder="1"/>
    <xf numFmtId="0" fontId="13" fillId="55" borderId="14" xfId="0" applyFont="1" applyFill="1" applyBorder="1" applyAlignment="1">
      <alignment horizontal="center" vertical="center" wrapText="1"/>
    </xf>
    <xf numFmtId="242" fontId="13" fillId="55" borderId="14" xfId="0" applyNumberFormat="1" applyFont="1" applyFill="1" applyBorder="1" applyAlignment="1">
      <alignment horizontal="center" vertical="center" wrapText="1"/>
    </xf>
    <xf numFmtId="0" fontId="205" fillId="70" borderId="25" xfId="0" applyFont="1" applyFill="1" applyBorder="1" applyAlignment="1">
      <alignment horizontal="centerContinuous" vertical="center"/>
    </xf>
    <xf numFmtId="0" fontId="205" fillId="70" borderId="308" xfId="0" applyFont="1" applyFill="1" applyBorder="1" applyAlignment="1">
      <alignment horizontal="centerContinuous" vertical="center"/>
    </xf>
    <xf numFmtId="0" fontId="205" fillId="70" borderId="27" xfId="0" applyFont="1" applyFill="1" applyBorder="1" applyAlignment="1">
      <alignment horizontal="centerContinuous" vertical="center"/>
    </xf>
    <xf numFmtId="178" fontId="12" fillId="0" borderId="14" xfId="0" applyNumberFormat="1" applyFont="1" applyFill="1" applyBorder="1"/>
    <xf numFmtId="178" fontId="0" fillId="0" borderId="14" xfId="0" applyNumberFormat="1" applyFill="1" applyBorder="1"/>
    <xf numFmtId="173" fontId="12" fillId="0" borderId="32" xfId="0" applyNumberFormat="1" applyFont="1" applyBorder="1" applyAlignment="1">
      <alignment horizontal="left"/>
    </xf>
    <xf numFmtId="0" fontId="13" fillId="0" borderId="17" xfId="0" applyFont="1" applyBorder="1" applyAlignment="1">
      <alignment horizontal="left"/>
    </xf>
    <xf numFmtId="0" fontId="12" fillId="0" borderId="17" xfId="0" applyFont="1" applyBorder="1" applyAlignment="1">
      <alignment horizontal="center"/>
    </xf>
    <xf numFmtId="240" fontId="13" fillId="0" borderId="14" xfId="0" applyNumberFormat="1" applyFont="1" applyBorder="1" applyAlignment="1">
      <alignment horizontal="right"/>
    </xf>
    <xf numFmtId="240" fontId="13" fillId="0" borderId="38" xfId="0" applyNumberFormat="1" applyFont="1" applyBorder="1" applyAlignment="1">
      <alignment horizontal="right"/>
    </xf>
    <xf numFmtId="0" fontId="12" fillId="0" borderId="14" xfId="0" applyFont="1" applyBorder="1" applyAlignment="1">
      <alignment horizontal="center"/>
    </xf>
    <xf numFmtId="178" fontId="12" fillId="62" borderId="31" xfId="41" applyNumberFormat="1" applyFont="1" applyFill="1" applyBorder="1" applyAlignment="1">
      <alignment vertical="center"/>
    </xf>
    <xf numFmtId="178" fontId="12" fillId="62" borderId="14" xfId="41" applyNumberFormat="1" applyFont="1" applyFill="1" applyBorder="1" applyAlignment="1">
      <alignment vertical="center"/>
    </xf>
    <xf numFmtId="178" fontId="13" fillId="55" borderId="38" xfId="41" applyNumberFormat="1" applyFont="1" applyFill="1" applyBorder="1" applyAlignment="1" applyProtection="1">
      <alignment horizontal="centerContinuous"/>
    </xf>
    <xf numFmtId="14" fontId="0" fillId="0" borderId="0" xfId="0" applyNumberFormat="1"/>
    <xf numFmtId="173" fontId="12" fillId="0" borderId="29" xfId="0" applyNumberFormat="1" applyFont="1" applyBorder="1" applyAlignment="1">
      <alignment horizontal="center" vertical="center"/>
    </xf>
    <xf numFmtId="0" fontId="12" fillId="0" borderId="29" xfId="0" applyFont="1" applyBorder="1" applyAlignment="1">
      <alignment vertical="center"/>
    </xf>
    <xf numFmtId="0" fontId="12" fillId="62" borderId="14" xfId="0" applyFont="1" applyFill="1" applyBorder="1" applyAlignment="1">
      <alignment horizontal="center" vertical="center"/>
    </xf>
    <xf numFmtId="240" fontId="12" fillId="62" borderId="29" xfId="0" applyNumberFormat="1" applyFont="1" applyFill="1" applyBorder="1" applyAlignment="1">
      <alignment horizontal="right" vertical="center"/>
    </xf>
    <xf numFmtId="173" fontId="12" fillId="0" borderId="31" xfId="0" applyNumberFormat="1" applyFont="1" applyBorder="1" applyAlignment="1">
      <alignment horizontal="center" vertical="center"/>
    </xf>
    <xf numFmtId="0" fontId="12" fillId="0" borderId="31" xfId="0" applyFont="1" applyBorder="1" applyAlignment="1">
      <alignment vertical="center"/>
    </xf>
    <xf numFmtId="0" fontId="12" fillId="62" borderId="38" xfId="0" applyFont="1" applyFill="1" applyBorder="1" applyAlignment="1">
      <alignment horizontal="center" vertical="center"/>
    </xf>
    <xf numFmtId="240" fontId="12" fillId="62" borderId="31" xfId="0" applyNumberFormat="1" applyFont="1" applyFill="1" applyBorder="1" applyAlignment="1">
      <alignment horizontal="right" vertical="center"/>
    </xf>
    <xf numFmtId="0" fontId="13" fillId="35" borderId="0" xfId="0" applyFont="1" applyFill="1" applyAlignment="1">
      <alignment horizontal="center" wrapText="1"/>
    </xf>
    <xf numFmtId="0" fontId="12" fillId="58" borderId="14" xfId="321" applyFont="1" applyFill="1" applyBorder="1" applyAlignment="1">
      <alignment horizontal="center"/>
    </xf>
    <xf numFmtId="165" fontId="13" fillId="35" borderId="14" xfId="56" applyFont="1" applyFill="1" applyBorder="1" applyAlignment="1">
      <alignment horizontal="center" vertical="center" wrapText="1"/>
    </xf>
    <xf numFmtId="165" fontId="12" fillId="35" borderId="0" xfId="56" applyFont="1" applyFill="1" applyAlignment="1">
      <alignment wrapText="1"/>
    </xf>
    <xf numFmtId="165" fontId="31" fillId="35" borderId="14" xfId="56" applyFont="1" applyFill="1" applyBorder="1" applyAlignment="1">
      <alignment horizontal="center" vertical="center" wrapText="1"/>
    </xf>
    <xf numFmtId="165" fontId="31" fillId="35" borderId="0" xfId="56" applyFont="1" applyFill="1" applyBorder="1" applyAlignment="1">
      <alignment horizontal="center" vertical="center" wrapText="1"/>
    </xf>
    <xf numFmtId="0" fontId="0" fillId="35" borderId="0" xfId="0" applyFill="1" applyAlignment="1">
      <alignment horizontal="left" vertical="center"/>
    </xf>
    <xf numFmtId="178" fontId="12" fillId="58" borderId="14" xfId="41" applyNumberFormat="1" applyFont="1" applyFill="1" applyBorder="1" applyAlignment="1">
      <alignment horizontal="center" vertical="center"/>
    </xf>
    <xf numFmtId="0" fontId="0" fillId="35" borderId="0" xfId="0" applyFill="1" applyAlignment="1">
      <alignment horizontal="left" vertical="center" wrapText="1"/>
    </xf>
    <xf numFmtId="178" fontId="12" fillId="35" borderId="0" xfId="41" applyNumberFormat="1" applyFont="1" applyFill="1" applyAlignment="1">
      <alignment horizontal="center" vertical="center" wrapText="1"/>
    </xf>
    <xf numFmtId="9" fontId="12" fillId="35" borderId="0" xfId="178" applyFont="1" applyFill="1" applyAlignment="1">
      <alignment horizontal="center" vertical="center" wrapText="1"/>
    </xf>
    <xf numFmtId="9" fontId="12" fillId="58" borderId="197" xfId="178" applyFont="1" applyFill="1" applyBorder="1"/>
    <xf numFmtId="9" fontId="12" fillId="35" borderId="0" xfId="0" applyNumberFormat="1" applyFont="1" applyFill="1" applyAlignment="1">
      <alignment horizontal="center"/>
    </xf>
    <xf numFmtId="201" fontId="12" fillId="58" borderId="198" xfId="56" quotePrefix="1" applyNumberFormat="1" applyFont="1" applyFill="1" applyBorder="1"/>
    <xf numFmtId="166" fontId="13" fillId="35" borderId="8" xfId="41" applyFont="1" applyFill="1" applyBorder="1"/>
    <xf numFmtId="201" fontId="13" fillId="35" borderId="0" xfId="56" applyNumberFormat="1" applyFont="1" applyFill="1" applyBorder="1"/>
    <xf numFmtId="165" fontId="13" fillId="50" borderId="298" xfId="56" applyFont="1" applyFill="1" applyBorder="1" applyAlignment="1">
      <alignment horizontal="center" vertical="center" wrapText="1"/>
    </xf>
    <xf numFmtId="165" fontId="12" fillId="50" borderId="299" xfId="56" applyFont="1" applyFill="1" applyBorder="1"/>
    <xf numFmtId="201" fontId="12" fillId="50" borderId="299" xfId="56" applyNumberFormat="1" applyFont="1" applyFill="1" applyBorder="1"/>
    <xf numFmtId="201" fontId="13" fillId="50" borderId="299" xfId="56" applyNumberFormat="1" applyFont="1" applyFill="1" applyBorder="1"/>
    <xf numFmtId="201" fontId="13" fillId="50" borderId="311" xfId="56" applyNumberFormat="1" applyFont="1" applyFill="1" applyBorder="1"/>
    <xf numFmtId="201" fontId="13" fillId="50" borderId="312" xfId="56" applyNumberFormat="1" applyFont="1" applyFill="1" applyBorder="1"/>
    <xf numFmtId="0" fontId="13" fillId="35" borderId="0" xfId="0" applyFont="1" applyFill="1" applyBorder="1" applyAlignment="1">
      <alignment horizontal="center" vertical="center" wrapText="1"/>
    </xf>
    <xf numFmtId="0" fontId="12" fillId="0" borderId="0" xfId="0" applyFont="1" applyFill="1" applyBorder="1" applyAlignment="1">
      <alignment horizontal="center"/>
    </xf>
    <xf numFmtId="0" fontId="204" fillId="0" borderId="0" xfId="0" applyFont="1" applyFill="1" applyAlignment="1">
      <alignment horizontal="center" vertical="center"/>
    </xf>
    <xf numFmtId="243" fontId="12" fillId="47" borderId="14" xfId="41" applyNumberFormat="1" applyFont="1" applyFill="1" applyBorder="1" applyAlignment="1">
      <alignment horizontal="right"/>
    </xf>
    <xf numFmtId="0" fontId="13" fillId="35" borderId="38" xfId="0" applyFont="1" applyFill="1" applyBorder="1" applyAlignment="1">
      <alignment horizontal="center"/>
    </xf>
    <xf numFmtId="244" fontId="0" fillId="0" borderId="0" xfId="0" applyNumberFormat="1"/>
    <xf numFmtId="245" fontId="0" fillId="0" borderId="0" xfId="0" applyNumberFormat="1"/>
    <xf numFmtId="218" fontId="12" fillId="58" borderId="198" xfId="178" applyNumberFormat="1" applyFont="1" applyFill="1" applyBorder="1" applyAlignment="1"/>
    <xf numFmtId="0" fontId="13" fillId="25" borderId="32" xfId="0" applyFont="1" applyFill="1" applyBorder="1" applyAlignment="1">
      <alignment horizontal="center" vertical="center"/>
    </xf>
    <xf numFmtId="0" fontId="13" fillId="25" borderId="17" xfId="0" applyFont="1" applyFill="1" applyBorder="1" applyAlignment="1">
      <alignment horizontal="center" vertical="center"/>
    </xf>
    <xf numFmtId="0" fontId="13" fillId="25" borderId="38" xfId="0" applyFont="1" applyFill="1" applyBorder="1" applyAlignment="1">
      <alignment horizontal="center" vertical="center"/>
    </xf>
    <xf numFmtId="0" fontId="27" fillId="35" borderId="0" xfId="131" applyFill="1" applyAlignment="1" applyProtection="1">
      <alignment horizontal="left"/>
    </xf>
    <xf numFmtId="0" fontId="13" fillId="58" borderId="32" xfId="0" applyNumberFormat="1" applyFont="1" applyFill="1" applyBorder="1" applyAlignment="1">
      <alignment horizontal="left"/>
    </xf>
    <xf numFmtId="0" fontId="13" fillId="58" borderId="17" xfId="0" applyNumberFormat="1" applyFont="1" applyFill="1" applyBorder="1" applyAlignment="1">
      <alignment horizontal="left"/>
    </xf>
    <xf numFmtId="0" fontId="13" fillId="58" borderId="38" xfId="0" applyNumberFormat="1" applyFont="1" applyFill="1" applyBorder="1" applyAlignment="1">
      <alignment horizontal="left"/>
    </xf>
    <xf numFmtId="0" fontId="18" fillId="0" borderId="32" xfId="0" applyFont="1" applyBorder="1" applyAlignment="1">
      <alignment horizontal="center" vertical="center"/>
    </xf>
    <xf numFmtId="0" fontId="18" fillId="0" borderId="17" xfId="0" applyFont="1" applyBorder="1" applyAlignment="1">
      <alignment horizontal="center" vertical="center"/>
    </xf>
    <xf numFmtId="0" fontId="18" fillId="0" borderId="38" xfId="0" applyFont="1" applyBorder="1" applyAlignment="1">
      <alignment horizontal="center" vertical="center"/>
    </xf>
    <xf numFmtId="0" fontId="22" fillId="35" borderId="0" xfId="0" applyFont="1" applyFill="1" applyBorder="1" applyAlignment="1">
      <alignment horizontal="left" vertical="top"/>
    </xf>
    <xf numFmtId="0" fontId="18" fillId="47" borderId="32" xfId="0" applyFont="1" applyFill="1" applyBorder="1" applyAlignment="1">
      <alignment horizontal="center" vertical="center"/>
    </xf>
    <xf numFmtId="0" fontId="18" fillId="47" borderId="17" xfId="0" applyFont="1" applyFill="1" applyBorder="1" applyAlignment="1">
      <alignment horizontal="center" vertical="center"/>
    </xf>
    <xf numFmtId="0" fontId="18" fillId="47" borderId="38" xfId="0" applyFont="1" applyFill="1" applyBorder="1" applyAlignment="1">
      <alignment horizontal="center" vertical="center"/>
    </xf>
    <xf numFmtId="0" fontId="18" fillId="0" borderId="32" xfId="0" applyFont="1" applyBorder="1" applyAlignment="1">
      <alignment horizontal="center"/>
    </xf>
    <xf numFmtId="0" fontId="18" fillId="0" borderId="17" xfId="0" applyFont="1" applyBorder="1" applyAlignment="1">
      <alignment horizontal="center"/>
    </xf>
    <xf numFmtId="0" fontId="18" fillId="0" borderId="38" xfId="0" applyFont="1" applyBorder="1" applyAlignment="1">
      <alignment horizontal="center"/>
    </xf>
    <xf numFmtId="0" fontId="19" fillId="0" borderId="0" xfId="0" applyFont="1" applyFill="1" applyAlignment="1">
      <alignment horizontal="center" vertical="top"/>
    </xf>
    <xf numFmtId="0" fontId="18" fillId="0" borderId="32" xfId="0" applyFont="1" applyFill="1" applyBorder="1" applyAlignment="1">
      <alignment horizontal="center" vertical="top"/>
    </xf>
    <xf numFmtId="0" fontId="18" fillId="0" borderId="17" xfId="0" applyFont="1" applyFill="1" applyBorder="1" applyAlignment="1">
      <alignment horizontal="center" vertical="top"/>
    </xf>
    <xf numFmtId="0" fontId="18" fillId="0" borderId="38" xfId="0" applyFont="1" applyFill="1" applyBorder="1" applyAlignment="1">
      <alignment horizontal="center" vertical="top"/>
    </xf>
    <xf numFmtId="0" fontId="27" fillId="0" borderId="18" xfId="131" applyFill="1" applyBorder="1" applyAlignment="1" applyProtection="1">
      <alignment horizontal="right" vertical="top"/>
    </xf>
    <xf numFmtId="0" fontId="27" fillId="0" borderId="32" xfId="131" applyBorder="1" applyAlignment="1" applyProtection="1"/>
    <xf numFmtId="0" fontId="27" fillId="0" borderId="17" xfId="131" applyBorder="1" applyAlignment="1" applyProtection="1"/>
    <xf numFmtId="0" fontId="27" fillId="0" borderId="38" xfId="131" applyBorder="1" applyAlignment="1" applyProtection="1"/>
    <xf numFmtId="0" fontId="27" fillId="0" borderId="263" xfId="131" applyBorder="1" applyAlignment="1" applyProtection="1"/>
    <xf numFmtId="0" fontId="27" fillId="0" borderId="262" xfId="131" applyBorder="1" applyAlignment="1" applyProtection="1"/>
    <xf numFmtId="0" fontId="27" fillId="47" borderId="251" xfId="131" applyFill="1" applyBorder="1" applyAlignment="1" applyProtection="1">
      <alignment horizontal="left" vertical="top" wrapText="1"/>
    </xf>
    <xf numFmtId="0" fontId="27" fillId="47" borderId="18" xfId="131" applyFill="1" applyBorder="1" applyAlignment="1" applyProtection="1">
      <alignment horizontal="left" vertical="top" wrapText="1"/>
    </xf>
    <xf numFmtId="0" fontId="18" fillId="0" borderId="32" xfId="0" applyFont="1" applyBorder="1" applyAlignment="1">
      <alignment horizontal="center" vertical="top"/>
    </xf>
    <xf numFmtId="0" fontId="18" fillId="0" borderId="17" xfId="0" applyFont="1" applyBorder="1" applyAlignment="1">
      <alignment horizontal="center" vertical="top"/>
    </xf>
    <xf numFmtId="0" fontId="18" fillId="0" borderId="38" xfId="0" applyFont="1" applyBorder="1" applyAlignment="1">
      <alignment horizontal="center" vertical="top"/>
    </xf>
    <xf numFmtId="0" fontId="27" fillId="0" borderId="247" xfId="131" applyFill="1" applyBorder="1" applyAlignment="1" applyProtection="1">
      <alignment horizontal="center"/>
    </xf>
    <xf numFmtId="0" fontId="27" fillId="0" borderId="248" xfId="131" applyFill="1" applyBorder="1" applyAlignment="1" applyProtection="1">
      <alignment horizontal="center"/>
    </xf>
    <xf numFmtId="0" fontId="27" fillId="0" borderId="111" xfId="131" applyFill="1" applyBorder="1" applyAlignment="1" applyProtection="1">
      <alignment horizontal="center"/>
    </xf>
    <xf numFmtId="0" fontId="12" fillId="0" borderId="100" xfId="0" applyFont="1" applyBorder="1" applyAlignment="1">
      <alignment horizontal="left" vertical="top"/>
    </xf>
    <xf numFmtId="0" fontId="12" fillId="0" borderId="156" xfId="0" applyFont="1" applyBorder="1" applyAlignment="1">
      <alignment horizontal="left" vertical="top"/>
    </xf>
    <xf numFmtId="0" fontId="12" fillId="0" borderId="101" xfId="0" applyFont="1" applyBorder="1" applyAlignment="1">
      <alignment horizontal="left" vertical="top"/>
    </xf>
    <xf numFmtId="0" fontId="27" fillId="47" borderId="105" xfId="131" applyFill="1" applyBorder="1" applyAlignment="1" applyProtection="1">
      <alignment horizontal="left" vertical="top" wrapText="1"/>
    </xf>
    <xf numFmtId="0" fontId="27" fillId="47" borderId="17" xfId="131" applyFill="1" applyBorder="1" applyAlignment="1" applyProtection="1">
      <alignment horizontal="left" vertical="top" wrapText="1"/>
    </xf>
    <xf numFmtId="0" fontId="27" fillId="47" borderId="38" xfId="131" applyFill="1" applyBorder="1" applyAlignment="1" applyProtection="1">
      <alignment horizontal="left" vertical="top" wrapText="1"/>
    </xf>
    <xf numFmtId="0" fontId="12" fillId="0" borderId="105" xfId="0" applyFont="1" applyBorder="1" applyAlignment="1">
      <alignment horizontal="left" vertical="top"/>
    </xf>
    <xf numFmtId="0" fontId="12" fillId="0" borderId="17" xfId="0" applyFont="1" applyBorder="1" applyAlignment="1">
      <alignment horizontal="left" vertical="top"/>
    </xf>
    <xf numFmtId="0" fontId="12" fillId="0" borderId="38" xfId="0" applyFont="1" applyBorder="1" applyAlignment="1">
      <alignment horizontal="left" vertical="top"/>
    </xf>
    <xf numFmtId="0" fontId="27" fillId="0" borderId="0" xfId="131" applyFill="1" applyBorder="1" applyAlignment="1" applyProtection="1">
      <alignment horizontal="left" vertical="top"/>
    </xf>
    <xf numFmtId="0" fontId="62" fillId="57" borderId="0" xfId="36" applyFont="1" applyFill="1" applyAlignment="1">
      <alignment horizontal="center" vertical="center"/>
    </xf>
    <xf numFmtId="221" fontId="62" fillId="57" borderId="0" xfId="36" applyNumberFormat="1" applyFont="1" applyFill="1" applyAlignment="1">
      <alignment horizontal="center" vertical="center"/>
    </xf>
    <xf numFmtId="0" fontId="27" fillId="0" borderId="18" xfId="131" applyFill="1" applyBorder="1" applyAlignment="1" applyProtection="1">
      <alignment horizontal="right" vertical="center"/>
    </xf>
    <xf numFmtId="14" fontId="20" fillId="0" borderId="0" xfId="0" applyNumberFormat="1" applyFont="1" applyFill="1" applyBorder="1" applyAlignment="1">
      <alignment horizontal="center"/>
    </xf>
    <xf numFmtId="0" fontId="23" fillId="0" borderId="0" xfId="0" applyFont="1" applyAlignment="1">
      <alignment horizontal="left" vertical="top" wrapText="1"/>
    </xf>
    <xf numFmtId="0" fontId="183" fillId="0" borderId="0" xfId="0" applyFont="1" applyAlignment="1">
      <alignment horizontal="left"/>
    </xf>
    <xf numFmtId="0" fontId="12" fillId="0" borderId="0" xfId="0" applyFont="1" applyAlignment="1">
      <alignment horizontal="left"/>
    </xf>
    <xf numFmtId="0" fontId="19" fillId="58" borderId="194" xfId="321" applyFont="1" applyFill="1" applyBorder="1" applyAlignment="1">
      <alignment horizontal="left" vertical="top" wrapText="1"/>
    </xf>
    <xf numFmtId="0" fontId="19" fillId="58" borderId="195" xfId="321" applyFont="1" applyFill="1" applyBorder="1" applyAlignment="1">
      <alignment horizontal="left" vertical="top" wrapText="1"/>
    </xf>
    <xf numFmtId="0" fontId="19" fillId="58" borderId="196" xfId="321" applyFont="1" applyFill="1" applyBorder="1" applyAlignment="1">
      <alignment horizontal="left" vertical="top" wrapText="1"/>
    </xf>
    <xf numFmtId="180" fontId="19" fillId="35" borderId="18" xfId="0" applyNumberFormat="1" applyFont="1" applyFill="1" applyBorder="1" applyAlignment="1">
      <alignment horizontal="center"/>
    </xf>
    <xf numFmtId="180" fontId="19" fillId="35" borderId="0" xfId="0" applyNumberFormat="1" applyFont="1" applyFill="1" applyAlignment="1">
      <alignment horizontal="center"/>
    </xf>
    <xf numFmtId="180" fontId="19" fillId="35" borderId="20" xfId="0" applyNumberFormat="1" applyFont="1" applyFill="1" applyBorder="1" applyAlignment="1">
      <alignment horizontal="center"/>
    </xf>
    <xf numFmtId="180" fontId="19" fillId="35" borderId="0" xfId="0" applyNumberFormat="1" applyFont="1" applyFill="1" applyBorder="1" applyAlignment="1">
      <alignment horizontal="center"/>
    </xf>
    <xf numFmtId="0" fontId="13" fillId="58" borderId="32" xfId="321" applyFont="1" applyFill="1" applyBorder="1" applyAlignment="1" applyProtection="1">
      <alignment horizontal="center"/>
      <protection locked="0"/>
    </xf>
    <xf numFmtId="0" fontId="13" fillId="58" borderId="17" xfId="321" applyFont="1" applyFill="1" applyBorder="1" applyAlignment="1" applyProtection="1">
      <alignment horizontal="center"/>
      <protection locked="0"/>
    </xf>
    <xf numFmtId="0" fontId="13" fillId="58" borderId="38" xfId="321" applyFont="1" applyFill="1" applyBorder="1" applyAlignment="1" applyProtection="1">
      <alignment horizontal="center"/>
      <protection locked="0"/>
    </xf>
    <xf numFmtId="178" fontId="12" fillId="68" borderId="22" xfId="41" applyNumberFormat="1" applyFont="1" applyFill="1" applyBorder="1" applyAlignment="1">
      <alignment horizontal="left" vertical="top" wrapText="1"/>
    </xf>
    <xf numFmtId="178" fontId="12" fillId="68" borderId="18" xfId="41" applyNumberFormat="1" applyFont="1" applyFill="1" applyBorder="1" applyAlignment="1">
      <alignment horizontal="left" vertical="top" wrapText="1"/>
    </xf>
    <xf numFmtId="178" fontId="12" fillId="68" borderId="26" xfId="41" applyNumberFormat="1" applyFont="1" applyFill="1" applyBorder="1" applyAlignment="1">
      <alignment horizontal="left" vertical="top" wrapText="1"/>
    </xf>
    <xf numFmtId="178" fontId="12" fillId="68" borderId="25" xfId="41" applyNumberFormat="1" applyFont="1" applyFill="1" applyBorder="1" applyAlignment="1">
      <alignment horizontal="left" vertical="top" wrapText="1"/>
    </xf>
    <xf numFmtId="178" fontId="12" fillId="68" borderId="263" xfId="41" applyNumberFormat="1" applyFont="1" applyFill="1" applyBorder="1" applyAlignment="1">
      <alignment horizontal="left" vertical="top" wrapText="1"/>
    </xf>
    <xf numFmtId="178" fontId="12" fillId="68" borderId="262" xfId="41" applyNumberFormat="1" applyFont="1" applyFill="1" applyBorder="1" applyAlignment="1">
      <alignment horizontal="left" vertical="top" wrapText="1"/>
    </xf>
    <xf numFmtId="0" fontId="18" fillId="0" borderId="14" xfId="0" applyFont="1" applyFill="1" applyBorder="1" applyAlignment="1">
      <alignment horizontal="center" vertical="center"/>
    </xf>
    <xf numFmtId="0" fontId="205" fillId="71" borderId="32" xfId="0" applyFont="1" applyFill="1" applyBorder="1" applyAlignment="1">
      <alignment horizontal="center" vertical="center"/>
    </xf>
    <xf numFmtId="0" fontId="205" fillId="71" borderId="17" xfId="0" applyFont="1" applyFill="1" applyBorder="1" applyAlignment="1">
      <alignment horizontal="center" vertical="center"/>
    </xf>
    <xf numFmtId="0" fontId="205" fillId="71" borderId="38" xfId="0" applyFont="1" applyFill="1" applyBorder="1" applyAlignment="1">
      <alignment horizontal="center" vertical="center"/>
    </xf>
    <xf numFmtId="0" fontId="61" fillId="60" borderId="0" xfId="36" applyFill="1" applyAlignment="1">
      <alignment horizontal="left" vertical="center"/>
    </xf>
    <xf numFmtId="0" fontId="0" fillId="0" borderId="17" xfId="0" applyBorder="1" applyAlignment="1">
      <alignment horizontal="left" vertical="top" wrapText="1"/>
    </xf>
    <xf numFmtId="0" fontId="0" fillId="0" borderId="20" xfId="0" applyBorder="1" applyAlignment="1">
      <alignment horizontal="left" vertical="top" wrapText="1"/>
    </xf>
    <xf numFmtId="0" fontId="19" fillId="0" borderId="0" xfId="0" applyFont="1" applyAlignment="1">
      <alignment horizontal="left"/>
    </xf>
    <xf numFmtId="0" fontId="60" fillId="25" borderId="14" xfId="0" applyFont="1" applyFill="1" applyBorder="1" applyAlignment="1">
      <alignment horizontal="center"/>
    </xf>
    <xf numFmtId="0" fontId="122" fillId="58" borderId="14" xfId="321" applyFont="1" applyFill="1" applyBorder="1" applyAlignment="1">
      <alignment horizontal="left" vertical="top" wrapText="1"/>
    </xf>
    <xf numFmtId="0" fontId="60" fillId="35" borderId="14" xfId="0" applyFont="1" applyFill="1" applyBorder="1" applyAlignment="1">
      <alignment horizontal="left" vertical="top" wrapText="1"/>
    </xf>
    <xf numFmtId="0" fontId="122" fillId="58" borderId="32" xfId="321" applyFont="1" applyFill="1" applyBorder="1" applyAlignment="1">
      <alignment horizontal="left" vertical="top" wrapText="1"/>
    </xf>
    <xf numFmtId="0" fontId="122" fillId="58" borderId="38" xfId="321" applyFont="1" applyFill="1" applyBorder="1" applyAlignment="1">
      <alignment horizontal="left" vertical="top" wrapText="1"/>
    </xf>
    <xf numFmtId="0" fontId="60" fillId="35" borderId="18" xfId="0" quotePrefix="1" applyFont="1" applyFill="1" applyBorder="1" applyAlignment="1">
      <alignment horizontal="center"/>
    </xf>
    <xf numFmtId="0" fontId="122" fillId="35" borderId="20" xfId="0" applyFont="1" applyFill="1" applyBorder="1" applyAlignment="1">
      <alignment horizontal="left" vertical="center" wrapText="1"/>
    </xf>
    <xf numFmtId="0" fontId="122" fillId="35" borderId="20" xfId="0" applyFont="1" applyFill="1" applyBorder="1" applyAlignment="1">
      <alignment horizontal="left" vertical="center"/>
    </xf>
    <xf numFmtId="0" fontId="19" fillId="58" borderId="32" xfId="321" applyFont="1" applyFill="1" applyBorder="1" applyAlignment="1">
      <alignment horizontal="left" vertical="top" wrapText="1"/>
    </xf>
    <xf numFmtId="0" fontId="19" fillId="58" borderId="17" xfId="321" applyFont="1" applyFill="1" applyBorder="1" applyAlignment="1">
      <alignment horizontal="left" vertical="top" wrapText="1"/>
    </xf>
    <xf numFmtId="0" fontId="19" fillId="58" borderId="38" xfId="321" applyFont="1" applyFill="1" applyBorder="1" applyAlignment="1">
      <alignment horizontal="left" vertical="top" wrapText="1"/>
    </xf>
    <xf numFmtId="0" fontId="18" fillId="47" borderId="32" xfId="131" applyFont="1" applyFill="1" applyBorder="1" applyAlignment="1" applyProtection="1">
      <alignment horizontal="center"/>
    </xf>
    <xf numFmtId="0" fontId="18" fillId="47" borderId="17" xfId="131" applyFont="1" applyFill="1" applyBorder="1" applyAlignment="1" applyProtection="1">
      <alignment horizontal="center"/>
    </xf>
    <xf numFmtId="0" fontId="18" fillId="47" borderId="38" xfId="131" applyFont="1" applyFill="1" applyBorder="1" applyAlignment="1" applyProtection="1">
      <alignment horizontal="center"/>
    </xf>
    <xf numFmtId="0" fontId="199" fillId="47" borderId="32" xfId="341" applyFont="1" applyFill="1" applyBorder="1" applyAlignment="1">
      <alignment horizontal="center"/>
    </xf>
    <xf numFmtId="0" fontId="199" fillId="47" borderId="17" xfId="341" applyFont="1" applyFill="1" applyBorder="1" applyAlignment="1">
      <alignment horizontal="center"/>
    </xf>
    <xf numFmtId="0" fontId="199" fillId="47" borderId="38" xfId="341" applyFont="1" applyFill="1" applyBorder="1" applyAlignment="1">
      <alignment horizontal="center"/>
    </xf>
    <xf numFmtId="0" fontId="199" fillId="68" borderId="32" xfId="341" applyFont="1" applyFill="1" applyBorder="1" applyAlignment="1">
      <alignment horizontal="center"/>
    </xf>
    <xf numFmtId="0" fontId="199" fillId="68" borderId="17" xfId="341" applyFont="1" applyFill="1" applyBorder="1" applyAlignment="1">
      <alignment horizontal="center"/>
    </xf>
    <xf numFmtId="0" fontId="199" fillId="68" borderId="38" xfId="341" applyFont="1" applyFill="1" applyBorder="1" applyAlignment="1">
      <alignment horizontal="center"/>
    </xf>
    <xf numFmtId="0" fontId="12" fillId="67" borderId="14" xfId="56" applyNumberFormat="1" applyFont="1" applyFill="1" applyBorder="1" applyAlignment="1">
      <alignment horizontal="center" vertical="center"/>
    </xf>
    <xf numFmtId="0" fontId="18" fillId="47" borderId="14" xfId="0" applyFont="1" applyFill="1" applyBorder="1" applyAlignment="1">
      <alignment horizontal="center" vertical="center"/>
    </xf>
    <xf numFmtId="0" fontId="12" fillId="0" borderId="14" xfId="56" applyNumberFormat="1" applyFont="1" applyFill="1" applyBorder="1" applyAlignment="1">
      <alignment horizontal="center" vertical="center"/>
    </xf>
    <xf numFmtId="0" fontId="195" fillId="47" borderId="0" xfId="54" applyFont="1" applyFill="1" applyAlignment="1">
      <alignment horizontal="left" vertical="center"/>
    </xf>
    <xf numFmtId="0" fontId="180" fillId="47" borderId="0" xfId="53" applyFont="1" applyFill="1" applyAlignment="1">
      <alignment horizontal="left" wrapText="1"/>
    </xf>
    <xf numFmtId="195" fontId="13" fillId="35" borderId="32" xfId="0" applyNumberFormat="1" applyFont="1" applyFill="1" applyBorder="1" applyAlignment="1">
      <alignment horizontal="center"/>
    </xf>
    <xf numFmtId="195" fontId="13" fillId="35" borderId="38" xfId="0" applyNumberFormat="1" applyFont="1" applyFill="1" applyBorder="1" applyAlignment="1">
      <alignment horizontal="center"/>
    </xf>
    <xf numFmtId="0" fontId="19" fillId="58" borderId="213" xfId="321" applyFont="1" applyFill="1" applyBorder="1" applyAlignment="1">
      <alignment horizontal="left"/>
    </xf>
    <xf numFmtId="0" fontId="19" fillId="58" borderId="195" xfId="321" applyFont="1" applyFill="1" applyBorder="1" applyAlignment="1">
      <alignment horizontal="left"/>
    </xf>
    <xf numFmtId="0" fontId="19" fillId="58" borderId="214" xfId="321" applyFont="1" applyFill="1" applyBorder="1" applyAlignment="1">
      <alignment horizontal="left"/>
    </xf>
    <xf numFmtId="0" fontId="19" fillId="58" borderId="215" xfId="321" applyFont="1" applyFill="1" applyBorder="1" applyAlignment="1">
      <alignment horizontal="left"/>
    </xf>
    <xf numFmtId="0" fontId="19" fillId="58" borderId="216" xfId="321" applyFont="1" applyFill="1" applyBorder="1" applyAlignment="1">
      <alignment horizontal="left"/>
    </xf>
    <xf numFmtId="0" fontId="19" fillId="58" borderId="217" xfId="321" applyFont="1" applyFill="1" applyBorder="1" applyAlignment="1">
      <alignment horizontal="left"/>
    </xf>
    <xf numFmtId="174" fontId="12" fillId="58" borderId="203" xfId="321" applyNumberFormat="1" applyFont="1" applyFill="1" applyBorder="1" applyAlignment="1">
      <alignment horizontal="left"/>
    </xf>
    <xf numFmtId="174" fontId="19" fillId="58" borderId="204" xfId="321" applyNumberFormat="1" applyFont="1" applyFill="1" applyBorder="1" applyAlignment="1">
      <alignment horizontal="left"/>
    </xf>
    <xf numFmtId="174" fontId="19" fillId="58" borderId="205" xfId="321" applyNumberFormat="1" applyFont="1" applyFill="1" applyBorder="1" applyAlignment="1">
      <alignment horizontal="left"/>
    </xf>
    <xf numFmtId="174" fontId="12" fillId="58" borderId="206" xfId="321" applyNumberFormat="1" applyFont="1" applyFill="1" applyBorder="1" applyAlignment="1">
      <alignment horizontal="left"/>
    </xf>
    <xf numFmtId="174" fontId="19" fillId="58" borderId="207" xfId="321" applyNumberFormat="1" applyFont="1" applyFill="1" applyBorder="1" applyAlignment="1">
      <alignment horizontal="left"/>
    </xf>
    <xf numFmtId="174" fontId="19" fillId="58" borderId="208" xfId="321" applyNumberFormat="1" applyFont="1" applyFill="1" applyBorder="1" applyAlignment="1">
      <alignment horizontal="left"/>
    </xf>
    <xf numFmtId="0" fontId="13" fillId="35" borderId="112" xfId="0" applyFont="1" applyFill="1" applyBorder="1" applyAlignment="1">
      <alignment horizontal="center"/>
    </xf>
    <xf numFmtId="0" fontId="13" fillId="35" borderId="110" xfId="0" applyFont="1" applyFill="1" applyBorder="1" applyAlignment="1">
      <alignment horizontal="center"/>
    </xf>
    <xf numFmtId="0" fontId="13" fillId="35" borderId="111" xfId="0" applyFont="1" applyFill="1" applyBorder="1" applyAlignment="1">
      <alignment horizontal="center"/>
    </xf>
    <xf numFmtId="0" fontId="13" fillId="35" borderId="25" xfId="0" applyFont="1" applyFill="1" applyBorder="1" applyAlignment="1">
      <alignment horizontal="center" vertical="top" wrapText="1"/>
    </xf>
    <xf numFmtId="0" fontId="13" fillId="35" borderId="20" xfId="0" applyFont="1" applyFill="1" applyBorder="1" applyAlignment="1">
      <alignment horizontal="center" vertical="top" wrapText="1"/>
    </xf>
    <xf numFmtId="0" fontId="13" fillId="35" borderId="27" xfId="0" applyFont="1" applyFill="1" applyBorder="1" applyAlignment="1">
      <alignment horizontal="center" vertical="top" wrapText="1"/>
    </xf>
    <xf numFmtId="174" fontId="12" fillId="58" borderId="200" xfId="321" applyNumberFormat="1" applyFont="1" applyFill="1" applyBorder="1" applyAlignment="1">
      <alignment horizontal="left"/>
    </xf>
    <xf numFmtId="174" fontId="19" fillId="58" borderId="201" xfId="321" applyNumberFormat="1" applyFont="1" applyFill="1" applyBorder="1" applyAlignment="1">
      <alignment horizontal="left"/>
    </xf>
    <xf numFmtId="174" fontId="19" fillId="58" borderId="202" xfId="321" applyNumberFormat="1" applyFont="1" applyFill="1" applyBorder="1" applyAlignment="1">
      <alignment horizontal="left"/>
    </xf>
    <xf numFmtId="0" fontId="13" fillId="35" borderId="0" xfId="0" applyFont="1" applyFill="1" applyAlignment="1">
      <alignment horizontal="center" wrapText="1"/>
    </xf>
    <xf numFmtId="0" fontId="13" fillId="35" borderId="0" xfId="0" applyFont="1" applyFill="1" applyAlignment="1">
      <alignment horizontal="left" vertical="top"/>
    </xf>
    <xf numFmtId="0" fontId="12" fillId="58" borderId="213" xfId="321" applyFont="1" applyFill="1" applyBorder="1" applyAlignment="1">
      <alignment horizontal="left"/>
    </xf>
    <xf numFmtId="165" fontId="19" fillId="58" borderId="210" xfId="321" applyNumberFormat="1" applyFont="1" applyFill="1" applyBorder="1" applyAlignment="1">
      <alignment horizontal="left"/>
    </xf>
    <xf numFmtId="165" fontId="19" fillId="58" borderId="211" xfId="321" applyNumberFormat="1" applyFont="1" applyFill="1" applyBorder="1" applyAlignment="1">
      <alignment horizontal="left"/>
    </xf>
    <xf numFmtId="165" fontId="19" fillId="58" borderId="212" xfId="321" applyNumberFormat="1" applyFont="1" applyFill="1" applyBorder="1" applyAlignment="1">
      <alignment horizontal="left"/>
    </xf>
    <xf numFmtId="165" fontId="19" fillId="58" borderId="213" xfId="321" applyNumberFormat="1" applyFont="1" applyFill="1" applyBorder="1" applyAlignment="1">
      <alignment horizontal="left"/>
    </xf>
    <xf numFmtId="165" fontId="19" fillId="58" borderId="195" xfId="321" applyNumberFormat="1" applyFont="1" applyFill="1" applyBorder="1" applyAlignment="1">
      <alignment horizontal="left"/>
    </xf>
    <xf numFmtId="165" fontId="19" fillId="58" borderId="214" xfId="321" applyNumberFormat="1" applyFont="1" applyFill="1" applyBorder="1" applyAlignment="1">
      <alignment horizontal="left"/>
    </xf>
    <xf numFmtId="0" fontId="13" fillId="35" borderId="32" xfId="0" applyFont="1" applyFill="1" applyBorder="1" applyAlignment="1">
      <alignment horizontal="center"/>
    </xf>
    <xf numFmtId="0" fontId="13" fillId="35" borderId="17" xfId="0" applyFont="1" applyFill="1" applyBorder="1" applyAlignment="1">
      <alignment horizontal="center"/>
    </xf>
    <xf numFmtId="0" fontId="13" fillId="35" borderId="38" xfId="0" applyFont="1" applyFill="1" applyBorder="1" applyAlignment="1">
      <alignment horizontal="center"/>
    </xf>
    <xf numFmtId="165" fontId="19" fillId="58" borderId="215" xfId="321" applyNumberFormat="1" applyFont="1" applyFill="1" applyBorder="1" applyAlignment="1">
      <alignment horizontal="left"/>
    </xf>
    <xf numFmtId="165" fontId="19" fillId="58" borderId="216" xfId="321" applyNumberFormat="1" applyFont="1" applyFill="1" applyBorder="1" applyAlignment="1">
      <alignment horizontal="left"/>
    </xf>
    <xf numFmtId="165" fontId="19" fillId="58" borderId="217" xfId="321" applyNumberFormat="1" applyFont="1" applyFill="1" applyBorder="1" applyAlignment="1">
      <alignment horizontal="left"/>
    </xf>
    <xf numFmtId="0" fontId="12" fillId="58" borderId="210" xfId="321" applyFont="1" applyFill="1" applyBorder="1" applyAlignment="1">
      <alignment horizontal="left"/>
    </xf>
    <xf numFmtId="0" fontId="19" fillId="58" borderId="211" xfId="321" applyFont="1" applyFill="1" applyBorder="1" applyAlignment="1">
      <alignment horizontal="left"/>
    </xf>
    <xf numFmtId="0" fontId="19" fillId="58" borderId="212" xfId="321" applyFont="1" applyFill="1" applyBorder="1" applyAlignment="1">
      <alignment horizontal="left"/>
    </xf>
    <xf numFmtId="0" fontId="27" fillId="35" borderId="0" xfId="131" applyFill="1" applyBorder="1" applyAlignment="1" applyProtection="1">
      <alignment horizontal="right" vertical="top"/>
    </xf>
    <xf numFmtId="0" fontId="13" fillId="35" borderId="0" xfId="0" applyFont="1" applyFill="1" applyBorder="1" applyAlignment="1">
      <alignment horizontal="center" wrapText="1"/>
    </xf>
    <xf numFmtId="0" fontId="158" fillId="47" borderId="0" xfId="336" applyFont="1" applyFill="1" applyAlignment="1">
      <alignment horizontal="justify" vertical="center" wrapText="1"/>
    </xf>
    <xf numFmtId="0" fontId="18" fillId="62" borderId="32" xfId="336" applyFont="1" applyFill="1" applyBorder="1" applyAlignment="1">
      <alignment horizontal="center" vertical="center"/>
    </xf>
    <xf numFmtId="0" fontId="18" fillId="62" borderId="17" xfId="336" applyFont="1" applyFill="1" applyBorder="1" applyAlignment="1">
      <alignment horizontal="center" vertical="center"/>
    </xf>
    <xf numFmtId="0" fontId="18" fillId="62" borderId="38" xfId="336" applyFont="1" applyFill="1" applyBorder="1" applyAlignment="1">
      <alignment horizontal="center" vertical="center"/>
    </xf>
    <xf numFmtId="0" fontId="158" fillId="47" borderId="0" xfId="336" applyFont="1" applyFill="1" applyAlignment="1">
      <alignment horizontal="justify" wrapText="1"/>
    </xf>
    <xf numFmtId="241" fontId="158" fillId="58" borderId="250" xfId="336" applyNumberFormat="1" applyFont="1" applyFill="1" applyBorder="1" applyAlignment="1" applyProtection="1">
      <alignment horizontal="left"/>
      <protection locked="0"/>
    </xf>
    <xf numFmtId="0" fontId="158" fillId="58" borderId="0" xfId="336" applyFont="1" applyFill="1" applyBorder="1" applyProtection="1">
      <protection locked="0"/>
    </xf>
    <xf numFmtId="0" fontId="27" fillId="0" borderId="0" xfId="131" applyBorder="1" applyAlignment="1" applyProtection="1">
      <alignment horizontal="right"/>
    </xf>
    <xf numFmtId="0" fontId="13" fillId="48" borderId="14" xfId="56" applyNumberFormat="1" applyFont="1" applyFill="1" applyBorder="1" applyAlignment="1">
      <alignment horizontal="center"/>
    </xf>
    <xf numFmtId="0" fontId="18" fillId="62" borderId="32" xfId="0" applyNumberFormat="1" applyFont="1" applyFill="1" applyBorder="1" applyAlignment="1">
      <alignment horizontal="center" vertical="center"/>
    </xf>
    <xf numFmtId="0" fontId="18" fillId="62" borderId="17" xfId="0" applyNumberFormat="1" applyFont="1" applyFill="1" applyBorder="1" applyAlignment="1">
      <alignment horizontal="center" vertical="center"/>
    </xf>
    <xf numFmtId="0" fontId="18" fillId="62" borderId="38" xfId="0" applyNumberFormat="1" applyFont="1" applyFill="1" applyBorder="1" applyAlignment="1">
      <alignment horizontal="center" vertical="center"/>
    </xf>
    <xf numFmtId="0" fontId="18" fillId="62" borderId="32" xfId="0" applyNumberFormat="1" applyFont="1" applyFill="1" applyBorder="1" applyAlignment="1">
      <alignment horizontal="left" vertical="center"/>
    </xf>
    <xf numFmtId="0" fontId="18" fillId="62" borderId="17" xfId="0" applyNumberFormat="1" applyFont="1" applyFill="1" applyBorder="1" applyAlignment="1">
      <alignment horizontal="left" vertical="center"/>
    </xf>
    <xf numFmtId="0" fontId="18" fillId="62" borderId="38" xfId="0" applyNumberFormat="1" applyFont="1" applyFill="1" applyBorder="1" applyAlignment="1">
      <alignment horizontal="left" vertical="center"/>
    </xf>
    <xf numFmtId="0" fontId="18" fillId="0" borderId="32" xfId="0" applyNumberFormat="1" applyFont="1" applyFill="1" applyBorder="1" applyAlignment="1">
      <alignment horizontal="center" vertical="center"/>
    </xf>
    <xf numFmtId="0" fontId="18" fillId="0" borderId="17" xfId="0" applyNumberFormat="1" applyFont="1" applyFill="1" applyBorder="1" applyAlignment="1">
      <alignment horizontal="center" vertical="center"/>
    </xf>
    <xf numFmtId="0" fontId="18" fillId="0" borderId="38" xfId="0" applyNumberFormat="1" applyFont="1" applyFill="1" applyBorder="1" applyAlignment="1">
      <alignment horizontal="center" vertical="center"/>
    </xf>
    <xf numFmtId="0" fontId="18" fillId="62" borderId="32" xfId="331" applyFont="1" applyFill="1" applyBorder="1" applyAlignment="1">
      <alignment horizontal="left" vertical="center"/>
    </xf>
    <xf numFmtId="0" fontId="18" fillId="62" borderId="17" xfId="331" applyFont="1" applyFill="1" applyBorder="1" applyAlignment="1">
      <alignment horizontal="left" vertical="center"/>
    </xf>
    <xf numFmtId="0" fontId="18" fillId="62" borderId="38" xfId="331" applyFont="1" applyFill="1" applyBorder="1" applyAlignment="1">
      <alignment horizontal="left" vertical="center"/>
    </xf>
    <xf numFmtId="0" fontId="18" fillId="62" borderId="32" xfId="331" applyFont="1" applyFill="1" applyBorder="1" applyAlignment="1">
      <alignment horizontal="center" vertical="center"/>
    </xf>
    <xf numFmtId="0" fontId="18" fillId="62" borderId="17" xfId="331" applyFont="1" applyFill="1" applyBorder="1" applyAlignment="1">
      <alignment horizontal="center" vertical="center"/>
    </xf>
    <xf numFmtId="0" fontId="18" fillId="62" borderId="38" xfId="331" applyFont="1" applyFill="1" applyBorder="1" applyAlignment="1">
      <alignment horizontal="center" vertical="center"/>
    </xf>
    <xf numFmtId="0" fontId="158" fillId="47" borderId="0" xfId="331" quotePrefix="1" applyFont="1" applyFill="1" applyAlignment="1">
      <alignment horizontal="left" wrapText="1"/>
    </xf>
    <xf numFmtId="0" fontId="158" fillId="47" borderId="0" xfId="335" quotePrefix="1" applyFont="1" applyFill="1" applyAlignment="1">
      <alignment horizontal="left" wrapText="1"/>
    </xf>
    <xf numFmtId="0" fontId="23" fillId="47" borderId="0" xfId="318" applyFont="1" applyFill="1" applyBorder="1" applyAlignment="1">
      <alignment horizontal="left" vertical="center"/>
    </xf>
    <xf numFmtId="0" fontId="178" fillId="47" borderId="0" xfId="318" applyFont="1" applyFill="1" applyBorder="1" applyAlignment="1">
      <alignment horizontal="left"/>
    </xf>
    <xf numFmtId="0" fontId="192" fillId="65" borderId="32" xfId="328" applyFont="1" applyFill="1" applyBorder="1" applyAlignment="1">
      <alignment horizontal="left" vertical="center"/>
    </xf>
    <xf numFmtId="0" fontId="192" fillId="65" borderId="38" xfId="328" applyFont="1" applyFill="1" applyBorder="1" applyAlignment="1">
      <alignment horizontal="left" vertical="center"/>
    </xf>
    <xf numFmtId="0" fontId="192" fillId="65" borderId="14" xfId="328" applyFont="1" applyFill="1" applyBorder="1" applyAlignment="1">
      <alignment horizontal="left" vertical="center"/>
    </xf>
    <xf numFmtId="0" fontId="18" fillId="47" borderId="32" xfId="0" applyNumberFormat="1" applyFont="1" applyFill="1" applyBorder="1" applyAlignment="1">
      <alignment horizontal="center" vertical="center"/>
    </xf>
    <xf numFmtId="0" fontId="18" fillId="47" borderId="17" xfId="0" applyNumberFormat="1" applyFont="1" applyFill="1" applyBorder="1" applyAlignment="1">
      <alignment horizontal="center" vertical="center"/>
    </xf>
    <xf numFmtId="0" fontId="12" fillId="46" borderId="247" xfId="321" applyFont="1" applyFill="1" applyBorder="1" applyAlignment="1">
      <alignment horizontal="left" vertical="center" wrapText="1"/>
    </xf>
    <xf numFmtId="0" fontId="12" fillId="46" borderId="248" xfId="321" applyFont="1" applyFill="1" applyBorder="1" applyAlignment="1">
      <alignment horizontal="left" vertical="center" wrapText="1"/>
    </xf>
    <xf numFmtId="0" fontId="12" fillId="46" borderId="111" xfId="321" applyFont="1" applyFill="1" applyBorder="1" applyAlignment="1">
      <alignment horizontal="left" vertical="center" wrapText="1"/>
    </xf>
    <xf numFmtId="0" fontId="12" fillId="35" borderId="0" xfId="0" applyFont="1" applyFill="1" applyBorder="1" applyAlignment="1">
      <alignment horizontal="center" vertical="top"/>
    </xf>
    <xf numFmtId="0" fontId="0" fillId="55" borderId="247" xfId="321" applyFont="1" applyFill="1" applyBorder="1" applyAlignment="1">
      <alignment horizontal="center" vertical="top" wrapText="1"/>
    </xf>
    <xf numFmtId="0" fontId="0" fillId="55" borderId="248" xfId="321" applyFont="1" applyFill="1" applyBorder="1" applyAlignment="1">
      <alignment horizontal="center" vertical="top" wrapText="1"/>
    </xf>
    <xf numFmtId="0" fontId="50" fillId="35" borderId="249" xfId="0" applyFont="1" applyFill="1" applyBorder="1" applyAlignment="1" applyProtection="1">
      <alignment horizontal="center"/>
    </xf>
    <xf numFmtId="0" fontId="50" fillId="35" borderId="250" xfId="0" applyFont="1" applyFill="1" applyBorder="1" applyAlignment="1" applyProtection="1">
      <alignment horizontal="center"/>
    </xf>
    <xf numFmtId="0" fontId="22" fillId="55" borderId="0" xfId="321" applyFont="1" applyFill="1" applyBorder="1" applyAlignment="1">
      <alignment horizontal="center" vertical="top" wrapText="1"/>
    </xf>
    <xf numFmtId="0" fontId="0" fillId="35" borderId="0" xfId="0" applyFill="1" applyAlignment="1" applyProtection="1">
      <alignment horizontal="center" vertical="center" wrapText="1"/>
    </xf>
    <xf numFmtId="0" fontId="22" fillId="55" borderId="0" xfId="321" applyFont="1" applyFill="1" applyBorder="1" applyAlignment="1">
      <alignment horizontal="left" vertical="top" wrapText="1"/>
    </xf>
    <xf numFmtId="0" fontId="0" fillId="55" borderId="247" xfId="321" applyFont="1" applyFill="1" applyBorder="1" applyAlignment="1">
      <alignment horizontal="left" vertical="top" wrapText="1"/>
    </xf>
    <xf numFmtId="0" fontId="0" fillId="55" borderId="248" xfId="321" applyFont="1" applyFill="1" applyBorder="1" applyAlignment="1">
      <alignment horizontal="left" vertical="top" wrapText="1"/>
    </xf>
    <xf numFmtId="0" fontId="0" fillId="55" borderId="111" xfId="321" applyFont="1" applyFill="1" applyBorder="1" applyAlignment="1">
      <alignment horizontal="left" vertical="top" wrapText="1"/>
    </xf>
    <xf numFmtId="176" fontId="18" fillId="35" borderId="0" xfId="142" applyFont="1" applyFill="1" applyBorder="1" applyAlignment="1">
      <alignment horizontal="center" vertical="top"/>
    </xf>
    <xf numFmtId="0" fontId="27" fillId="35" borderId="0" xfId="131" applyFill="1" applyAlignment="1" applyProtection="1">
      <alignment horizontal="right" vertical="top"/>
    </xf>
    <xf numFmtId="0" fontId="13" fillId="35" borderId="0" xfId="0" applyFont="1" applyFill="1" applyAlignment="1">
      <alignment horizontal="center"/>
    </xf>
    <xf numFmtId="0" fontId="19" fillId="58" borderId="210" xfId="321" applyFont="1" applyFill="1" applyBorder="1" applyAlignment="1">
      <alignment horizontal="left"/>
    </xf>
    <xf numFmtId="0" fontId="13" fillId="44" borderId="14" xfId="0" applyFont="1" applyFill="1" applyBorder="1" applyAlignment="1">
      <alignment horizontal="left"/>
    </xf>
    <xf numFmtId="0" fontId="12" fillId="58" borderId="14" xfId="321" applyFont="1" applyFill="1" applyBorder="1" applyAlignment="1">
      <alignment horizontal="center"/>
    </xf>
    <xf numFmtId="0" fontId="0" fillId="58" borderId="14" xfId="321" applyFont="1" applyFill="1" applyBorder="1" applyAlignment="1">
      <alignment horizontal="center"/>
    </xf>
    <xf numFmtId="0" fontId="18" fillId="62" borderId="14" xfId="0" applyNumberFormat="1" applyFont="1" applyFill="1" applyBorder="1" applyAlignment="1">
      <alignment horizontal="center" vertical="center"/>
    </xf>
    <xf numFmtId="0" fontId="18" fillId="62" borderId="14" xfId="0" applyFont="1" applyFill="1" applyBorder="1" applyAlignment="1">
      <alignment horizontal="center"/>
    </xf>
    <xf numFmtId="0" fontId="13" fillId="35" borderId="0" xfId="0" applyFont="1" applyFill="1" applyBorder="1" applyAlignment="1">
      <alignment horizontal="center"/>
    </xf>
    <xf numFmtId="49" fontId="19" fillId="58" borderId="14" xfId="321" applyNumberFormat="1" applyFont="1" applyFill="1" applyBorder="1" applyAlignment="1">
      <alignment horizontal="left"/>
    </xf>
    <xf numFmtId="0" fontId="27" fillId="0" borderId="0" xfId="131" applyFill="1" applyBorder="1" applyAlignment="1" applyProtection="1">
      <alignment horizontal="right" vertical="top"/>
    </xf>
    <xf numFmtId="49" fontId="19" fillId="58" borderId="32" xfId="321" applyNumberFormat="1" applyFont="1" applyFill="1" applyBorder="1" applyAlignment="1">
      <alignment horizontal="left"/>
    </xf>
    <xf numFmtId="49" fontId="19" fillId="58" borderId="38" xfId="321" applyNumberFormat="1" applyFont="1" applyFill="1" applyBorder="1" applyAlignment="1">
      <alignment horizontal="left"/>
    </xf>
    <xf numFmtId="0" fontId="13" fillId="0" borderId="0" xfId="56" applyNumberFormat="1" applyFont="1" applyFill="1" applyAlignment="1">
      <alignment horizontal="center" vertical="center" wrapText="1"/>
    </xf>
    <xf numFmtId="0" fontId="12" fillId="58" borderId="32" xfId="0" applyFont="1" applyFill="1" applyBorder="1" applyAlignment="1">
      <alignment horizontal="left" vertical="top" wrapText="1"/>
    </xf>
    <xf numFmtId="0" fontId="12" fillId="61" borderId="17" xfId="0" applyFont="1" applyFill="1" applyBorder="1" applyAlignment="1">
      <alignment horizontal="left" vertical="top" wrapText="1"/>
    </xf>
    <xf numFmtId="0" fontId="12" fillId="61" borderId="38" xfId="0" applyFont="1" applyFill="1" applyBorder="1" applyAlignment="1">
      <alignment horizontal="left" vertical="top" wrapText="1"/>
    </xf>
    <xf numFmtId="0" fontId="12" fillId="58" borderId="32" xfId="330" applyFont="1" applyFill="1" applyBorder="1" applyAlignment="1">
      <alignment horizontal="left" vertical="top" wrapText="1"/>
    </xf>
    <xf numFmtId="0" fontId="12" fillId="61" borderId="17" xfId="330" applyFont="1" applyFill="1" applyBorder="1" applyAlignment="1">
      <alignment horizontal="left" vertical="top" wrapText="1"/>
    </xf>
    <xf numFmtId="0" fontId="12" fillId="61" borderId="38" xfId="330" applyFont="1" applyFill="1" applyBorder="1" applyAlignment="1">
      <alignment horizontal="left" vertical="top" wrapText="1"/>
    </xf>
    <xf numFmtId="0" fontId="13" fillId="35" borderId="25" xfId="0" applyFont="1" applyFill="1" applyBorder="1" applyAlignment="1">
      <alignment horizontal="left"/>
    </xf>
    <xf numFmtId="0" fontId="13" fillId="35" borderId="20" xfId="0" applyFont="1" applyFill="1" applyBorder="1" applyAlignment="1">
      <alignment horizontal="left"/>
    </xf>
    <xf numFmtId="0" fontId="19" fillId="58" borderId="197" xfId="321" applyFont="1" applyFill="1" applyBorder="1" applyAlignment="1" applyProtection="1">
      <alignment horizontal="left"/>
      <protection locked="0"/>
    </xf>
    <xf numFmtId="0" fontId="19" fillId="58" borderId="198" xfId="321" applyFont="1" applyFill="1" applyBorder="1" applyAlignment="1" applyProtection="1">
      <alignment horizontal="left"/>
      <protection locked="0"/>
    </xf>
    <xf numFmtId="0" fontId="13" fillId="35" borderId="22" xfId="0" applyFont="1" applyFill="1" applyBorder="1" applyAlignment="1">
      <alignment horizontal="left"/>
    </xf>
    <xf numFmtId="0" fontId="13" fillId="35" borderId="18" xfId="0" applyFont="1" applyFill="1" applyBorder="1" applyAlignment="1">
      <alignment horizontal="left"/>
    </xf>
    <xf numFmtId="0" fontId="19" fillId="58" borderId="199" xfId="321" applyFont="1" applyFill="1" applyBorder="1" applyAlignment="1" applyProtection="1">
      <alignment horizontal="left"/>
      <protection locked="0"/>
    </xf>
    <xf numFmtId="0" fontId="12" fillId="58" borderId="213" xfId="0" applyFont="1" applyFill="1" applyBorder="1" applyAlignment="1">
      <alignment horizontal="left"/>
    </xf>
    <xf numFmtId="0" fontId="12" fillId="61" borderId="195" xfId="0" applyFont="1" applyFill="1" applyBorder="1" applyAlignment="1">
      <alignment horizontal="left"/>
    </xf>
    <xf numFmtId="0" fontId="12" fillId="61" borderId="214" xfId="0" applyFont="1" applyFill="1" applyBorder="1" applyAlignment="1">
      <alignment horizontal="left"/>
    </xf>
    <xf numFmtId="0" fontId="13" fillId="0" borderId="0" xfId="0" applyFont="1" applyAlignment="1">
      <alignment horizontal="center"/>
    </xf>
    <xf numFmtId="0" fontId="12" fillId="58" borderId="224" xfId="0" applyFont="1" applyFill="1" applyBorder="1" applyAlignment="1">
      <alignment horizontal="left" vertical="top" wrapText="1"/>
    </xf>
    <xf numFmtId="0" fontId="12" fillId="61" borderId="225" xfId="0" applyFont="1" applyFill="1" applyBorder="1" applyAlignment="1">
      <alignment horizontal="left" vertical="top" wrapText="1"/>
    </xf>
    <xf numFmtId="0" fontId="12" fillId="61" borderId="226" xfId="0" applyFont="1" applyFill="1" applyBorder="1" applyAlignment="1">
      <alignment horizontal="left" vertical="top" wrapText="1"/>
    </xf>
    <xf numFmtId="0" fontId="12" fillId="61" borderId="227" xfId="0" applyFont="1" applyFill="1" applyBorder="1" applyAlignment="1">
      <alignment horizontal="left" vertical="top" wrapText="1"/>
    </xf>
    <xf numFmtId="0" fontId="12" fillId="61" borderId="0" xfId="0" applyFont="1" applyFill="1" applyAlignment="1">
      <alignment horizontal="left" vertical="top" wrapText="1"/>
    </xf>
    <xf numFmtId="0" fontId="12" fillId="61" borderId="228" xfId="0" applyFont="1" applyFill="1" applyBorder="1" applyAlignment="1">
      <alignment horizontal="left" vertical="top" wrapText="1"/>
    </xf>
    <xf numFmtId="0" fontId="12" fillId="61" borderId="229" xfId="0" applyFont="1" applyFill="1" applyBorder="1" applyAlignment="1">
      <alignment horizontal="left" vertical="top" wrapText="1"/>
    </xf>
    <xf numFmtId="0" fontId="12" fillId="61" borderId="230" xfId="0" applyFont="1" applyFill="1" applyBorder="1" applyAlignment="1">
      <alignment horizontal="left" vertical="top" wrapText="1"/>
    </xf>
    <xf numFmtId="0" fontId="12" fillId="61" borderId="231" xfId="0" applyFont="1" applyFill="1" applyBorder="1" applyAlignment="1">
      <alignment horizontal="left" vertical="top" wrapText="1"/>
    </xf>
    <xf numFmtId="0" fontId="13" fillId="0" borderId="244" xfId="0" applyFont="1" applyFill="1" applyBorder="1" applyAlignment="1">
      <alignment horizontal="left"/>
    </xf>
    <xf numFmtId="0" fontId="13" fillId="0" borderId="0" xfId="0" applyFont="1" applyFill="1" applyBorder="1" applyAlignment="1">
      <alignment horizontal="left"/>
    </xf>
    <xf numFmtId="0" fontId="13" fillId="0" borderId="32" xfId="0" applyFont="1" applyBorder="1" applyAlignment="1">
      <alignment horizontal="center"/>
    </xf>
    <xf numFmtId="0" fontId="13" fillId="0" borderId="17" xfId="0" applyFont="1" applyBorder="1" applyAlignment="1">
      <alignment horizontal="center"/>
    </xf>
    <xf numFmtId="0" fontId="13" fillId="0" borderId="38" xfId="0" applyFont="1" applyBorder="1" applyAlignment="1">
      <alignment horizontal="center"/>
    </xf>
    <xf numFmtId="176" fontId="19" fillId="35" borderId="0" xfId="142" applyFont="1" applyFill="1" applyBorder="1" applyAlignment="1">
      <alignment horizontal="center"/>
    </xf>
    <xf numFmtId="176" fontId="18" fillId="35" borderId="0" xfId="142" applyFont="1" applyFill="1" applyAlignment="1">
      <alignment horizontal="center"/>
    </xf>
    <xf numFmtId="176" fontId="18" fillId="35" borderId="18" xfId="142" applyFont="1" applyFill="1" applyBorder="1" applyAlignment="1">
      <alignment horizontal="center" vertical="top"/>
    </xf>
    <xf numFmtId="0" fontId="17" fillId="58" borderId="213" xfId="321" applyFont="1" applyFill="1" applyBorder="1" applyAlignment="1">
      <alignment horizontal="center"/>
    </xf>
    <xf numFmtId="0" fontId="17" fillId="58" borderId="195" xfId="321" applyFont="1" applyFill="1" applyBorder="1" applyAlignment="1">
      <alignment horizontal="center"/>
    </xf>
    <xf numFmtId="0" fontId="17" fillId="58" borderId="214" xfId="321" applyFont="1" applyFill="1" applyBorder="1" applyAlignment="1">
      <alignment horizontal="center"/>
    </xf>
    <xf numFmtId="49" fontId="23" fillId="0" borderId="22" xfId="233" applyFont="1" applyBorder="1" applyAlignment="1">
      <alignment horizontal="left" wrapText="1"/>
    </xf>
    <xf numFmtId="49" fontId="23" fillId="0" borderId="18" xfId="233" applyFont="1" applyBorder="1" applyAlignment="1">
      <alignment horizontal="left" wrapText="1"/>
    </xf>
    <xf numFmtId="0" fontId="23" fillId="58" borderId="233" xfId="321" applyFont="1" applyFill="1" applyBorder="1" applyAlignment="1" applyProtection="1">
      <alignment wrapText="1"/>
      <protection locked="0"/>
    </xf>
    <xf numFmtId="0" fontId="23" fillId="58" borderId="201" xfId="321" applyFont="1" applyFill="1" applyBorder="1" applyAlignment="1" applyProtection="1">
      <alignment wrapText="1"/>
      <protection locked="0"/>
    </xf>
    <xf numFmtId="0" fontId="23" fillId="58" borderId="202" xfId="321" applyFont="1" applyFill="1" applyBorder="1" applyAlignment="1" applyProtection="1">
      <alignment wrapText="1"/>
      <protection locked="0"/>
    </xf>
    <xf numFmtId="49" fontId="23" fillId="0" borderId="23" xfId="233" applyFont="1" applyBorder="1" applyAlignment="1">
      <alignment horizontal="left" wrapText="1"/>
    </xf>
    <xf numFmtId="49" fontId="23" fillId="0" borderId="0" xfId="233" applyFont="1" applyBorder="1" applyAlignment="1">
      <alignment horizontal="left" wrapText="1"/>
    </xf>
    <xf numFmtId="0" fontId="23" fillId="58" borderId="234" xfId="321" applyFont="1" applyFill="1" applyBorder="1" applyAlignment="1" applyProtection="1">
      <alignment wrapText="1"/>
      <protection locked="0"/>
    </xf>
    <xf numFmtId="0" fontId="23" fillId="58" borderId="204" xfId="321" applyFont="1" applyFill="1" applyBorder="1" applyAlignment="1" applyProtection="1">
      <alignment wrapText="1"/>
      <protection locked="0"/>
    </xf>
    <xf numFmtId="0" fontId="23" fillId="58" borderId="205" xfId="321" applyFont="1" applyFill="1" applyBorder="1" applyAlignment="1" applyProtection="1">
      <alignment wrapText="1"/>
      <protection locked="0"/>
    </xf>
    <xf numFmtId="0" fontId="19" fillId="35" borderId="0" xfId="0" applyFont="1" applyFill="1" applyAlignment="1">
      <alignment horizontal="left" vertical="top" wrapText="1"/>
    </xf>
    <xf numFmtId="49" fontId="23" fillId="0" borderId="23" xfId="233" applyBorder="1">
      <alignment wrapText="1"/>
    </xf>
    <xf numFmtId="49" fontId="23" fillId="0" borderId="0" xfId="233" applyBorder="1">
      <alignment wrapText="1"/>
    </xf>
    <xf numFmtId="49" fontId="23" fillId="0" borderId="23" xfId="233" applyBorder="1" applyAlignment="1">
      <alignment horizontal="left" wrapText="1"/>
    </xf>
    <xf numFmtId="49" fontId="23" fillId="0" borderId="0" xfId="233" applyBorder="1" applyAlignment="1">
      <alignment horizontal="left" wrapText="1"/>
    </xf>
    <xf numFmtId="197" fontId="23" fillId="58" borderId="234" xfId="321" applyNumberFormat="1" applyFont="1" applyFill="1" applyBorder="1" applyProtection="1">
      <protection locked="0"/>
    </xf>
    <xf numFmtId="197" fontId="23" fillId="58" borderId="235" xfId="321" applyNumberFormat="1" applyFont="1" applyFill="1" applyBorder="1" applyProtection="1">
      <protection locked="0"/>
    </xf>
    <xf numFmtId="0" fontId="23" fillId="58" borderId="237" xfId="321" applyFont="1" applyFill="1" applyBorder="1" applyAlignment="1" applyProtection="1">
      <alignment vertical="top" wrapText="1"/>
      <protection locked="0"/>
    </xf>
    <xf numFmtId="0" fontId="23" fillId="58" borderId="225" xfId="321" applyFont="1" applyFill="1" applyBorder="1" applyAlignment="1" applyProtection="1">
      <alignment vertical="top" wrapText="1"/>
      <protection locked="0"/>
    </xf>
    <xf numFmtId="0" fontId="23" fillId="58" borderId="238" xfId="321" applyFont="1" applyFill="1" applyBorder="1" applyAlignment="1" applyProtection="1">
      <alignment vertical="top" wrapText="1"/>
      <protection locked="0"/>
    </xf>
    <xf numFmtId="0" fontId="23" fillId="58" borderId="23" xfId="321" applyFont="1" applyFill="1" applyBorder="1" applyAlignment="1" applyProtection="1">
      <alignment vertical="top" wrapText="1"/>
      <protection locked="0"/>
    </xf>
    <xf numFmtId="0" fontId="23" fillId="58" borderId="0" xfId="321" applyFont="1" applyFill="1" applyBorder="1" applyAlignment="1" applyProtection="1">
      <alignment vertical="top" wrapText="1"/>
      <protection locked="0"/>
    </xf>
    <xf numFmtId="0" fontId="23" fillId="58" borderId="24" xfId="321" applyFont="1" applyFill="1" applyBorder="1" applyAlignment="1" applyProtection="1">
      <alignment vertical="top" wrapText="1"/>
      <protection locked="0"/>
    </xf>
    <xf numFmtId="0" fontId="23" fillId="58" borderId="239" xfId="321" applyFont="1" applyFill="1" applyBorder="1" applyAlignment="1" applyProtection="1">
      <alignment vertical="top" wrapText="1"/>
      <protection locked="0"/>
    </xf>
    <xf numFmtId="0" fontId="23" fillId="58" borderId="230" xfId="321" applyFont="1" applyFill="1" applyBorder="1" applyAlignment="1" applyProtection="1">
      <alignment vertical="top" wrapText="1"/>
      <protection locked="0"/>
    </xf>
    <xf numFmtId="0" fontId="23" fillId="58" borderId="240" xfId="321" applyFont="1" applyFill="1" applyBorder="1" applyAlignment="1" applyProtection="1">
      <alignment vertical="top" wrapText="1"/>
      <protection locked="0"/>
    </xf>
    <xf numFmtId="0" fontId="23" fillId="58" borderId="203" xfId="321" applyFont="1" applyFill="1" applyBorder="1" applyAlignment="1" applyProtection="1">
      <alignment wrapText="1"/>
      <protection locked="0"/>
    </xf>
    <xf numFmtId="0" fontId="23" fillId="58" borderId="235" xfId="321" applyFont="1" applyFill="1" applyBorder="1" applyAlignment="1" applyProtection="1">
      <alignment wrapText="1"/>
      <protection locked="0"/>
    </xf>
    <xf numFmtId="0" fontId="23" fillId="58" borderId="215" xfId="321" applyFont="1" applyFill="1" applyBorder="1" applyAlignment="1" applyProtection="1">
      <alignment vertical="top" wrapText="1"/>
      <protection locked="0"/>
    </xf>
    <xf numFmtId="0" fontId="23" fillId="58" borderId="216" xfId="321" applyFont="1" applyFill="1" applyBorder="1" applyAlignment="1" applyProtection="1">
      <alignment vertical="top" wrapText="1"/>
      <protection locked="0"/>
    </xf>
    <xf numFmtId="0" fontId="23" fillId="58" borderId="217" xfId="321" applyFont="1" applyFill="1" applyBorder="1" applyAlignment="1" applyProtection="1">
      <alignment vertical="top" wrapText="1"/>
      <protection locked="0"/>
    </xf>
    <xf numFmtId="49" fontId="23" fillId="0" borderId="237" xfId="233" applyBorder="1" applyAlignment="1">
      <alignment horizontal="left" wrapText="1"/>
    </xf>
    <xf numFmtId="49" fontId="23" fillId="0" borderId="225" xfId="233" applyBorder="1" applyAlignment="1">
      <alignment horizontal="left" wrapText="1"/>
    </xf>
    <xf numFmtId="49" fontId="23" fillId="0" borderId="23" xfId="233" applyFont="1" applyBorder="1">
      <alignment wrapText="1"/>
    </xf>
    <xf numFmtId="0" fontId="19" fillId="58" borderId="194" xfId="0" applyFont="1" applyFill="1" applyBorder="1" applyAlignment="1">
      <alignment horizontal="left" vertical="top" wrapText="1"/>
    </xf>
    <xf numFmtId="0" fontId="19" fillId="58" borderId="195" xfId="0" applyFont="1" applyFill="1" applyBorder="1" applyAlignment="1">
      <alignment horizontal="left" vertical="top" wrapText="1"/>
    </xf>
    <xf numFmtId="0" fontId="19" fillId="58" borderId="196" xfId="0" applyFont="1" applyFill="1" applyBorder="1" applyAlignment="1">
      <alignment horizontal="left" vertical="top" wrapText="1"/>
    </xf>
    <xf numFmtId="0" fontId="18" fillId="35" borderId="32" xfId="0" applyFont="1" applyFill="1" applyBorder="1" applyAlignment="1">
      <alignment horizontal="center"/>
    </xf>
    <xf numFmtId="0" fontId="18" fillId="35" borderId="17" xfId="0" applyFont="1" applyFill="1" applyBorder="1" applyAlignment="1">
      <alignment horizontal="center"/>
    </xf>
    <xf numFmtId="0" fontId="18" fillId="35" borderId="38" xfId="0" applyFont="1" applyFill="1" applyBorder="1" applyAlignment="1">
      <alignment horizontal="center"/>
    </xf>
    <xf numFmtId="0" fontId="18" fillId="0" borderId="32" xfId="131" applyFont="1" applyFill="1" applyBorder="1" applyAlignment="1" applyProtection="1">
      <alignment horizontal="center"/>
    </xf>
    <xf numFmtId="0" fontId="18" fillId="0" borderId="17" xfId="131" applyFont="1" applyFill="1" applyBorder="1" applyAlignment="1" applyProtection="1">
      <alignment horizontal="center"/>
    </xf>
    <xf numFmtId="0" fontId="18" fillId="0" borderId="38" xfId="131" applyFont="1" applyFill="1" applyBorder="1" applyAlignment="1" applyProtection="1">
      <alignment horizontal="center"/>
    </xf>
    <xf numFmtId="166" fontId="19" fillId="58" borderId="192" xfId="321" applyNumberFormat="1" applyFont="1" applyFill="1" applyBorder="1" applyAlignment="1">
      <alignment horizontal="left" vertical="top" wrapText="1"/>
    </xf>
    <xf numFmtId="0" fontId="19" fillId="58" borderId="192" xfId="321" applyNumberFormat="1" applyFont="1" applyFill="1" applyBorder="1" applyAlignment="1">
      <alignment horizontal="left" wrapText="1"/>
    </xf>
    <xf numFmtId="0" fontId="28" fillId="0" borderId="32" xfId="0" applyFont="1" applyFill="1" applyBorder="1" applyAlignment="1">
      <alignment horizontal="left"/>
    </xf>
    <xf numFmtId="0" fontId="28" fillId="0" borderId="17" xfId="0" applyFont="1" applyFill="1" applyBorder="1" applyAlignment="1">
      <alignment horizontal="left"/>
    </xf>
    <xf numFmtId="0" fontId="28" fillId="0" borderId="38" xfId="0" applyFont="1" applyFill="1" applyBorder="1" applyAlignment="1">
      <alignment horizontal="left"/>
    </xf>
    <xf numFmtId="49" fontId="19" fillId="58" borderId="209" xfId="321" applyNumberFormat="1" applyFont="1" applyFill="1" applyBorder="1" applyAlignment="1">
      <alignment horizontal="center" vertical="top" wrapText="1"/>
    </xf>
    <xf numFmtId="49" fontId="19" fillId="58" borderId="198" xfId="321" applyNumberFormat="1" applyFont="1" applyFill="1" applyBorder="1" applyAlignment="1">
      <alignment horizontal="center" vertical="top" wrapText="1"/>
    </xf>
    <xf numFmtId="49" fontId="19" fillId="58" borderId="232" xfId="321" applyNumberFormat="1" applyFont="1" applyFill="1" applyBorder="1" applyAlignment="1">
      <alignment horizontal="center" vertical="top" wrapText="1"/>
    </xf>
    <xf numFmtId="0" fontId="164" fillId="0" borderId="192" xfId="304" applyFont="1" applyFill="1" applyBorder="1" applyAlignment="1">
      <alignment horizontal="center"/>
    </xf>
    <xf numFmtId="0" fontId="158" fillId="0" borderId="192" xfId="304" applyFont="1" applyFill="1" applyBorder="1" applyAlignment="1">
      <alignment horizontal="center"/>
    </xf>
    <xf numFmtId="0" fontId="158" fillId="58" borderId="194" xfId="321" applyFont="1" applyFill="1" applyBorder="1" applyAlignment="1">
      <alignment horizontal="center"/>
    </xf>
    <xf numFmtId="0" fontId="158" fillId="58" borderId="195" xfId="321" applyFont="1" applyFill="1" applyBorder="1" applyAlignment="1">
      <alignment horizontal="center"/>
    </xf>
    <xf numFmtId="0" fontId="158" fillId="58" borderId="196" xfId="321" applyFont="1" applyFill="1" applyBorder="1" applyAlignment="1">
      <alignment horizontal="center"/>
    </xf>
    <xf numFmtId="0" fontId="19" fillId="58" borderId="194" xfId="321" applyFont="1" applyFill="1" applyBorder="1" applyAlignment="1">
      <alignment horizontal="left"/>
    </xf>
    <xf numFmtId="0" fontId="19" fillId="58" borderId="196" xfId="321" applyFont="1" applyFill="1" applyBorder="1" applyAlignment="1">
      <alignment horizontal="left"/>
    </xf>
    <xf numFmtId="0" fontId="27" fillId="35" borderId="18" xfId="131" applyFill="1" applyBorder="1" applyAlignment="1" applyProtection="1">
      <alignment horizontal="right" vertical="top"/>
    </xf>
    <xf numFmtId="0" fontId="12" fillId="35" borderId="23" xfId="146" applyFill="1" applyBorder="1" applyAlignment="1">
      <alignment horizontal="left"/>
    </xf>
    <xf numFmtId="0" fontId="12" fillId="35" borderId="0" xfId="146" applyFill="1" applyBorder="1" applyAlignment="1">
      <alignment horizontal="left"/>
    </xf>
    <xf numFmtId="0" fontId="12" fillId="35" borderId="72" xfId="146" applyFill="1" applyBorder="1" applyAlignment="1">
      <alignment horizontal="left"/>
    </xf>
    <xf numFmtId="0" fontId="12" fillId="35" borderId="30" xfId="146" applyFill="1" applyBorder="1" applyAlignment="1">
      <alignment horizontal="left"/>
    </xf>
    <xf numFmtId="0" fontId="12" fillId="35" borderId="165" xfId="146" applyFill="1" applyBorder="1" applyAlignment="1">
      <alignment horizontal="left"/>
    </xf>
    <xf numFmtId="0" fontId="12" fillId="35" borderId="18" xfId="146" applyFill="1" applyBorder="1" applyAlignment="1">
      <alignment horizontal="left"/>
    </xf>
    <xf numFmtId="0" fontId="12" fillId="35" borderId="26" xfId="146" applyFill="1" applyBorder="1" applyAlignment="1">
      <alignment horizontal="left"/>
    </xf>
    <xf numFmtId="0" fontId="12" fillId="35" borderId="37" xfId="146" applyFill="1" applyBorder="1" applyAlignment="1">
      <alignment horizontal="left"/>
    </xf>
    <xf numFmtId="0" fontId="12" fillId="35" borderId="24" xfId="146" applyFill="1" applyBorder="1" applyAlignment="1">
      <alignment horizontal="left"/>
    </xf>
    <xf numFmtId="0" fontId="19" fillId="35" borderId="36" xfId="146" applyFont="1" applyFill="1" applyBorder="1" applyAlignment="1">
      <alignment horizontal="left"/>
    </xf>
    <xf numFmtId="0" fontId="19" fillId="35" borderId="30" xfId="146" applyFont="1" applyFill="1" applyBorder="1" applyAlignment="1">
      <alignment horizontal="left"/>
    </xf>
    <xf numFmtId="0" fontId="19" fillId="35" borderId="39" xfId="146" applyFont="1" applyFill="1" applyBorder="1" applyAlignment="1">
      <alignment horizontal="left"/>
    </xf>
    <xf numFmtId="0" fontId="12" fillId="35" borderId="37" xfId="146" applyFont="1" applyFill="1" applyBorder="1" applyAlignment="1">
      <alignment horizontal="left"/>
    </xf>
    <xf numFmtId="0" fontId="12" fillId="35" borderId="0" xfId="146" applyFont="1" applyFill="1" applyBorder="1" applyAlignment="1">
      <alignment horizontal="left"/>
    </xf>
    <xf numFmtId="0" fontId="12" fillId="35" borderId="24" xfId="146" applyFont="1" applyFill="1" applyBorder="1" applyAlignment="1">
      <alignment horizontal="left"/>
    </xf>
    <xf numFmtId="0" fontId="36" fillId="35" borderId="166" xfId="146" applyFont="1" applyFill="1" applyBorder="1" applyAlignment="1">
      <alignment horizontal="center"/>
    </xf>
    <xf numFmtId="0" fontId="36" fillId="35" borderId="167" xfId="146" applyFont="1" applyFill="1" applyBorder="1" applyAlignment="1">
      <alignment horizontal="center"/>
    </xf>
    <xf numFmtId="0" fontId="36" fillId="35" borderId="149" xfId="146" applyFont="1" applyFill="1" applyBorder="1" applyAlignment="1">
      <alignment horizontal="center"/>
    </xf>
    <xf numFmtId="0" fontId="12" fillId="58" borderId="194" xfId="321" applyFont="1" applyFill="1" applyBorder="1" applyAlignment="1">
      <alignment horizontal="left" vertical="top" wrapText="1"/>
    </xf>
    <xf numFmtId="0" fontId="12" fillId="58" borderId="195" xfId="321" applyFont="1" applyFill="1" applyBorder="1" applyAlignment="1">
      <alignment horizontal="left" vertical="top" wrapText="1"/>
    </xf>
    <xf numFmtId="0" fontId="12" fillId="58" borderId="196" xfId="321" applyFont="1" applyFill="1" applyBorder="1" applyAlignment="1">
      <alignment horizontal="left" vertical="top" wrapText="1"/>
    </xf>
    <xf numFmtId="0" fontId="42" fillId="35" borderId="168" xfId="146" applyFont="1" applyFill="1" applyBorder="1" applyAlignment="1">
      <alignment horizontal="center"/>
    </xf>
    <xf numFmtId="0" fontId="42" fillId="35" borderId="167" xfId="146" applyFont="1" applyFill="1" applyBorder="1" applyAlignment="1">
      <alignment horizontal="center"/>
    </xf>
    <xf numFmtId="0" fontId="42" fillId="35" borderId="169" xfId="146" applyFont="1" applyFill="1" applyBorder="1" applyAlignment="1">
      <alignment horizontal="center"/>
    </xf>
    <xf numFmtId="0" fontId="13" fillId="35" borderId="0" xfId="146" applyFont="1" applyFill="1" applyBorder="1" applyAlignment="1">
      <alignment horizontal="left"/>
    </xf>
    <xf numFmtId="0" fontId="44" fillId="35" borderId="22" xfId="146" applyFont="1" applyFill="1" applyBorder="1" applyAlignment="1">
      <alignment horizontal="center"/>
    </xf>
    <xf numFmtId="0" fontId="44" fillId="35" borderId="26" xfId="146" applyFont="1" applyFill="1" applyBorder="1" applyAlignment="1">
      <alignment horizontal="center"/>
    </xf>
    <xf numFmtId="0" fontId="12" fillId="35" borderId="22" xfId="146" applyFont="1" applyFill="1" applyBorder="1" applyAlignment="1">
      <alignment horizontal="left"/>
    </xf>
    <xf numFmtId="0" fontId="12" fillId="35" borderId="18" xfId="146" applyFont="1" applyFill="1" applyBorder="1" applyAlignment="1">
      <alignment horizontal="left"/>
    </xf>
    <xf numFmtId="0" fontId="19" fillId="58" borderId="200" xfId="321" applyFont="1" applyFill="1" applyBorder="1" applyAlignment="1" applyProtection="1">
      <alignment wrapText="1"/>
      <protection locked="0"/>
    </xf>
    <xf numFmtId="0" fontId="19" fillId="58" borderId="202" xfId="321" applyFont="1" applyFill="1" applyBorder="1" applyAlignment="1" applyProtection="1">
      <alignment wrapText="1"/>
      <protection locked="0"/>
    </xf>
    <xf numFmtId="0" fontId="19" fillId="58" borderId="203" xfId="321" applyFont="1" applyFill="1" applyBorder="1" applyAlignment="1" applyProtection="1">
      <alignment wrapText="1"/>
      <protection locked="0"/>
    </xf>
    <xf numFmtId="0" fontId="19" fillId="58" borderId="205" xfId="321" applyFont="1" applyFill="1" applyBorder="1" applyAlignment="1" applyProtection="1">
      <alignment wrapText="1"/>
      <protection locked="0"/>
    </xf>
    <xf numFmtId="0" fontId="13" fillId="0" borderId="14" xfId="235" applyFont="1" applyBorder="1">
      <alignment horizontal="center" vertical="center" wrapText="1"/>
    </xf>
    <xf numFmtId="49" fontId="19" fillId="0" borderId="0" xfId="243" applyNumberFormat="1" applyFont="1" applyFill="1" applyAlignment="1">
      <alignment horizontal="left" vertical="top" wrapText="1"/>
    </xf>
    <xf numFmtId="49" fontId="19" fillId="0" borderId="0" xfId="243" applyFont="1" applyFill="1">
      <alignment vertical="center" wrapText="1"/>
    </xf>
    <xf numFmtId="49" fontId="13" fillId="0" borderId="0" xfId="243" applyFont="1" applyFill="1" applyAlignment="1">
      <alignment horizontal="left" vertical="center" wrapText="1"/>
    </xf>
    <xf numFmtId="0" fontId="19" fillId="58" borderId="192" xfId="321" applyFont="1" applyFill="1" applyBorder="1" applyAlignment="1" applyProtection="1">
      <alignment horizontal="left" wrapText="1"/>
      <protection locked="0"/>
    </xf>
    <xf numFmtId="0" fontId="18" fillId="35" borderId="32" xfId="131" applyFont="1" applyFill="1" applyBorder="1" applyAlignment="1" applyProtection="1">
      <alignment horizontal="center"/>
    </xf>
    <xf numFmtId="0" fontId="18" fillId="35" borderId="17" xfId="131" applyFont="1" applyFill="1" applyBorder="1" applyAlignment="1" applyProtection="1">
      <alignment horizontal="center"/>
    </xf>
    <xf numFmtId="49" fontId="33" fillId="0" borderId="0" xfId="243" applyFont="1" applyFill="1">
      <alignment vertical="center" wrapText="1"/>
    </xf>
    <xf numFmtId="0" fontId="19" fillId="58" borderId="192" xfId="321" applyFont="1" applyFill="1" applyBorder="1" applyAlignment="1" applyProtection="1">
      <alignment wrapText="1"/>
      <protection locked="0"/>
    </xf>
    <xf numFmtId="0" fontId="19" fillId="58" borderId="219" xfId="321" applyFont="1" applyFill="1" applyBorder="1" applyAlignment="1" applyProtection="1">
      <alignment wrapText="1"/>
      <protection locked="0"/>
    </xf>
    <xf numFmtId="0" fontId="19" fillId="58" borderId="219" xfId="321" applyFont="1" applyFill="1" applyBorder="1" applyAlignment="1" applyProtection="1">
      <alignment horizontal="left" wrapText="1"/>
      <protection locked="0"/>
    </xf>
    <xf numFmtId="0" fontId="13" fillId="0" borderId="32" xfId="235" applyFont="1" applyBorder="1" applyAlignment="1">
      <alignment horizontal="center" vertical="center" wrapText="1"/>
    </xf>
    <xf numFmtId="0" fontId="13" fillId="0" borderId="17" xfId="235" applyFont="1" applyBorder="1" applyAlignment="1">
      <alignment horizontal="center" vertical="center" wrapText="1"/>
    </xf>
    <xf numFmtId="0" fontId="0" fillId="58" borderId="194" xfId="321" applyNumberFormat="1" applyFont="1" applyFill="1" applyBorder="1" applyAlignment="1">
      <alignment horizontal="left" vertical="center" wrapText="1"/>
    </xf>
    <xf numFmtId="0" fontId="0" fillId="58" borderId="195" xfId="321" applyNumberFormat="1" applyFont="1" applyFill="1" applyBorder="1" applyAlignment="1">
      <alignment horizontal="left" vertical="center" wrapText="1"/>
    </xf>
    <xf numFmtId="0" fontId="0" fillId="58" borderId="196" xfId="321" applyNumberFormat="1" applyFont="1" applyFill="1" applyBorder="1" applyAlignment="1">
      <alignment horizontal="left" vertical="center" wrapText="1"/>
    </xf>
    <xf numFmtId="0" fontId="13" fillId="0" borderId="28" xfId="0" applyNumberFormat="1" applyFont="1" applyFill="1" applyBorder="1" applyAlignment="1">
      <alignment horizontal="center" vertical="center" wrapText="1"/>
    </xf>
    <xf numFmtId="0" fontId="13" fillId="0" borderId="31" xfId="0" applyNumberFormat="1" applyFont="1" applyFill="1" applyBorder="1" applyAlignment="1">
      <alignment horizontal="center" vertical="center" wrapText="1"/>
    </xf>
    <xf numFmtId="0" fontId="13" fillId="0" borderId="22" xfId="0" applyNumberFormat="1" applyFont="1" applyFill="1" applyBorder="1" applyAlignment="1">
      <alignment horizontal="center" vertical="center" wrapText="1"/>
    </xf>
    <xf numFmtId="0" fontId="13" fillId="0" borderId="25" xfId="0" applyNumberFormat="1" applyFont="1" applyFill="1" applyBorder="1" applyAlignment="1">
      <alignment horizontal="center" vertical="center" wrapText="1"/>
    </xf>
    <xf numFmtId="0" fontId="27" fillId="0" borderId="18" xfId="131" applyNumberFormat="1" applyFill="1" applyBorder="1" applyAlignment="1" applyProtection="1">
      <alignment horizontal="right" vertical="center"/>
    </xf>
    <xf numFmtId="0" fontId="13" fillId="0" borderId="0" xfId="0" applyNumberFormat="1" applyFont="1" applyFill="1" applyAlignment="1">
      <alignment vertical="center"/>
    </xf>
    <xf numFmtId="0" fontId="18" fillId="0" borderId="0" xfId="0" applyNumberFormat="1" applyFont="1" applyFill="1" applyAlignment="1">
      <alignment vertical="center"/>
    </xf>
    <xf numFmtId="0" fontId="13" fillId="0" borderId="170" xfId="0" applyNumberFormat="1" applyFont="1" applyFill="1" applyBorder="1" applyAlignment="1">
      <alignment horizontal="center" vertical="center"/>
    </xf>
    <xf numFmtId="0" fontId="13" fillId="0" borderId="89" xfId="0" applyNumberFormat="1" applyFont="1" applyFill="1" applyBorder="1" applyAlignment="1">
      <alignment horizontal="center" vertical="center"/>
    </xf>
    <xf numFmtId="0" fontId="13" fillId="35" borderId="18" xfId="0" applyFont="1" applyFill="1" applyBorder="1" applyAlignment="1">
      <alignment horizontal="center" vertical="center" wrapText="1"/>
    </xf>
    <xf numFmtId="0" fontId="13" fillId="35" borderId="20" xfId="0" applyFont="1" applyFill="1" applyBorder="1" applyAlignment="1">
      <alignment horizontal="center" vertical="center" wrapText="1"/>
    </xf>
    <xf numFmtId="0" fontId="13" fillId="0" borderId="18" xfId="56" applyNumberFormat="1" applyFont="1" applyFill="1" applyBorder="1" applyAlignment="1">
      <alignment horizontal="center" vertical="center" wrapText="1"/>
    </xf>
    <xf numFmtId="0" fontId="13" fillId="0" borderId="20" xfId="56" applyNumberFormat="1" applyFont="1" applyFill="1" applyBorder="1" applyAlignment="1">
      <alignment horizontal="center" vertical="center" wrapText="1"/>
    </xf>
    <xf numFmtId="0" fontId="13" fillId="0" borderId="18" xfId="0" applyNumberFormat="1" applyFont="1" applyFill="1" applyBorder="1" applyAlignment="1">
      <alignment horizontal="center" vertical="center" wrapText="1"/>
    </xf>
    <xf numFmtId="0" fontId="13" fillId="0" borderId="20" xfId="0" applyNumberFormat="1" applyFont="1" applyFill="1" applyBorder="1" applyAlignment="1">
      <alignment horizontal="center" vertical="center" wrapText="1"/>
    </xf>
    <xf numFmtId="0" fontId="13" fillId="0" borderId="246" xfId="56" applyNumberFormat="1" applyFont="1" applyFill="1" applyBorder="1" applyAlignment="1">
      <alignment horizontal="center" vertical="center" wrapText="1"/>
    </xf>
    <xf numFmtId="0" fontId="13" fillId="0" borderId="18" xfId="178" applyNumberFormat="1" applyFont="1" applyFill="1" applyBorder="1" applyAlignment="1">
      <alignment horizontal="center" vertical="center" wrapText="1"/>
    </xf>
    <xf numFmtId="0" fontId="13" fillId="0" borderId="20" xfId="178" applyNumberFormat="1" applyFont="1" applyFill="1" applyBorder="1" applyAlignment="1">
      <alignment horizontal="center" vertical="center" wrapText="1"/>
    </xf>
    <xf numFmtId="199" fontId="19" fillId="58" borderId="194" xfId="321" applyNumberFormat="1" applyFont="1" applyFill="1" applyBorder="1" applyAlignment="1">
      <alignment horizontal="left"/>
    </xf>
    <xf numFmtId="199" fontId="19" fillId="58" borderId="195" xfId="321" applyNumberFormat="1" applyFont="1" applyFill="1" applyBorder="1" applyAlignment="1">
      <alignment horizontal="left"/>
    </xf>
    <xf numFmtId="199" fontId="19" fillId="58" borderId="196" xfId="321" applyNumberFormat="1" applyFont="1" applyFill="1" applyBorder="1" applyAlignment="1">
      <alignment horizontal="left"/>
    </xf>
    <xf numFmtId="225" fontId="19" fillId="58" borderId="194" xfId="321" applyNumberFormat="1" applyFont="1" applyFill="1" applyBorder="1" applyAlignment="1">
      <alignment horizontal="left"/>
    </xf>
    <xf numFmtId="225" fontId="19" fillId="58" borderId="195" xfId="321" applyNumberFormat="1" applyFont="1" applyFill="1" applyBorder="1" applyAlignment="1">
      <alignment horizontal="left"/>
    </xf>
    <xf numFmtId="225" fontId="19" fillId="58" borderId="196" xfId="321" applyNumberFormat="1" applyFont="1" applyFill="1" applyBorder="1" applyAlignment="1">
      <alignment horizontal="left"/>
    </xf>
    <xf numFmtId="0" fontId="18" fillId="58" borderId="32" xfId="321" applyFont="1" applyFill="1" applyBorder="1" applyAlignment="1">
      <alignment horizontal="left"/>
    </xf>
    <xf numFmtId="0" fontId="18" fillId="58" borderId="17" xfId="321" applyFont="1" applyFill="1" applyBorder="1" applyAlignment="1">
      <alignment horizontal="left"/>
    </xf>
    <xf numFmtId="0" fontId="18" fillId="58" borderId="38" xfId="321" applyFont="1" applyFill="1" applyBorder="1" applyAlignment="1">
      <alignment horizontal="left"/>
    </xf>
    <xf numFmtId="0" fontId="19" fillId="58" borderId="28" xfId="321" applyFont="1" applyFill="1" applyBorder="1" applyAlignment="1">
      <alignment horizontal="left"/>
    </xf>
    <xf numFmtId="0" fontId="19" fillId="58" borderId="199" xfId="321" applyFont="1" applyFill="1" applyBorder="1" applyAlignment="1">
      <alignment horizontal="left"/>
    </xf>
    <xf numFmtId="0" fontId="19" fillId="61" borderId="199" xfId="321" applyFont="1" applyFill="1" applyBorder="1" applyAlignment="1">
      <alignment horizontal="left"/>
    </xf>
    <xf numFmtId="0" fontId="19" fillId="61" borderId="28" xfId="321" applyFont="1" applyFill="1" applyBorder="1" applyAlignment="1">
      <alignment horizontal="left"/>
    </xf>
    <xf numFmtId="0" fontId="19" fillId="61" borderId="28" xfId="0" applyFont="1" applyFill="1" applyBorder="1" applyAlignment="1">
      <alignment horizontal="left"/>
    </xf>
    <xf numFmtId="0" fontId="19" fillId="61" borderId="199" xfId="0" applyFont="1" applyFill="1" applyBorder="1" applyAlignment="1">
      <alignment horizontal="left"/>
    </xf>
    <xf numFmtId="0" fontId="19" fillId="61" borderId="194" xfId="321" applyFont="1" applyFill="1" applyBorder="1" applyAlignment="1">
      <alignment horizontal="left" vertical="top" wrapText="1"/>
    </xf>
    <xf numFmtId="0" fontId="19" fillId="61" borderId="195" xfId="321" applyFont="1" applyFill="1" applyBorder="1" applyAlignment="1">
      <alignment horizontal="left" vertical="top" wrapText="1"/>
    </xf>
    <xf numFmtId="0" fontId="19" fillId="61" borderId="196" xfId="321" applyFont="1" applyFill="1" applyBorder="1" applyAlignment="1">
      <alignment horizontal="left" vertical="top" wrapText="1"/>
    </xf>
    <xf numFmtId="0" fontId="19" fillId="43" borderId="194" xfId="321" applyFont="1" applyFill="1" applyBorder="1" applyAlignment="1">
      <alignment horizontal="left" vertical="top" wrapText="1"/>
    </xf>
    <xf numFmtId="0" fontId="19" fillId="43" borderId="195" xfId="321" applyFont="1" applyFill="1" applyBorder="1" applyAlignment="1">
      <alignment horizontal="left" vertical="top" wrapText="1"/>
    </xf>
    <xf numFmtId="0" fontId="19" fillId="43" borderId="196" xfId="321" applyFont="1" applyFill="1" applyBorder="1" applyAlignment="1">
      <alignment horizontal="left" vertical="top" wrapText="1"/>
    </xf>
    <xf numFmtId="0" fontId="19" fillId="43" borderId="28" xfId="321" applyFont="1" applyFill="1" applyBorder="1" applyAlignment="1">
      <alignment horizontal="left"/>
    </xf>
    <xf numFmtId="0" fontId="19" fillId="43" borderId="198" xfId="321" applyFont="1" applyFill="1" applyBorder="1" applyAlignment="1">
      <alignment horizontal="left"/>
    </xf>
    <xf numFmtId="0" fontId="19" fillId="43" borderId="31" xfId="321" applyFont="1" applyFill="1" applyBorder="1" applyAlignment="1">
      <alignment horizontal="left"/>
    </xf>
    <xf numFmtId="0" fontId="12" fillId="43" borderId="210" xfId="321" applyFont="1" applyFill="1" applyBorder="1" applyAlignment="1">
      <alignment horizontal="left"/>
    </xf>
    <xf numFmtId="0" fontId="19" fillId="43" borderId="211" xfId="321" applyFont="1" applyFill="1" applyBorder="1" applyAlignment="1">
      <alignment horizontal="left"/>
    </xf>
    <xf numFmtId="0" fontId="19" fillId="43" borderId="212" xfId="321" applyFont="1" applyFill="1" applyBorder="1" applyAlignment="1">
      <alignment horizontal="left"/>
    </xf>
    <xf numFmtId="0" fontId="19" fillId="43" borderId="215" xfId="321" applyFont="1" applyFill="1" applyBorder="1" applyAlignment="1">
      <alignment horizontal="left"/>
    </xf>
    <xf numFmtId="0" fontId="19" fillId="43" borderId="216" xfId="321" applyFont="1" applyFill="1" applyBorder="1" applyAlignment="1">
      <alignment horizontal="left"/>
    </xf>
    <xf numFmtId="0" fontId="19" fillId="43" borderId="217" xfId="321" applyFont="1" applyFill="1" applyBorder="1" applyAlignment="1">
      <alignment horizontal="left"/>
    </xf>
    <xf numFmtId="0" fontId="13" fillId="35" borderId="0" xfId="0" applyFont="1" applyFill="1" applyBorder="1" applyAlignment="1">
      <alignment horizontal="left"/>
    </xf>
    <xf numFmtId="0" fontId="19" fillId="58" borderId="194" xfId="321" applyFont="1" applyFill="1" applyBorder="1" applyAlignment="1" applyProtection="1">
      <alignment horizontal="left"/>
      <protection locked="0"/>
    </xf>
    <xf numFmtId="0" fontId="19" fillId="58" borderId="195" xfId="321" applyFont="1" applyFill="1" applyBorder="1" applyAlignment="1" applyProtection="1">
      <alignment horizontal="left"/>
      <protection locked="0"/>
    </xf>
    <xf numFmtId="0" fontId="19" fillId="58" borderId="196" xfId="321" applyFont="1" applyFill="1" applyBorder="1" applyAlignment="1" applyProtection="1">
      <alignment horizontal="left"/>
      <protection locked="0"/>
    </xf>
    <xf numFmtId="0" fontId="31" fillId="0" borderId="28" xfId="143" applyFont="1" applyBorder="1" applyAlignment="1">
      <alignment horizontal="center" vertical="center" wrapText="1"/>
    </xf>
    <xf numFmtId="0" fontId="31" fillId="0" borderId="29" xfId="143" applyFont="1" applyBorder="1" applyAlignment="1">
      <alignment horizontal="center" vertical="center"/>
    </xf>
    <xf numFmtId="0" fontId="31" fillId="0" borderId="31" xfId="143" applyFont="1" applyBorder="1" applyAlignment="1">
      <alignment horizontal="center" vertical="center"/>
    </xf>
    <xf numFmtId="0" fontId="19" fillId="0" borderId="0" xfId="143" applyFont="1" applyAlignment="1">
      <alignment horizontal="left" vertical="top" wrapText="1" indent="1"/>
    </xf>
    <xf numFmtId="0" fontId="23" fillId="58" borderId="194" xfId="321" applyNumberFormat="1" applyFont="1" applyFill="1" applyBorder="1" applyAlignment="1">
      <alignment horizontal="left" vertical="top" wrapText="1"/>
    </xf>
    <xf numFmtId="0" fontId="23" fillId="58" borderId="195" xfId="321" applyNumberFormat="1" applyFont="1" applyFill="1" applyBorder="1" applyAlignment="1">
      <alignment horizontal="left" vertical="top" wrapText="1"/>
    </xf>
    <xf numFmtId="0" fontId="23" fillId="58" borderId="196" xfId="321" applyNumberFormat="1" applyFont="1" applyFill="1" applyBorder="1" applyAlignment="1">
      <alignment horizontal="left" vertical="top" wrapText="1"/>
    </xf>
    <xf numFmtId="0" fontId="18" fillId="35" borderId="38" xfId="131" applyFont="1" applyFill="1" applyBorder="1" applyAlignment="1" applyProtection="1">
      <alignment horizontal="center"/>
    </xf>
    <xf numFmtId="0" fontId="12" fillId="58" borderId="194" xfId="321" applyFont="1" applyFill="1" applyBorder="1" applyAlignment="1">
      <alignment horizontal="left"/>
    </xf>
    <xf numFmtId="9" fontId="23" fillId="42" borderId="0" xfId="178" applyFont="1" applyFill="1" applyAlignment="1">
      <alignment horizontal="left"/>
    </xf>
    <xf numFmtId="9" fontId="23" fillId="58" borderId="0" xfId="178" applyFont="1" applyFill="1" applyAlignment="1">
      <alignment horizontal="left"/>
    </xf>
    <xf numFmtId="166" fontId="19" fillId="58" borderId="194" xfId="321" applyNumberFormat="1" applyFont="1" applyFill="1" applyBorder="1" applyAlignment="1">
      <alignment horizontal="center"/>
    </xf>
    <xf numFmtId="166" fontId="19" fillId="58" borderId="196" xfId="321" applyNumberFormat="1" applyFont="1" applyFill="1" applyBorder="1" applyAlignment="1">
      <alignment horizontal="center"/>
    </xf>
    <xf numFmtId="0" fontId="19" fillId="58" borderId="32" xfId="321" applyNumberFormat="1" applyFont="1" applyFill="1" applyBorder="1" applyAlignment="1">
      <alignment vertical="center" wrapText="1"/>
    </xf>
    <xf numFmtId="0" fontId="19" fillId="58" borderId="17" xfId="321" applyNumberFormat="1" applyFont="1" applyFill="1" applyBorder="1" applyAlignment="1">
      <alignment vertical="center" wrapText="1"/>
    </xf>
    <xf numFmtId="0" fontId="19" fillId="58" borderId="38" xfId="321" applyNumberFormat="1" applyFont="1" applyFill="1" applyBorder="1" applyAlignment="1">
      <alignment vertical="center" wrapText="1"/>
    </xf>
    <xf numFmtId="0" fontId="27" fillId="0" borderId="0" xfId="131" applyNumberFormat="1" applyFill="1" applyBorder="1" applyAlignment="1" applyProtection="1">
      <alignment vertical="center"/>
    </xf>
    <xf numFmtId="0" fontId="19" fillId="58" borderId="32" xfId="321" applyNumberFormat="1" applyFont="1" applyFill="1" applyBorder="1" applyAlignment="1">
      <alignment vertical="center"/>
    </xf>
    <xf numFmtId="0" fontId="19" fillId="58" borderId="17" xfId="321" applyNumberFormat="1" applyFont="1" applyFill="1" applyBorder="1" applyAlignment="1">
      <alignment vertical="center"/>
    </xf>
    <xf numFmtId="0" fontId="19" fillId="58" borderId="38" xfId="321" applyNumberFormat="1" applyFont="1" applyFill="1" applyBorder="1" applyAlignment="1">
      <alignment vertical="center"/>
    </xf>
    <xf numFmtId="0" fontId="19" fillId="58" borderId="194" xfId="321" applyNumberFormat="1" applyFont="1" applyFill="1" applyBorder="1" applyAlignment="1">
      <alignment horizontal="left" vertical="center"/>
    </xf>
    <xf numFmtId="0" fontId="19" fillId="58" borderId="195" xfId="321" applyNumberFormat="1" applyFont="1" applyFill="1" applyBorder="1" applyAlignment="1">
      <alignment horizontal="left" vertical="center"/>
    </xf>
    <xf numFmtId="0" fontId="19" fillId="58" borderId="196" xfId="321" applyNumberFormat="1" applyFont="1" applyFill="1" applyBorder="1" applyAlignment="1">
      <alignment horizontal="left" vertical="center"/>
    </xf>
    <xf numFmtId="170" fontId="134" fillId="25" borderId="32" xfId="0" applyNumberFormat="1" applyFont="1" applyFill="1" applyBorder="1" applyAlignment="1">
      <alignment horizontal="center" vertical="center"/>
    </xf>
    <xf numFmtId="170" fontId="134" fillId="25" borderId="38" xfId="0" applyNumberFormat="1" applyFont="1" applyFill="1" applyBorder="1" applyAlignment="1">
      <alignment horizontal="center" vertical="center"/>
    </xf>
    <xf numFmtId="0" fontId="142" fillId="59" borderId="130" xfId="0" applyFont="1" applyFill="1" applyBorder="1" applyAlignment="1">
      <alignment horizontal="left" vertical="center"/>
    </xf>
    <xf numFmtId="0" fontId="142" fillId="59" borderId="171" xfId="0" applyFont="1" applyFill="1" applyBorder="1" applyAlignment="1">
      <alignment horizontal="left" vertical="center"/>
    </xf>
    <xf numFmtId="0" fontId="142" fillId="59" borderId="172" xfId="0" applyFont="1" applyFill="1" applyBorder="1" applyAlignment="1">
      <alignment horizontal="left" vertical="center"/>
    </xf>
    <xf numFmtId="0" fontId="142" fillId="59" borderId="173" xfId="0" applyFont="1" applyFill="1" applyBorder="1" applyAlignment="1">
      <alignment horizontal="left" vertical="center"/>
    </xf>
    <xf numFmtId="0" fontId="142" fillId="59" borderId="174" xfId="0" applyFont="1" applyFill="1" applyBorder="1" applyAlignment="1">
      <alignment horizontal="left" vertical="center"/>
    </xf>
    <xf numFmtId="0" fontId="0" fillId="25" borderId="38" xfId="0" applyFill="1" applyBorder="1"/>
    <xf numFmtId="169" fontId="140" fillId="0" borderId="126" xfId="0" applyNumberFormat="1" applyFont="1" applyBorder="1" applyAlignment="1">
      <alignment horizontal="left" vertical="center"/>
    </xf>
    <xf numFmtId="0" fontId="142" fillId="59" borderId="15" xfId="0" applyFont="1" applyFill="1" applyBorder="1" applyAlignment="1">
      <alignment horizontal="left" vertical="center"/>
    </xf>
    <xf numFmtId="0" fontId="143" fillId="59" borderId="175" xfId="0" applyFont="1" applyFill="1" applyBorder="1" applyAlignment="1">
      <alignment horizontal="left" vertical="center"/>
    </xf>
    <xf numFmtId="0" fontId="143" fillId="59" borderId="0" xfId="0" applyFont="1" applyFill="1" applyBorder="1" applyAlignment="1">
      <alignment horizontal="left" vertical="center"/>
    </xf>
    <xf numFmtId="0" fontId="146" fillId="59" borderId="132" xfId="0" applyFont="1" applyFill="1" applyBorder="1" applyAlignment="1">
      <alignment horizontal="left" vertical="center"/>
    </xf>
    <xf numFmtId="0" fontId="146" fillId="59" borderId="133" xfId="0" applyFont="1" applyFill="1" applyBorder="1" applyAlignment="1">
      <alignment horizontal="left" vertical="center"/>
    </xf>
    <xf numFmtId="0" fontId="140" fillId="0" borderId="130" xfId="0" applyFont="1" applyBorder="1" applyAlignment="1">
      <alignment horizontal="left" vertical="center" wrapText="1"/>
    </xf>
    <xf numFmtId="0" fontId="140" fillId="0" borderId="171" xfId="0" applyFont="1" applyBorder="1" applyAlignment="1">
      <alignment horizontal="left" vertical="center" wrapText="1"/>
    </xf>
    <xf numFmtId="0" fontId="0" fillId="0" borderId="171" xfId="0" applyBorder="1" applyAlignment="1">
      <alignment horizontal="left" vertical="center" wrapText="1"/>
    </xf>
    <xf numFmtId="0" fontId="0" fillId="0" borderId="134" xfId="0" applyBorder="1" applyAlignment="1">
      <alignment horizontal="left" vertical="center" wrapText="1"/>
    </xf>
    <xf numFmtId="0" fontId="140" fillId="0" borderId="134" xfId="0" applyFont="1" applyBorder="1" applyAlignment="1">
      <alignment horizontal="left" vertical="center" wrapText="1"/>
    </xf>
    <xf numFmtId="222" fontId="140" fillId="0" borderId="130" xfId="0" applyNumberFormat="1" applyFont="1" applyBorder="1" applyAlignment="1">
      <alignment horizontal="left" vertical="center" wrapText="1"/>
    </xf>
    <xf numFmtId="222" fontId="140" fillId="0" borderId="134" xfId="0" applyNumberFormat="1" applyFont="1" applyBorder="1" applyAlignment="1">
      <alignment horizontal="left" vertical="center" wrapText="1"/>
    </xf>
    <xf numFmtId="0" fontId="202" fillId="47" borderId="0" xfId="345" applyFont="1" applyFill="1" applyAlignment="1">
      <alignment horizontal="center"/>
    </xf>
    <xf numFmtId="0" fontId="2" fillId="62" borderId="31" xfId="345" applyFill="1" applyBorder="1" applyAlignment="1">
      <alignment wrapText="1"/>
    </xf>
    <xf numFmtId="14" fontId="2" fillId="62" borderId="14" xfId="345" applyNumberFormat="1" applyFill="1" applyBorder="1" applyAlignment="1">
      <alignment horizontal="left" wrapText="1"/>
    </xf>
    <xf numFmtId="0" fontId="2" fillId="62" borderId="14" xfId="345" applyFill="1" applyBorder="1" applyAlignment="1">
      <alignment horizontal="left" wrapText="1"/>
    </xf>
    <xf numFmtId="0" fontId="201" fillId="47" borderId="0" xfId="345" applyFont="1" applyFill="1" applyAlignment="1">
      <alignment horizontal="center"/>
    </xf>
    <xf numFmtId="0" fontId="205" fillId="71" borderId="32" xfId="0" applyFont="1" applyFill="1" applyBorder="1" applyAlignment="1">
      <alignment horizontal="center" vertical="center" wrapText="1"/>
    </xf>
    <xf numFmtId="0" fontId="205" fillId="71" borderId="38" xfId="0" applyFont="1" applyFill="1" applyBorder="1" applyAlignment="1">
      <alignment horizontal="center" vertical="center" wrapText="1"/>
    </xf>
    <xf numFmtId="0" fontId="205" fillId="71" borderId="17" xfId="0" applyFont="1" applyFill="1" applyBorder="1" applyAlignment="1">
      <alignment horizontal="center" vertical="center" wrapText="1"/>
    </xf>
    <xf numFmtId="0" fontId="12" fillId="58" borderId="198" xfId="272" applyFont="1" applyFill="1" applyBorder="1" applyAlignment="1">
      <alignment horizontal="left"/>
    </xf>
    <xf numFmtId="0" fontId="12" fillId="58" borderId="199" xfId="272" applyFont="1" applyFill="1" applyBorder="1" applyAlignment="1">
      <alignment horizontal="left"/>
    </xf>
    <xf numFmtId="0" fontId="205" fillId="71" borderId="244" xfId="0" applyFont="1" applyFill="1" applyBorder="1" applyAlignment="1">
      <alignment horizontal="center" vertical="center" wrapText="1"/>
    </xf>
    <xf numFmtId="0" fontId="205" fillId="71" borderId="0" xfId="0" applyFont="1" applyFill="1" applyBorder="1" applyAlignment="1">
      <alignment horizontal="center" vertical="center" wrapText="1"/>
    </xf>
    <xf numFmtId="0" fontId="12" fillId="58" borderId="194" xfId="272" applyFont="1" applyFill="1" applyBorder="1" applyAlignment="1">
      <alignment horizontal="left" vertical="top" wrapText="1"/>
    </xf>
    <xf numFmtId="0" fontId="12" fillId="58" borderId="195" xfId="272" applyFont="1" applyFill="1" applyBorder="1" applyAlignment="1">
      <alignment horizontal="left" vertical="top" wrapText="1"/>
    </xf>
    <xf numFmtId="0" fontId="12" fillId="58" borderId="196" xfId="272" applyFont="1" applyFill="1" applyBorder="1" applyAlignment="1">
      <alignment horizontal="left" vertical="top" wrapText="1"/>
    </xf>
    <xf numFmtId="0" fontId="12" fillId="58" borderId="197" xfId="272" applyFont="1" applyFill="1" applyBorder="1" applyAlignment="1">
      <alignment horizontal="left"/>
    </xf>
    <xf numFmtId="0" fontId="18" fillId="0" borderId="32" xfId="272" applyFont="1" applyBorder="1" applyAlignment="1">
      <alignment horizontal="center"/>
    </xf>
    <xf numFmtId="0" fontId="18" fillId="0" borderId="17" xfId="272" applyFont="1" applyBorder="1" applyAlignment="1">
      <alignment horizontal="center"/>
    </xf>
    <xf numFmtId="0" fontId="18" fillId="0" borderId="38" xfId="272" applyFont="1" applyBorder="1" applyAlignment="1">
      <alignment horizontal="center"/>
    </xf>
    <xf numFmtId="0" fontId="12" fillId="58" borderId="22" xfId="272" applyFont="1" applyFill="1" applyBorder="1" applyAlignment="1">
      <alignment horizontal="left"/>
    </xf>
    <xf numFmtId="0" fontId="12" fillId="58" borderId="246" xfId="272" applyFont="1" applyFill="1" applyBorder="1" applyAlignment="1">
      <alignment horizontal="left"/>
    </xf>
    <xf numFmtId="0" fontId="12" fillId="58" borderId="26" xfId="272" applyFont="1" applyFill="1" applyBorder="1" applyAlignment="1">
      <alignment horizontal="left"/>
    </xf>
    <xf numFmtId="0" fontId="12" fillId="58" borderId="215" xfId="272" applyFont="1" applyFill="1" applyBorder="1" applyAlignment="1">
      <alignment horizontal="left"/>
    </xf>
    <xf numFmtId="0" fontId="12" fillId="58" borderId="216" xfId="272" applyFont="1" applyFill="1" applyBorder="1" applyAlignment="1">
      <alignment horizontal="left"/>
    </xf>
    <xf numFmtId="0" fontId="12" fillId="58" borderId="217" xfId="272" applyFont="1" applyFill="1" applyBorder="1" applyAlignment="1">
      <alignment horizontal="left"/>
    </xf>
    <xf numFmtId="0" fontId="13" fillId="35" borderId="32" xfId="272" applyFont="1" applyFill="1" applyBorder="1" applyAlignment="1">
      <alignment horizontal="center" wrapText="1"/>
    </xf>
    <xf numFmtId="0" fontId="13" fillId="35" borderId="17" xfId="272" applyFont="1" applyFill="1" applyBorder="1" applyAlignment="1">
      <alignment horizontal="center" wrapText="1"/>
    </xf>
    <xf numFmtId="0" fontId="13" fillId="35" borderId="38" xfId="272" applyFont="1" applyFill="1" applyBorder="1" applyAlignment="1">
      <alignment horizontal="center" wrapText="1"/>
    </xf>
    <xf numFmtId="0" fontId="18" fillId="62" borderId="32" xfId="0" applyFont="1" applyFill="1" applyBorder="1" applyAlignment="1">
      <alignment horizontal="center" vertical="center"/>
    </xf>
    <xf numFmtId="0" fontId="18" fillId="62" borderId="17" xfId="0" applyFont="1" applyFill="1" applyBorder="1" applyAlignment="1">
      <alignment horizontal="center" vertical="center"/>
    </xf>
    <xf numFmtId="0" fontId="18" fillId="62" borderId="38" xfId="0" applyFont="1" applyFill="1" applyBorder="1" applyAlignment="1">
      <alignment horizontal="center" vertical="center"/>
    </xf>
    <xf numFmtId="0" fontId="18" fillId="47" borderId="38" xfId="0" applyNumberFormat="1" applyFont="1" applyFill="1" applyBorder="1" applyAlignment="1">
      <alignment horizontal="center" vertical="center"/>
    </xf>
  </cellXfs>
  <cellStyles count="38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hidden="1" customBuiltin="1"/>
    <cellStyle name="Accent2" xfId="20" builtinId="33" hidden="1" customBuiltin="1"/>
    <cellStyle name="Accent3" xfId="21" builtinId="37" hidden="1" customBuiltin="1"/>
    <cellStyle name="Accent4" xfId="22" builtinId="41" hidden="1" customBuiltin="1"/>
    <cellStyle name="Accent5" xfId="23" builtinId="45" hidden="1" customBuiltin="1"/>
    <cellStyle name="Accent6" xfId="24" builtinId="49" hidden="1" customBuiltin="1"/>
    <cellStyle name="Account Codes" xfId="25" xr:uid="{00000000-0005-0000-0000-000018000000}"/>
    <cellStyle name="Analysis_Date" xfId="26" xr:uid="{00000000-0005-0000-0000-000019000000}"/>
    <cellStyle name="Assets_ColumnHeader" xfId="27" xr:uid="{00000000-0005-0000-0000-00001A000000}"/>
    <cellStyle name="Bad" xfId="28" builtinId="27" customBuiltin="1"/>
    <cellStyle name="Bar1" xfId="29" xr:uid="{00000000-0005-0000-0000-00001C000000}"/>
    <cellStyle name="Bar1 2" xfId="250" xr:uid="{00000000-0005-0000-0000-00001D000000}"/>
    <cellStyle name="Bar2" xfId="30" xr:uid="{00000000-0005-0000-0000-00001E000000}"/>
    <cellStyle name="Bar2 2" xfId="251" xr:uid="{00000000-0005-0000-0000-00001F000000}"/>
    <cellStyle name="Blue Single Line" xfId="31" xr:uid="{00000000-0005-0000-0000-000020000000}"/>
    <cellStyle name="Blue Single Line 2" xfId="252" xr:uid="{00000000-0005-0000-0000-000021000000}"/>
    <cellStyle name="Bold Line" xfId="32" xr:uid="{00000000-0005-0000-0000-000022000000}"/>
    <cellStyle name="Bold Line 2" xfId="322" xr:uid="{00000000-0005-0000-0000-000023000000}"/>
    <cellStyle name="BPAT_Fill" xfId="330" xr:uid="{5E8FC5CE-D38D-48C2-BA18-6E285CF36AD3}"/>
    <cellStyle name="Calculation" xfId="33" builtinId="22" customBuiltin="1"/>
    <cellStyle name="Check Cell" xfId="34" builtinId="23" customBuiltin="1"/>
    <cellStyle name="Client Name" xfId="35" xr:uid="{00000000-0005-0000-0000-000026000000}"/>
    <cellStyle name="Column Heading" xfId="36" xr:uid="{00000000-0005-0000-0000-000027000000}"/>
    <cellStyle name="Column Heading 13P" xfId="37" xr:uid="{00000000-0005-0000-0000-000028000000}"/>
    <cellStyle name="Column Heading Bold" xfId="38" xr:uid="{00000000-0005-0000-0000-000029000000}"/>
    <cellStyle name="Column Heading_Book5" xfId="39" xr:uid="{00000000-0005-0000-0000-00002A000000}"/>
    <cellStyle name="Column Heading8" xfId="40" xr:uid="{00000000-0005-0000-0000-00002B000000}"/>
    <cellStyle name="Comma" xfId="41" builtinId="3"/>
    <cellStyle name="Comma 2" xfId="42" xr:uid="{00000000-0005-0000-0000-00002D000000}"/>
    <cellStyle name="Comma 2 2" xfId="256" xr:uid="{00000000-0005-0000-0000-00002E000000}"/>
    <cellStyle name="Comma 2 2 2" xfId="368" xr:uid="{45474EA9-6636-4E03-A978-CE1C9A784380}"/>
    <cellStyle name="Comma 2 3" xfId="351" xr:uid="{12A2A3C6-574C-48CE-B991-3106F55F54B6}"/>
    <cellStyle name="Comma 3" xfId="301" xr:uid="{00000000-0005-0000-0000-00002F000000}"/>
    <cellStyle name="Comma 3 2" xfId="374" xr:uid="{DDA2AB06-A342-42A8-9526-ED778A753735}"/>
    <cellStyle name="Comma 4" xfId="306" xr:uid="{00000000-0005-0000-0000-000030000000}"/>
    <cellStyle name="Comma 4 2" xfId="378" xr:uid="{AF385827-B225-4770-8FAF-15012C99A44C}"/>
    <cellStyle name="Comma 5" xfId="325" xr:uid="{83339589-499B-40DD-89E5-AC52235872A8}"/>
    <cellStyle name="Comma 5 2" xfId="382" xr:uid="{CFBBFE1C-25B2-4698-A03B-7176474D5A04}"/>
    <cellStyle name="Comma 6" xfId="332" xr:uid="{BA6893EC-A0E1-4A1C-A8EE-132B6BC3DDFB}"/>
    <cellStyle name="Comma 7" xfId="343" xr:uid="{C24564FB-000B-4BC0-B006-C269372E80F7}"/>
    <cellStyle name="Comma 8" xfId="346" xr:uid="{7CB147E7-509C-4615-9A24-D9EC003A8D1B}"/>
    <cellStyle name="Comma 9" xfId="350" xr:uid="{EBD3DA37-7B4E-44EB-98E2-67382D84814D}"/>
    <cellStyle name="Comma_~4858339" xfId="310" xr:uid="{00000000-0005-0000-0000-000031000000}"/>
    <cellStyle name="Comma_Employee Contributions - FBT Car Calculations" xfId="43" xr:uid="{00000000-0005-0000-0000-000032000000}"/>
    <cellStyle name="Comma_Loan Calc" xfId="44" xr:uid="{00000000-0005-0000-0000-000033000000}"/>
    <cellStyle name="Comma_Sheet1 (2)" xfId="314" xr:uid="{00000000-0005-0000-0000-000034000000}"/>
    <cellStyle name="Comma_TAXPAY" xfId="309" xr:uid="{00000000-0005-0000-0000-000035000000}"/>
    <cellStyle name="Copy" xfId="45" xr:uid="{00000000-0005-0000-0000-000036000000}"/>
    <cellStyle name="CopyBold" xfId="46" xr:uid="{00000000-0005-0000-0000-000037000000}"/>
    <cellStyle name="CopyBoldPercentages" xfId="47" xr:uid="{00000000-0005-0000-0000-000038000000}"/>
    <cellStyle name="CopyBoldRight" xfId="48" xr:uid="{00000000-0005-0000-0000-000039000000}"/>
    <cellStyle name="CopyNumeric" xfId="49" xr:uid="{00000000-0005-0000-0000-00003A000000}"/>
    <cellStyle name="CopyNumeric 2" xfId="257" xr:uid="{00000000-0005-0000-0000-00003B000000}"/>
    <cellStyle name="CopyNumericBold" xfId="50" xr:uid="{00000000-0005-0000-0000-00003C000000}"/>
    <cellStyle name="CopyPercentages" xfId="51" xr:uid="{00000000-0005-0000-0000-00003D000000}"/>
    <cellStyle name="CopyPercentages 2" xfId="258" xr:uid="{00000000-0005-0000-0000-00003E000000}"/>
    <cellStyle name="CopyRight" xfId="52" xr:uid="{00000000-0005-0000-0000-00003F000000}"/>
    <cellStyle name="CopyRight 2" xfId="259" xr:uid="{00000000-0005-0000-0000-000040000000}"/>
    <cellStyle name="Cover Client Name" xfId="53" xr:uid="{00000000-0005-0000-0000-000041000000}"/>
    <cellStyle name="Cover Text" xfId="54" xr:uid="{00000000-0005-0000-0000-000042000000}"/>
    <cellStyle name="Cover_ABN" xfId="55" xr:uid="{00000000-0005-0000-0000-000043000000}"/>
    <cellStyle name="Currency" xfId="56" builtinId="4"/>
    <cellStyle name="Currency 10" xfId="348" xr:uid="{1F3CDB9A-3B62-4FB5-B069-42339C8CD4DB}"/>
    <cellStyle name="Currency 13P" xfId="57" xr:uid="{00000000-0005-0000-0000-000045000000}"/>
    <cellStyle name="Currency 13P col2" xfId="58" xr:uid="{00000000-0005-0000-0000-000046000000}"/>
    <cellStyle name="Currency 13PBudget" xfId="59" xr:uid="{00000000-0005-0000-0000-000047000000}"/>
    <cellStyle name="Currency 2" xfId="60" xr:uid="{00000000-0005-0000-0000-000048000000}"/>
    <cellStyle name="Currency 2 2" xfId="260" xr:uid="{00000000-0005-0000-0000-000049000000}"/>
    <cellStyle name="Currency 2 2 2" xfId="369" xr:uid="{3BD67C7C-3F83-4F57-903D-A29A49FAA995}"/>
    <cellStyle name="Currency 2 3" xfId="353" xr:uid="{BB4CEF29-3B65-4E4C-86D0-FEF7A7E1F0C7}"/>
    <cellStyle name="Currency 3" xfId="307" xr:uid="{00000000-0005-0000-0000-00004A000000}"/>
    <cellStyle name="Currency 3 2" xfId="379" xr:uid="{A3C9D001-AD61-4E0E-B573-F0E70F7DB278}"/>
    <cellStyle name="Currency 4" xfId="334" xr:uid="{18906ED3-32D1-49BF-8660-7F1CF0A90837}"/>
    <cellStyle name="Currency 4 2" xfId="339" xr:uid="{DC0D9C22-B28E-4879-9CA4-365E1DF537D0}"/>
    <cellStyle name="Currency 5" xfId="342" xr:uid="{21186F36-AB2D-4BE3-9D08-7A6898701BC0}"/>
    <cellStyle name="Currency 6" xfId="352" xr:uid="{322ADDD6-E21C-4101-9BB5-600D54262495}"/>
    <cellStyle name="Currency 7" xfId="364" xr:uid="{44BD161B-DDCC-4048-90EE-2B01B4855FDC}"/>
    <cellStyle name="Currency 8" xfId="357" xr:uid="{657E9C55-8932-4DD3-80BA-AC4693274A93}"/>
    <cellStyle name="Currency 9" xfId="363" xr:uid="{D45F895B-F7D9-418F-B548-4BC5D4C6E2DB}"/>
    <cellStyle name="Currency Col1" xfId="61" xr:uid="{00000000-0005-0000-0000-00004B000000}"/>
    <cellStyle name="Currency Col2" xfId="62" xr:uid="{00000000-0005-0000-0000-00004C000000}"/>
    <cellStyle name="Currency_~4858339" xfId="312" xr:uid="{00000000-0005-0000-0000-00004D000000}"/>
    <cellStyle name="Currency_Employee Contributions - FBT Car Calculations" xfId="63" xr:uid="{00000000-0005-0000-0000-00004E000000}"/>
    <cellStyle name="Currency_Loan Calc - Complete1" xfId="64" xr:uid="{00000000-0005-0000-0000-000050000000}"/>
    <cellStyle name="Currency_Tax Planning 2007" xfId="65" xr:uid="{00000000-0005-0000-0000-000051000000}"/>
    <cellStyle name="DataField" xfId="66" xr:uid="{00000000-0005-0000-0000-000052000000}"/>
    <cellStyle name="DataField 2" xfId="323" xr:uid="{00000000-0005-0000-0000-000053000000}"/>
    <cellStyle name="DataField#" xfId="67" xr:uid="{00000000-0005-0000-0000-000054000000}"/>
    <cellStyle name="DataField$" xfId="68" xr:uid="{00000000-0005-0000-0000-000055000000}"/>
    <cellStyle name="DataField$ 2" xfId="354" xr:uid="{9BEF5C02-4AC0-460C-8151-47CC8270A8C3}"/>
    <cellStyle name="DataFieldDate" xfId="69" xr:uid="{00000000-0005-0000-0000-000056000000}"/>
    <cellStyle name="DataFieldSubTotal" xfId="70" xr:uid="{00000000-0005-0000-0000-000057000000}"/>
    <cellStyle name="DataFieldSubTotal 2" xfId="355" xr:uid="{C09053D1-DBA6-4DA1-901D-F08824FFF075}"/>
    <cellStyle name="DataFieldTotal" xfId="71" xr:uid="{00000000-0005-0000-0000-000058000000}"/>
    <cellStyle name="DataFieldTotal 2" xfId="356" xr:uid="{2623303D-C822-42F1-BCCC-EEE0854665BC}"/>
    <cellStyle name="Date" xfId="72" xr:uid="{00000000-0005-0000-0000-000059000000}"/>
    <cellStyle name="Date 2" xfId="261" xr:uid="{00000000-0005-0000-0000-00005A000000}"/>
    <cellStyle name="Depn Col Heading" xfId="73" xr:uid="{00000000-0005-0000-0000-00005B000000}"/>
    <cellStyle name="Depn Date" xfId="74" xr:uid="{00000000-0005-0000-0000-00005C000000}"/>
    <cellStyle name="Depn Detail" xfId="75" xr:uid="{00000000-0005-0000-0000-00005D000000}"/>
    <cellStyle name="Depn Heading" xfId="76" xr:uid="{00000000-0005-0000-0000-00005E000000}"/>
    <cellStyle name="Depn Titile" xfId="77" xr:uid="{00000000-0005-0000-0000-00005F000000}"/>
    <cellStyle name="Depn Total" xfId="78" xr:uid="{00000000-0005-0000-0000-000060000000}"/>
    <cellStyle name="Details 13P Budget" xfId="79" xr:uid="{00000000-0005-0000-0000-000061000000}"/>
    <cellStyle name="Details 13P Col1" xfId="80" xr:uid="{00000000-0005-0000-0000-000062000000}"/>
    <cellStyle name="Details 13P Col2" xfId="81" xr:uid="{00000000-0005-0000-0000-000063000000}"/>
    <cellStyle name="Details Col1" xfId="82" xr:uid="{00000000-0005-0000-0000-000064000000}"/>
    <cellStyle name="Details Col1 2" xfId="262" xr:uid="{00000000-0005-0000-0000-000065000000}"/>
    <cellStyle name="Details Col2" xfId="83" xr:uid="{00000000-0005-0000-0000-000066000000}"/>
    <cellStyle name="Details Col2 2" xfId="263" xr:uid="{00000000-0005-0000-0000-000067000000}"/>
    <cellStyle name="Details Text" xfId="84" xr:uid="{00000000-0005-0000-0000-000068000000}"/>
    <cellStyle name="Details Text 10" xfId="254" xr:uid="{00000000-0005-0000-0000-000069000000}"/>
    <cellStyle name="Details Text 13P_Plus" xfId="85" xr:uid="{00000000-0005-0000-0000-00006A000000}"/>
    <cellStyle name="Details Text 2" xfId="264" xr:uid="{00000000-0005-0000-0000-00006B000000}"/>
    <cellStyle name="Details Text 3" xfId="273" xr:uid="{00000000-0005-0000-0000-00006C000000}"/>
    <cellStyle name="Details Text 4" xfId="249" xr:uid="{00000000-0005-0000-0000-00006D000000}"/>
    <cellStyle name="Details Text 5" xfId="271" xr:uid="{00000000-0005-0000-0000-00006E000000}"/>
    <cellStyle name="Details Text 6" xfId="253" xr:uid="{00000000-0005-0000-0000-00006F000000}"/>
    <cellStyle name="Details Text 7" xfId="248" xr:uid="{00000000-0005-0000-0000-000070000000}"/>
    <cellStyle name="Details Text 8" xfId="255" xr:uid="{00000000-0005-0000-0000-000071000000}"/>
    <cellStyle name="Details Text 9" xfId="268" xr:uid="{00000000-0005-0000-0000-000072000000}"/>
    <cellStyle name="Details Text non-wrap" xfId="86" xr:uid="{00000000-0005-0000-0000-000073000000}"/>
    <cellStyle name="Directory Detail" xfId="87" xr:uid="{00000000-0005-0000-0000-000074000000}"/>
    <cellStyle name="Directory Detail 2" xfId="265" xr:uid="{00000000-0005-0000-0000-000075000000}"/>
    <cellStyle name="Directory Detail Bold" xfId="88" xr:uid="{00000000-0005-0000-0000-000076000000}"/>
    <cellStyle name="Directory Detail HTB" xfId="89" xr:uid="{00000000-0005-0000-0000-000077000000}"/>
    <cellStyle name="Directory Detail HTB 2" xfId="266" xr:uid="{00000000-0005-0000-0000-000078000000}"/>
    <cellStyle name="Directory Detail non wrap" xfId="90" xr:uid="{00000000-0005-0000-0000-000079000000}"/>
    <cellStyle name="Directory Detail non wrap 2" xfId="267" xr:uid="{00000000-0005-0000-0000-00007A000000}"/>
    <cellStyle name="Directory Heading Top" xfId="91" xr:uid="{00000000-0005-0000-0000-00007B000000}"/>
    <cellStyle name="DirectoryHeading" xfId="92" xr:uid="{00000000-0005-0000-0000-00007C000000}"/>
    <cellStyle name="Disclaimer" xfId="93" xr:uid="{00000000-0005-0000-0000-00007D000000}"/>
    <cellStyle name="Divider_Shading" xfId="94" xr:uid="{00000000-0005-0000-0000-00007E000000}"/>
    <cellStyle name="Draft Text" xfId="95" xr:uid="{00000000-0005-0000-0000-00007F000000}"/>
    <cellStyle name="Explanatory Text" xfId="96" builtinId="53" customBuiltin="1"/>
    <cellStyle name="Fill" xfId="321" xr:uid="{00000000-0005-0000-0000-000081000000}"/>
    <cellStyle name="Financial Period" xfId="97" xr:uid="{00000000-0005-0000-0000-000082000000}"/>
    <cellStyle name="Fly Bar1" xfId="98" xr:uid="{00000000-0005-0000-0000-000083000000}"/>
    <cellStyle name="Fly Org" xfId="99" xr:uid="{00000000-0005-0000-0000-000084000000}"/>
    <cellStyle name="Fly Title" xfId="100" xr:uid="{00000000-0005-0000-0000-000085000000}"/>
    <cellStyle name="FootBar" xfId="101" xr:uid="{00000000-0005-0000-0000-000086000000}"/>
    <cellStyle name="FootBar 2" xfId="102" xr:uid="{00000000-0005-0000-0000-000087000000}"/>
    <cellStyle name="Footer 2" xfId="103" xr:uid="{00000000-0005-0000-0000-000088000000}"/>
    <cellStyle name="Footer_PageNo" xfId="104" xr:uid="{00000000-0005-0000-0000-000089000000}"/>
    <cellStyle name="Footer1" xfId="105" xr:uid="{00000000-0005-0000-0000-00008A000000}"/>
    <cellStyle name="Footer2" xfId="106" xr:uid="{00000000-0005-0000-0000-00008B000000}"/>
    <cellStyle name="Footnotes" xfId="107" xr:uid="{00000000-0005-0000-0000-00008C000000}"/>
    <cellStyle name="Formula" xfId="108" xr:uid="{00000000-0005-0000-0000-00008D000000}"/>
    <cellStyle name="Formula#" xfId="109" xr:uid="{00000000-0005-0000-0000-00008E000000}"/>
    <cellStyle name="Formula$" xfId="110" xr:uid="{00000000-0005-0000-0000-00008F000000}"/>
    <cellStyle name="Formula$ 2" xfId="360" xr:uid="{374398EB-1625-40AB-A193-72D2FAACCB9B}"/>
    <cellStyle name="FormulaDate" xfId="111" xr:uid="{00000000-0005-0000-0000-000090000000}"/>
    <cellStyle name="Good" xfId="112" builtinId="26" customBuiltin="1"/>
    <cellStyle name="Header_ABN" xfId="113" xr:uid="{00000000-0005-0000-0000-000092000000}"/>
    <cellStyle name="Header_ClientName" xfId="114" xr:uid="{00000000-0005-0000-0000-000093000000}"/>
    <cellStyle name="Header_ClientName 2" xfId="318" xr:uid="{00000000-0005-0000-0000-000094000000}"/>
    <cellStyle name="Header_ColumnHeader" xfId="115" xr:uid="{00000000-0005-0000-0000-000095000000}"/>
    <cellStyle name="Header_Date" xfId="116" xr:uid="{00000000-0005-0000-0000-000096000000}"/>
    <cellStyle name="Header_ReportName" xfId="117" xr:uid="{00000000-0005-0000-0000-000097000000}"/>
    <cellStyle name="Header1" xfId="118" xr:uid="{00000000-0005-0000-0000-000098000000}"/>
    <cellStyle name="Header1a" xfId="119" xr:uid="{00000000-0005-0000-0000-000099000000}"/>
    <cellStyle name="Header2" xfId="120" xr:uid="{00000000-0005-0000-0000-00009A000000}"/>
    <cellStyle name="Header3" xfId="121" xr:uid="{00000000-0005-0000-0000-00009B000000}"/>
    <cellStyle name="Heading" xfId="122" xr:uid="{00000000-0005-0000-0000-00009C000000}"/>
    <cellStyle name="Heading 1" xfId="123" builtinId="16" customBuiltin="1"/>
    <cellStyle name="Heading 2" xfId="124" builtinId="17" customBuiltin="1"/>
    <cellStyle name="Heading 3" xfId="125" builtinId="18" customBuiltin="1"/>
    <cellStyle name="Heading 4" xfId="126" builtinId="19" customBuiltin="1"/>
    <cellStyle name="Heading Col1" xfId="127" xr:uid="{00000000-0005-0000-0000-0000A1000000}"/>
    <cellStyle name="Heading Col2" xfId="128" xr:uid="{00000000-0005-0000-0000-0000A2000000}"/>
    <cellStyle name="Hide Col1" xfId="129" xr:uid="{00000000-0005-0000-0000-0000A3000000}"/>
    <cellStyle name="Hide Col2" xfId="130" xr:uid="{00000000-0005-0000-0000-0000A4000000}"/>
    <cellStyle name="Hyperlink" xfId="131" builtinId="8"/>
    <cellStyle name="Hyperlink 2" xfId="132" xr:uid="{00000000-0005-0000-0000-0000A6000000}"/>
    <cellStyle name="Hyperlink 2 2" xfId="269" xr:uid="{00000000-0005-0000-0000-0000A7000000}"/>
    <cellStyle name="Hyperlink 3" xfId="327" xr:uid="{E4D9D95E-5CBD-4BA5-A752-499B05D95066}"/>
    <cellStyle name="Input" xfId="133" builtinId="20" customBuiltin="1"/>
    <cellStyle name="Linked Cell" xfId="134" builtinId="24" customBuiltin="1"/>
    <cellStyle name="loan matrix blank" xfId="135" xr:uid="{00000000-0005-0000-0000-0000AA000000}"/>
    <cellStyle name="Min Currency" xfId="136" xr:uid="{00000000-0005-0000-0000-0000AB000000}"/>
    <cellStyle name="Min Currency 2" xfId="270" xr:uid="{00000000-0005-0000-0000-0000AC000000}"/>
    <cellStyle name="MinHead" xfId="137" xr:uid="{00000000-0005-0000-0000-0000AD000000}"/>
    <cellStyle name="MinHeadCent" xfId="138" xr:uid="{00000000-0005-0000-0000-0000AE000000}"/>
    <cellStyle name="Neutral" xfId="139" builtinId="28" customBuiltin="1"/>
    <cellStyle name="Normal" xfId="0" builtinId="0"/>
    <cellStyle name="Normal 10" xfId="336" xr:uid="{54EB6D92-65BB-4AEA-A32A-108EF84EBFED}"/>
    <cellStyle name="Normal 11" xfId="341" xr:uid="{7FBFB61E-ACCB-47FE-941F-A98059DDA1EF}"/>
    <cellStyle name="Normal 12" xfId="345" xr:uid="{8695CCD9-8E8D-4967-A1F9-89F284353948}"/>
    <cellStyle name="Normal 2" xfId="140" xr:uid="{00000000-0005-0000-0000-0000B1000000}"/>
    <cellStyle name="Normal 2 2" xfId="272" xr:uid="{00000000-0005-0000-0000-0000B2000000}"/>
    <cellStyle name="Normal 3" xfId="300" xr:uid="{00000000-0005-0000-0000-0000B3000000}"/>
    <cellStyle name="Normal 3 2" xfId="303" xr:uid="{00000000-0005-0000-0000-0000B4000000}"/>
    <cellStyle name="Normal 3 3" xfId="373" xr:uid="{E772523D-B543-4EA7-9103-4C261BAA1E0E}"/>
    <cellStyle name="Normal 4" xfId="304" xr:uid="{00000000-0005-0000-0000-0000B5000000}"/>
    <cellStyle name="Normal 4 2" xfId="376" xr:uid="{0655DD90-6C77-4FBA-B88C-6B347CECA8F3}"/>
    <cellStyle name="Normal 5" xfId="319" xr:uid="{00000000-0005-0000-0000-0000B6000000}"/>
    <cellStyle name="Normal 5 2" xfId="380" xr:uid="{A5C49F4F-2CDC-439D-B780-4AE6452188F3}"/>
    <cellStyle name="Normal 6" xfId="324" xr:uid="{C62F8195-013C-42DB-81FA-D27E5F872BD2}"/>
    <cellStyle name="Normal 6 2" xfId="335" xr:uid="{3D5E27E2-BB4D-4394-9B53-1D2BB7B97B03}"/>
    <cellStyle name="Normal 6 3" xfId="337" xr:uid="{DDCBE160-C62D-48B6-93E4-A0D18AAB1F7E}"/>
    <cellStyle name="Normal 6 4" xfId="381" xr:uid="{72160435-986A-42D1-B8D3-CFCCF1B7E6DD}"/>
    <cellStyle name="Normal 7" xfId="328" xr:uid="{A3319D9B-C9A2-407B-9CB6-CC8F696FEC0A}"/>
    <cellStyle name="Normal 7 2" xfId="384" xr:uid="{4B4BB751-36E8-4374-8606-CE201142C70B}"/>
    <cellStyle name="Normal 8" xfId="329" xr:uid="{B914A4B5-B45B-4D6F-8E1B-38EFB35593FC}"/>
    <cellStyle name="Normal 8 2" xfId="385" xr:uid="{B6DBA651-5C7C-4899-8CAE-F9B2D9F72A5E}"/>
    <cellStyle name="Normal 9" xfId="331" xr:uid="{2E8E0263-BF32-4DA0-8F78-BBED707180FF}"/>
    <cellStyle name="Normal 9 2" xfId="338" xr:uid="{004939B2-B1CB-4A4E-94B0-C5F5FB7979D2}"/>
    <cellStyle name="Normal_~4858339" xfId="308" xr:uid="{00000000-0005-0000-0000-0000B7000000}"/>
    <cellStyle name="Normal_1998AcctsA&amp;G" xfId="141" xr:uid="{00000000-0005-0000-0000-0000B8000000}"/>
    <cellStyle name="Normal_Building Write Off.xlt; Div 43 (old Div 10D)1" xfId="142" xr:uid="{00000000-0005-0000-0000-0000B9000000}"/>
    <cellStyle name="Normal_Employee Contributions - FBT Car Calculations" xfId="143" xr:uid="{00000000-0005-0000-0000-0000BA000000}"/>
    <cellStyle name="Normal_IGHeaders Footers - M'ment" xfId="144" xr:uid="{00000000-0005-0000-0000-0000BB000000}"/>
    <cellStyle name="Normal_Income Tax Reconciliation" xfId="317" xr:uid="{00000000-0005-0000-0000-0000BC000000}"/>
    <cellStyle name="Normal_Loan Calc" xfId="145" xr:uid="{00000000-0005-0000-0000-0000BD000000}"/>
    <cellStyle name="Normal_Loan Calc - Complete1" xfId="146" xr:uid="{00000000-0005-0000-0000-0000BE000000}"/>
    <cellStyle name="Normal_Mains Elect.xlt; s387-355 (old s70A)1" xfId="147" xr:uid="{00000000-0005-0000-0000-0000BF000000}"/>
    <cellStyle name="Normal_Sheet1 (2)_TaxPay" xfId="311" xr:uid="{00000000-0005-0000-0000-0000C0000000}"/>
    <cellStyle name="Normal_Tax Reconciliation" xfId="148" xr:uid="{00000000-0005-0000-0000-0000C2000000}"/>
    <cellStyle name="Normal_TaxPay_1_TaxPay" xfId="315" xr:uid="{00000000-0005-0000-0000-0000C3000000}"/>
    <cellStyle name="Normal_TaxPay_TaxPay" xfId="313" xr:uid="{00000000-0005-0000-0000-0000C4000000}"/>
    <cellStyle name="Normal_WHK-Cover" xfId="149" xr:uid="{00000000-0005-0000-0000-0000C5000000}"/>
    <cellStyle name="Normal_WHK-TaxRec" xfId="150" xr:uid="{00000000-0005-0000-0000-0000C6000000}"/>
    <cellStyle name="Normal_WHK-TaxRec 2" xfId="316" xr:uid="{00000000-0005-0000-0000-0000C7000000}"/>
    <cellStyle name="Note" xfId="151" builtinId="10" customBuiltin="1"/>
    <cellStyle name="Note Header" xfId="152" xr:uid="{00000000-0005-0000-0000-0000C9000000}"/>
    <cellStyle name="Note Number" xfId="153" xr:uid="{00000000-0005-0000-0000-0000CA000000}"/>
    <cellStyle name="Note Number 2" xfId="274" xr:uid="{00000000-0005-0000-0000-0000CB000000}"/>
    <cellStyle name="Note Number main" xfId="154" xr:uid="{00000000-0005-0000-0000-0000CC000000}"/>
    <cellStyle name="Note Number main 2" xfId="275" xr:uid="{00000000-0005-0000-0000-0000CD000000}"/>
    <cellStyle name="Note Number minor" xfId="155" xr:uid="{00000000-0005-0000-0000-0000CE000000}"/>
    <cellStyle name="Note Number minor 2" xfId="276" xr:uid="{00000000-0005-0000-0000-0000CF000000}"/>
    <cellStyle name="Note Number sub" xfId="156" xr:uid="{00000000-0005-0000-0000-0000D0000000}"/>
    <cellStyle name="Note Number sub 2" xfId="277" xr:uid="{00000000-0005-0000-0000-0000D1000000}"/>
    <cellStyle name="Note Number_WHK-Index" xfId="157" xr:uid="{00000000-0005-0000-0000-0000D2000000}"/>
    <cellStyle name="Number" xfId="158" xr:uid="{00000000-0005-0000-0000-0000D3000000}"/>
    <cellStyle name="Number 2dp" xfId="159" xr:uid="{00000000-0005-0000-0000-0000D4000000}"/>
    <cellStyle name="Number 2dp 2" xfId="278" xr:uid="{00000000-0005-0000-0000-0000D5000000}"/>
    <cellStyle name="Number Bold" xfId="160" xr:uid="{00000000-0005-0000-0000-0000D6000000}"/>
    <cellStyle name="Number Bold 2dp" xfId="161" xr:uid="{00000000-0005-0000-0000-0000D7000000}"/>
    <cellStyle name="Number Bold_Book5" xfId="162" xr:uid="{00000000-0005-0000-0000-0000D8000000}"/>
    <cellStyle name="Number Bold8" xfId="163" xr:uid="{00000000-0005-0000-0000-0000D9000000}"/>
    <cellStyle name="Number_Book5" xfId="164" xr:uid="{00000000-0005-0000-0000-0000DA000000}"/>
    <cellStyle name="Number8" xfId="165" xr:uid="{00000000-0005-0000-0000-0000DB000000}"/>
    <cellStyle name="Organisation" xfId="166" xr:uid="{00000000-0005-0000-0000-0000DC000000}"/>
    <cellStyle name="Output" xfId="167" builtinId="21" customBuiltin="1"/>
    <cellStyle name="Page Heading" xfId="168" xr:uid="{00000000-0005-0000-0000-0000DE000000}"/>
    <cellStyle name="Page Heading 1" xfId="169" xr:uid="{00000000-0005-0000-0000-0000DF000000}"/>
    <cellStyle name="Page Heading 2" xfId="170" xr:uid="{00000000-0005-0000-0000-0000E0000000}"/>
    <cellStyle name="Page Heading 2 2" xfId="279" xr:uid="{00000000-0005-0000-0000-0000E1000000}"/>
    <cellStyle name="Page Heading Date" xfId="171" xr:uid="{00000000-0005-0000-0000-0000E2000000}"/>
    <cellStyle name="Page Heading Date 2" xfId="280" xr:uid="{00000000-0005-0000-0000-0000E3000000}"/>
    <cellStyle name="Page Number" xfId="172" xr:uid="{00000000-0005-0000-0000-0000E4000000}"/>
    <cellStyle name="Page Number 2" xfId="281" xr:uid="{00000000-0005-0000-0000-0000E5000000}"/>
    <cellStyle name="Page Number Depn" xfId="173" xr:uid="{00000000-0005-0000-0000-0000E6000000}"/>
    <cellStyle name="Page Number Depn 2" xfId="282" xr:uid="{00000000-0005-0000-0000-0000E7000000}"/>
    <cellStyle name="Page Number Non Fin" xfId="174" xr:uid="{00000000-0005-0000-0000-0000E8000000}"/>
    <cellStyle name="Page Number Non Fin 2" xfId="283" xr:uid="{00000000-0005-0000-0000-0000E9000000}"/>
    <cellStyle name="Page Number Notes" xfId="175" xr:uid="{00000000-0005-0000-0000-0000EA000000}"/>
    <cellStyle name="Page Number Notes 2" xfId="284" xr:uid="{00000000-0005-0000-0000-0000EB000000}"/>
    <cellStyle name="Page Title" xfId="176" xr:uid="{00000000-0005-0000-0000-0000EC000000}"/>
    <cellStyle name="PageNumber" xfId="177" xr:uid="{00000000-0005-0000-0000-0000ED000000}"/>
    <cellStyle name="Percent" xfId="178" builtinId="5"/>
    <cellStyle name="Percent 2" xfId="302" xr:uid="{00000000-0005-0000-0000-0000EF000000}"/>
    <cellStyle name="Percent 2 2" xfId="320" xr:uid="{00000000-0005-0000-0000-0000F0000000}"/>
    <cellStyle name="Percent 2 3" xfId="375" xr:uid="{5FBFDCB2-A53F-40FB-9C0C-CDC49C73A8D2}"/>
    <cellStyle name="Percent 3" xfId="305" xr:uid="{00000000-0005-0000-0000-0000F1000000}"/>
    <cellStyle name="Percent 3 2" xfId="377" xr:uid="{5437374D-76E9-4667-B6B3-BA7B8159BAB1}"/>
    <cellStyle name="Percent 4" xfId="326" xr:uid="{AC955163-2988-4A44-9938-3D5B39FCF375}"/>
    <cellStyle name="Percent 4 2" xfId="383" xr:uid="{CAE16C14-2D5E-4200-B50F-FC3EC5AC2FFB}"/>
    <cellStyle name="Percent 5" xfId="333" xr:uid="{2E1B4833-4DD6-4F85-9D3C-17685E2267AA}"/>
    <cellStyle name="Percent 5 2" xfId="340" xr:uid="{5439F830-0520-4B6A-9D07-B4273CC60131}"/>
    <cellStyle name="Percent 6" xfId="344" xr:uid="{B106389D-180F-415A-80D3-69B8C44DAB12}"/>
    <cellStyle name="Percent 7" xfId="347" xr:uid="{EAE71FB7-2938-4A51-993A-EA4069D18E8C}"/>
    <cellStyle name="Percentage" xfId="179" xr:uid="{00000000-0005-0000-0000-0000F2000000}"/>
    <cellStyle name="Percentage 2" xfId="285" xr:uid="{00000000-0005-0000-0000-0000F3000000}"/>
    <cellStyle name="Percentage Bold" xfId="180" xr:uid="{00000000-0005-0000-0000-0000F4000000}"/>
    <cellStyle name="Percentage8" xfId="181" xr:uid="{00000000-0005-0000-0000-0000F5000000}"/>
    <cellStyle name="PracDetail1" xfId="182" xr:uid="{00000000-0005-0000-0000-0000F6000000}"/>
    <cellStyle name="PracDetail1 2" xfId="286" xr:uid="{00000000-0005-0000-0000-0000F7000000}"/>
    <cellStyle name="PracDetail2" xfId="183" xr:uid="{00000000-0005-0000-0000-0000F8000000}"/>
    <cellStyle name="PracDetail2 2" xfId="287" xr:uid="{00000000-0005-0000-0000-0000F9000000}"/>
    <cellStyle name="QDetails Col1" xfId="184" xr:uid="{00000000-0005-0000-0000-0000FA000000}"/>
    <cellStyle name="QDetails Col1 2" xfId="288" xr:uid="{00000000-0005-0000-0000-0000FB000000}"/>
    <cellStyle name="QDetails Col2" xfId="185" xr:uid="{00000000-0005-0000-0000-0000FC000000}"/>
    <cellStyle name="QDetails Col2 2" xfId="289" xr:uid="{00000000-0005-0000-0000-0000FD000000}"/>
    <cellStyle name="QSub Total Col1" xfId="186" xr:uid="{00000000-0005-0000-0000-0000FE000000}"/>
    <cellStyle name="QSub Total Col1 2" xfId="290" xr:uid="{00000000-0005-0000-0000-0000FF000000}"/>
    <cellStyle name="QSub Total Col2" xfId="187" xr:uid="{00000000-0005-0000-0000-000000010000}"/>
    <cellStyle name="QTotal Col1" xfId="188" xr:uid="{00000000-0005-0000-0000-000001010000}"/>
    <cellStyle name="QTotal Col1 2" xfId="291" xr:uid="{00000000-0005-0000-0000-000002010000}"/>
    <cellStyle name="QTotal Col2" xfId="189" xr:uid="{00000000-0005-0000-0000-000003010000}"/>
    <cellStyle name="Red Single Underline" xfId="190" xr:uid="{00000000-0005-0000-0000-000004010000}"/>
    <cellStyle name="Red Single Underline 2" xfId="358" xr:uid="{0B264898-1E99-4285-94D5-E57FFB0A22D5}"/>
    <cellStyle name="Red Single Underline 3" xfId="362" xr:uid="{A508D6EB-F1D9-46FB-9903-E696B1C32260}"/>
    <cellStyle name="Red Single Underline 4" xfId="361" xr:uid="{A15A61A0-B0C9-44B4-80D8-FDAC1744BE6A}"/>
    <cellStyle name="Red Single Underline 5" xfId="349" xr:uid="{31341D3A-A3A5-4D47-8220-C83999FF7800}"/>
    <cellStyle name="Rental Property Titles" xfId="191" xr:uid="{00000000-0005-0000-0000-000005010000}"/>
    <cellStyle name="RepHead" xfId="192" xr:uid="{00000000-0005-0000-0000-000006010000}"/>
    <cellStyle name="RepHead 2" xfId="193" xr:uid="{00000000-0005-0000-0000-000007010000}"/>
    <cellStyle name="RepHead 2 2" xfId="292" xr:uid="{00000000-0005-0000-0000-000008010000}"/>
    <cellStyle name="Report Headings" xfId="194" xr:uid="{00000000-0005-0000-0000-000009010000}"/>
    <cellStyle name="Report Name" xfId="195" xr:uid="{00000000-0005-0000-0000-00000A010000}"/>
    <cellStyle name="Report Title" xfId="196" xr:uid="{00000000-0005-0000-0000-00000B010000}"/>
    <cellStyle name="Report_Heading" xfId="197" xr:uid="{00000000-0005-0000-0000-00000C010000}"/>
    <cellStyle name="Report_NumbersTY" xfId="198" xr:uid="{00000000-0005-0000-0000-00000D010000}"/>
    <cellStyle name="Report_Text" xfId="199" xr:uid="{00000000-0005-0000-0000-00000E010000}"/>
    <cellStyle name="Report_Total" xfId="200" xr:uid="{00000000-0005-0000-0000-00000F010000}"/>
    <cellStyle name="Reprot Title" xfId="201" xr:uid="{00000000-0005-0000-0000-000010010000}"/>
    <cellStyle name="Section Heading" xfId="202" xr:uid="{00000000-0005-0000-0000-000011010000}"/>
    <cellStyle name="Section Heading Top" xfId="203" xr:uid="{00000000-0005-0000-0000-000012010000}"/>
    <cellStyle name="Section Total Col1" xfId="204" xr:uid="{00000000-0005-0000-0000-000013010000}"/>
    <cellStyle name="Section Total Col2" xfId="205" xr:uid="{00000000-0005-0000-0000-000014010000}"/>
    <cellStyle name="Section Total Text" xfId="206" xr:uid="{00000000-0005-0000-0000-000015010000}"/>
    <cellStyle name="Side Border" xfId="207" xr:uid="{00000000-0005-0000-0000-000016010000}"/>
    <cellStyle name="Signing Names" xfId="208" xr:uid="{00000000-0005-0000-0000-000017010000}"/>
    <cellStyle name="Signing Names 2" xfId="293" xr:uid="{00000000-0005-0000-0000-000018010000}"/>
    <cellStyle name="Single Line" xfId="209" xr:uid="{00000000-0005-0000-0000-000019010000}"/>
    <cellStyle name="Single Line 2" xfId="367" xr:uid="{BE2D3A00-2D9C-4CD1-9EE9-AE2D3E960BC7}"/>
    <cellStyle name="Single Line 3" xfId="371" xr:uid="{AFEDFE80-21CB-4058-BF3B-142E5B6CFBC2}"/>
    <cellStyle name="Single Line 4" xfId="359" xr:uid="{487DC2F6-F187-4690-9C1C-F7F9D30FFDDD}"/>
    <cellStyle name="Single Line 5" xfId="370" xr:uid="{F9434011-1116-4030-BB0C-4DD9F8978208}"/>
    <cellStyle name="Style 1" xfId="210" xr:uid="{00000000-0005-0000-0000-00001A010000}"/>
    <cellStyle name="Style 1 2" xfId="211" xr:uid="{00000000-0005-0000-0000-00001B010000}"/>
    <cellStyle name="Style 1 2 2" xfId="294" xr:uid="{00000000-0005-0000-0000-00001C010000}"/>
    <cellStyle name="Style 1 2 2 2" xfId="372" xr:uid="{EEB5610F-AF42-41FA-B37D-DA07F4A72A0C}"/>
    <cellStyle name="Style 1 2 3" xfId="366" xr:uid="{24F15F57-DF82-498D-93DB-2439DCD2E394}"/>
    <cellStyle name="Style 1 3" xfId="365" xr:uid="{605974B2-4C72-49A1-A4DF-512247A8FAA2}"/>
    <cellStyle name="Sub Heading" xfId="212" xr:uid="{00000000-0005-0000-0000-00001D010000}"/>
    <cellStyle name="Sub Heading 13P_Plus" xfId="213" xr:uid="{00000000-0005-0000-0000-00001E010000}"/>
    <cellStyle name="Sub Heading Cent" xfId="214" xr:uid="{00000000-0005-0000-0000-00001F010000}"/>
    <cellStyle name="Sub Heading Col1" xfId="215" xr:uid="{00000000-0005-0000-0000-000020010000}"/>
    <cellStyle name="Sub Heading Col2" xfId="216" xr:uid="{00000000-0005-0000-0000-000021010000}"/>
    <cellStyle name="Sub Heading_Book5" xfId="217" xr:uid="{00000000-0005-0000-0000-000022010000}"/>
    <cellStyle name="Sub Heading8" xfId="218" xr:uid="{00000000-0005-0000-0000-000023010000}"/>
    <cellStyle name="Sub Total 13P Budget" xfId="219" xr:uid="{00000000-0005-0000-0000-000024010000}"/>
    <cellStyle name="Sub Total 13P Col1" xfId="220" xr:uid="{00000000-0005-0000-0000-000025010000}"/>
    <cellStyle name="Sub Total 13P Col2" xfId="221" xr:uid="{00000000-0005-0000-0000-000026010000}"/>
    <cellStyle name="Sub Total Col1" xfId="222" xr:uid="{00000000-0005-0000-0000-000027010000}"/>
    <cellStyle name="Sub Total Col1 2" xfId="295" xr:uid="{00000000-0005-0000-0000-000028010000}"/>
    <cellStyle name="Sub Total Col2" xfId="223" xr:uid="{00000000-0005-0000-0000-000029010000}"/>
    <cellStyle name="Sub Total Col2 2" xfId="296" xr:uid="{00000000-0005-0000-0000-00002A010000}"/>
    <cellStyle name="Sub Total Text" xfId="224" xr:uid="{00000000-0005-0000-0000-00002B010000}"/>
    <cellStyle name="Sub Total Text 13P_Plus" xfId="225" xr:uid="{00000000-0005-0000-0000-00002C010000}"/>
    <cellStyle name="Text" xfId="226" xr:uid="{00000000-0005-0000-0000-00002D010000}"/>
    <cellStyle name="Text Bold" xfId="227" xr:uid="{00000000-0005-0000-0000-00002E010000}"/>
    <cellStyle name="Text Bold8" xfId="228" xr:uid="{00000000-0005-0000-0000-00002F010000}"/>
    <cellStyle name="Text Box 1" xfId="229" xr:uid="{00000000-0005-0000-0000-000030010000}"/>
    <cellStyle name="Text Box 1 2" xfId="297" xr:uid="{00000000-0005-0000-0000-000031010000}"/>
    <cellStyle name="Text_Book5" xfId="230" xr:uid="{00000000-0005-0000-0000-000032010000}"/>
    <cellStyle name="text8" xfId="231" xr:uid="{00000000-0005-0000-0000-000033010000}"/>
    <cellStyle name="Textbox" xfId="232" xr:uid="{00000000-0005-0000-0000-000034010000}"/>
    <cellStyle name="TextNoLine" xfId="233" xr:uid="{00000000-0005-0000-0000-000035010000}"/>
    <cellStyle name="TextNoLineBold" xfId="234" xr:uid="{00000000-0005-0000-0000-000036010000}"/>
    <cellStyle name="Title" xfId="235" builtinId="15" customBuiltin="1"/>
    <cellStyle name="Total" xfId="236" builtinId="25" customBuiltin="1"/>
    <cellStyle name="Total Col1" xfId="237" xr:uid="{00000000-0005-0000-0000-000039010000}"/>
    <cellStyle name="Total Col1 2" xfId="298" xr:uid="{00000000-0005-0000-0000-00003A010000}"/>
    <cellStyle name="Total Col2" xfId="238" xr:uid="{00000000-0005-0000-0000-00003B010000}"/>
    <cellStyle name="Total Col2 2" xfId="299" xr:uid="{00000000-0005-0000-0000-00003C010000}"/>
    <cellStyle name="Total Text" xfId="239" xr:uid="{00000000-0005-0000-0000-00003D010000}"/>
    <cellStyle name="Warning Text" xfId="240" builtinId="11" customBuiltin="1"/>
    <cellStyle name="Warnings" xfId="241" xr:uid="{00000000-0005-0000-0000-00003F010000}"/>
    <cellStyle name="Warnings Columns" xfId="242" xr:uid="{00000000-0005-0000-0000-000040010000}"/>
    <cellStyle name="WP Instruct" xfId="243" xr:uid="{00000000-0005-0000-0000-000041010000}"/>
    <cellStyle name="WP Ref" xfId="244" xr:uid="{00000000-0005-0000-0000-000042010000}"/>
    <cellStyle name="WP Ref Date" xfId="245" xr:uid="{00000000-0005-0000-0000-000043010000}"/>
    <cellStyle name="WP Ref Head" xfId="246" xr:uid="{00000000-0005-0000-0000-000044010000}"/>
    <cellStyle name="WP Ref Head 2" xfId="247" xr:uid="{00000000-0005-0000-0000-000045010000}"/>
  </cellStyles>
  <dxfs count="110">
    <dxf>
      <font>
        <condense val="0"/>
        <extend val="0"/>
        <color indexed="9"/>
      </font>
    </dxf>
    <dxf>
      <font>
        <color rgb="FF9C0006"/>
      </font>
      <fill>
        <patternFill>
          <bgColor rgb="FFFFC7CE"/>
        </patternFill>
      </fill>
    </dxf>
    <dxf>
      <font>
        <color rgb="FF006100"/>
      </font>
      <fill>
        <patternFill>
          <bgColor rgb="FFC6EFCE"/>
        </patternFill>
      </fill>
    </dxf>
    <dxf>
      <font>
        <condense val="0"/>
        <extend val="0"/>
        <color indexed="9"/>
      </font>
    </dxf>
    <dxf>
      <font>
        <b/>
        <i val="0"/>
        <condense val="0"/>
        <extend val="0"/>
        <color indexed="10"/>
      </font>
    </dxf>
    <dxf>
      <fill>
        <patternFill>
          <bgColor rgb="FF92D050"/>
        </patternFill>
      </fill>
    </dxf>
    <dxf>
      <font>
        <condense val="0"/>
        <extend val="0"/>
        <color indexed="9"/>
      </font>
    </dxf>
    <dxf>
      <font>
        <condense val="0"/>
        <extend val="0"/>
        <color indexed="9"/>
      </font>
    </dxf>
    <dxf>
      <font>
        <condense val="0"/>
        <extend val="0"/>
        <color indexed="9"/>
      </font>
    </dxf>
    <dxf>
      <font>
        <condense val="0"/>
        <extend val="0"/>
        <color indexed="9"/>
      </font>
    </dxf>
    <dxf>
      <font>
        <b/>
        <i val="0"/>
      </font>
      <fill>
        <patternFill>
          <bgColor theme="6" tint="0.59996337778862885"/>
        </patternFill>
      </fill>
    </dxf>
    <dxf>
      <font>
        <b/>
        <i val="0"/>
      </font>
      <fill>
        <patternFill>
          <bgColor rgb="FF00FF0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patternType="none">
          <bgColor indexed="65"/>
        </patternFill>
      </fill>
      <border>
        <left/>
        <right/>
        <top/>
        <bottom/>
      </border>
    </dxf>
    <dxf>
      <font>
        <color theme="0"/>
      </font>
      <border>
        <top/>
        <bottom/>
      </border>
    </dxf>
    <dxf>
      <fill>
        <patternFill>
          <bgColor indexed="13"/>
        </patternFill>
      </fill>
      <border>
        <left style="dashDot">
          <color indexed="10"/>
        </left>
        <right style="dashDot">
          <color indexed="10"/>
        </right>
        <top style="dashDot">
          <color indexed="10"/>
        </top>
        <bottom style="dashDot">
          <color indexed="10"/>
        </bottom>
      </border>
    </dxf>
    <dxf>
      <fill>
        <patternFill patternType="solid"/>
      </fill>
    </dxf>
    <dxf>
      <font>
        <condense val="0"/>
        <extend val="0"/>
        <color indexed="22"/>
      </font>
    </dxf>
    <dxf>
      <fill>
        <patternFill>
          <bgColor indexed="10"/>
        </patternFill>
      </fill>
    </dxf>
    <dxf>
      <font>
        <condense val="0"/>
        <extend val="0"/>
        <color indexed="9"/>
      </font>
    </dxf>
    <dxf>
      <font>
        <condense val="0"/>
        <extend val="0"/>
        <color indexed="9"/>
      </font>
    </dxf>
    <dxf>
      <font>
        <condense val="0"/>
        <extend val="0"/>
        <color indexed="9"/>
      </font>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5D5D"/>
        </patternFill>
      </fill>
    </dxf>
    <dxf>
      <font>
        <condense val="0"/>
        <extend val="0"/>
        <color indexed="9"/>
      </font>
    </dxf>
    <dxf>
      <font>
        <color theme="0"/>
      </font>
    </dxf>
    <dxf>
      <font>
        <color theme="0"/>
      </font>
    </dxf>
    <dxf>
      <font>
        <color theme="0"/>
      </font>
    </dxf>
    <dxf>
      <font>
        <color theme="0"/>
      </font>
    </dxf>
    <dxf>
      <font>
        <strike val="0"/>
        <color theme="0"/>
      </font>
    </dxf>
    <dxf>
      <font>
        <color theme="0"/>
      </font>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ndense val="0"/>
        <extend val="0"/>
        <color indexed="9"/>
      </font>
      <fill>
        <patternFill>
          <bgColor indexed="9"/>
        </patternFill>
      </fill>
      <border>
        <left/>
        <right/>
        <top/>
        <bottom/>
      </border>
    </dxf>
    <dxf>
      <font>
        <b/>
        <i val="0"/>
        <condense val="0"/>
        <extend val="0"/>
        <color indexed="9"/>
      </font>
    </dxf>
    <dxf>
      <font>
        <condense val="0"/>
        <extend val="0"/>
        <color indexed="9"/>
      </font>
      <fill>
        <patternFill>
          <bgColor indexed="46"/>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ont>
        <color rgb="FF006100"/>
      </font>
      <fill>
        <patternFill>
          <bgColor rgb="FFC6EFCE"/>
        </patternFill>
      </fill>
    </dxf>
    <dxf>
      <font>
        <color rgb="FF9C5700"/>
      </font>
      <fill>
        <patternFill>
          <bgColor rgb="FFFFEB9C"/>
        </patternFill>
      </fill>
    </dxf>
    <dxf>
      <font>
        <condense val="0"/>
        <extend val="0"/>
        <color indexed="9"/>
      </font>
    </dxf>
    <dxf>
      <font>
        <color rgb="FFFF0000"/>
      </font>
    </dxf>
    <dxf>
      <font>
        <color rgb="FFFF0000"/>
      </font>
    </dxf>
    <dxf>
      <font>
        <color rgb="FFFF0000"/>
      </font>
    </dxf>
    <dxf>
      <font>
        <strike val="0"/>
        <color rgb="FFFF0000"/>
      </font>
    </dxf>
    <dxf>
      <font>
        <strike val="0"/>
        <color rgb="FFFF0000"/>
      </font>
    </dxf>
    <dxf>
      <font>
        <color rgb="FFFF0000"/>
      </font>
    </dxf>
    <dxf>
      <font>
        <strike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F7BBF"/>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0F7BB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871FB"/>
      <color rgb="FF99CCFF"/>
      <color rgb="FFCCFFCC"/>
      <color rgb="FFBAC3C7"/>
      <color rgb="FFFF5D5D"/>
      <color rgb="FFDA0000"/>
      <color rgb="FFA3A3A3"/>
      <color rgb="FFE0E0E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theme" Target="theme/theme1.xml"/><Relationship Id="rId87" Type="http://schemas.openxmlformats.org/officeDocument/2006/relationships/customXml" Target="../customXml/item4.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17/10/relationships/person" Target="persons/person.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85"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1.xml"/><Relationship Id="rId81" Type="http://schemas.openxmlformats.org/officeDocument/2006/relationships/sharedStrings" Target="sharedStrings.xml"/><Relationship Id="rId86"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79176FB0-B7F2-11CE-97EF-00AA006D2776}" ax:persistence="persistStreamInit" r:id="rId1"/>
</file>

<file path=xl/activeX/activeX11.xml><?xml version="1.0" encoding="utf-8"?>
<ax:ocx xmlns:ax="http://schemas.microsoft.com/office/2006/activeX" xmlns:r="http://schemas.openxmlformats.org/officeDocument/2006/relationships" ax:classid="{79176FB0-B7F2-11CE-97EF-00AA006D2776}" ax:persistence="persistStreamInit" r:id="rId1"/>
</file>

<file path=xl/activeX/activeX12.xml><?xml version="1.0" encoding="utf-8"?>
<ax:ocx xmlns:ax="http://schemas.microsoft.com/office/2006/activeX" xmlns:r="http://schemas.openxmlformats.org/officeDocument/2006/relationships" ax:classid="{79176FB0-B7F2-11CE-97EF-00AA006D2776}"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79176FB0-B7F2-11CE-97EF-00AA006D2776}" ax:persistence="persistStreamInit" r:id="rId1"/>
</file>

<file path=xl/activeX/activeX19.xml><?xml version="1.0" encoding="utf-8"?>
<ax:ocx xmlns:ax="http://schemas.microsoft.com/office/2006/activeX" xmlns:r="http://schemas.openxmlformats.org/officeDocument/2006/relationships" ax:classid="{79176FB0-B7F2-11CE-97EF-00AA006D2776}" ax:persistence="persistStreamInit" r:id="rId1"/>
</file>

<file path=xl/activeX/activeX20.xml><?xml version="1.0" encoding="utf-8"?>
<ax:ocx xmlns:ax="http://schemas.microsoft.com/office/2006/activeX" xmlns:r="http://schemas.openxmlformats.org/officeDocument/2006/relationships" ax:classid="{79176FB0-B7F2-11CE-97EF-00AA006D2776}" ax:persistence="persistStreamInit" r:id="rId1"/>
</file>

<file path=xl/activeX/activeX21.xml><?xml version="1.0" encoding="utf-8"?>
<ax:ocx xmlns:ax="http://schemas.microsoft.com/office/2006/activeX" xmlns:r="http://schemas.openxmlformats.org/officeDocument/2006/relationships" ax:classid="{79176FB0-B7F2-11CE-97EF-00AA006D2776}"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79176FB0-B7F2-11CE-97EF-00AA006D2776}" ax:persistence="persistStreamInit" r:id="rId1"/>
</file>

<file path=xl/activeX/activeX27.xml><?xml version="1.0" encoding="utf-8"?>
<ax:ocx xmlns:ax="http://schemas.microsoft.com/office/2006/activeX" xmlns:r="http://schemas.openxmlformats.org/officeDocument/2006/relationships" ax:classid="{79176FB0-B7F2-11CE-97EF-00AA006D2776}" ax:persistence="persistStreamInit" r:id="rId1"/>
</file>

<file path=xl/activeX/activeX28.xml><?xml version="1.0" encoding="utf-8"?>
<ax:ocx xmlns:ax="http://schemas.microsoft.com/office/2006/activeX" xmlns:r="http://schemas.openxmlformats.org/officeDocument/2006/relationships" ax:classid="{79176FB0-B7F2-11CE-97EF-00AA006D2776}" ax:persistence="persistStreamInit" r:id="rId1"/>
</file>

<file path=xl/activeX/activeX29.xml><?xml version="1.0" encoding="utf-8"?>
<ax:ocx xmlns:ax="http://schemas.microsoft.com/office/2006/activeX" xmlns:r="http://schemas.openxmlformats.org/officeDocument/2006/relationships" ax:classid="{79176FB0-B7F2-11CE-97EF-00AA006D2776}"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79176FB0-B7F2-11CE-97EF-00AA006D2776}" ax:persistence="persistStreamInit" r:id="rId1"/>
</file>

<file path=xl/activeX/activeX35.xml><?xml version="1.0" encoding="utf-8"?>
<ax:ocx xmlns:ax="http://schemas.microsoft.com/office/2006/activeX" xmlns:r="http://schemas.openxmlformats.org/officeDocument/2006/relationships" ax:classid="{79176FB0-B7F2-11CE-97EF-00AA006D2776}"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8BD21D60-EC42-11CE-9E0D-00AA006002F3}" ax:persistence="persistStreamInit" r:id="rId1"/>
</file>

<file path=xl/activeX/activeX39.xml><?xml version="1.0" encoding="utf-8"?>
<ax:ocx xmlns:ax="http://schemas.microsoft.com/office/2006/activeX" xmlns:r="http://schemas.openxmlformats.org/officeDocument/2006/relationships" ax:classid="{8BD21D60-EC42-11CE-9E0D-00AA006002F3}"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t>Stage 3 Tax Cuts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Tax Payable</c:v>
          </c:tx>
          <c:spPr>
            <a:solidFill>
              <a:schemeClr val="accent1"/>
            </a:solidFill>
            <a:ln>
              <a:noFill/>
            </a:ln>
            <a:effectLst/>
            <a:scene3d>
              <a:camera prst="orthographicFront"/>
              <a:lightRig rig="threePt" dir="t"/>
            </a:scene3d>
            <a:sp3d>
              <a:bevelT/>
            </a:sp3d>
          </c:spPr>
          <c:invertIfNegative val="0"/>
          <c:dPt>
            <c:idx val="2"/>
            <c:invertIfNegative val="0"/>
            <c:bubble3D val="0"/>
            <c:spPr>
              <a:solidFill>
                <a:schemeClr val="accent1"/>
              </a:solidFill>
              <a:ln>
                <a:noFill/>
              </a:ln>
              <a:effectLst>
                <a:outerShdw blurRad="50800" dist="38100" dir="2700000" algn="tl" rotWithShape="0">
                  <a:prstClr val="black">
                    <a:alpha val="40000"/>
                  </a:prstClr>
                </a:outerShdw>
              </a:effectLst>
              <a:scene3d>
                <a:camera prst="orthographicFront"/>
                <a:lightRig rig="threePt" dir="t"/>
              </a:scene3d>
              <a:sp3d>
                <a:bevelT/>
              </a:sp3d>
            </c:spPr>
            <c:extLst>
              <c:ext xmlns:c16="http://schemas.microsoft.com/office/drawing/2014/chart" uri="{C3380CC4-5D6E-409C-BE32-E72D297353CC}">
                <c16:uniqueId val="{00000001-D87E-4D6D-B2D3-B7159A6CBD27}"/>
              </c:ext>
            </c:extLst>
          </c:dPt>
          <c:cat>
            <c:strRef>
              <c:f>'Stage 3 Tax Cuts'!$A$13:$A$15</c:f>
              <c:strCache>
                <c:ptCount val="3"/>
                <c:pt idx="0">
                  <c:v>2024 Tax Rates</c:v>
                </c:pt>
                <c:pt idx="1">
                  <c:v>Stage 3 Tax Cuts </c:v>
                </c:pt>
                <c:pt idx="2">
                  <c:v>Stage 3 Tax Cuts (Original Plan)</c:v>
                </c:pt>
              </c:strCache>
            </c:strRef>
          </c:cat>
          <c:val>
            <c:numRef>
              <c:f>'Stage 3 Tax Cuts'!$B$13:$B$15</c:f>
              <c:numCache>
                <c:formatCode>_-* #,##0_-;\(#,##0\);_-* "-"??_-;_-@_-</c:formatCode>
                <c:ptCount val="3"/>
                <c:pt idx="0">
                  <c:v>0</c:v>
                </c:pt>
                <c:pt idx="1">
                  <c:v>0</c:v>
                </c:pt>
                <c:pt idx="2">
                  <c:v>0</c:v>
                </c:pt>
              </c:numCache>
            </c:numRef>
          </c:val>
          <c:extLst>
            <c:ext xmlns:c16="http://schemas.microsoft.com/office/drawing/2014/chart" uri="{C3380CC4-5D6E-409C-BE32-E72D297353CC}">
              <c16:uniqueId val="{00000002-D87E-4D6D-B2D3-B7159A6CBD27}"/>
            </c:ext>
          </c:extLst>
        </c:ser>
        <c:dLbls>
          <c:showLegendKey val="0"/>
          <c:showVal val="0"/>
          <c:showCatName val="0"/>
          <c:showSerName val="0"/>
          <c:showPercent val="0"/>
          <c:showBubbleSize val="0"/>
        </c:dLbls>
        <c:gapWidth val="219"/>
        <c:overlap val="-27"/>
        <c:axId val="1074305176"/>
        <c:axId val="1074309856"/>
      </c:barChart>
      <c:catAx>
        <c:axId val="1074305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309856"/>
        <c:crosses val="autoZero"/>
        <c:auto val="1"/>
        <c:lblAlgn val="ctr"/>
        <c:lblOffset val="100"/>
        <c:noMultiLvlLbl val="0"/>
      </c:catAx>
      <c:valAx>
        <c:axId val="1074309856"/>
        <c:scaling>
          <c:orientation val="minMax"/>
        </c:scaling>
        <c:delete val="0"/>
        <c:axPos val="l"/>
        <c:majorGridlines>
          <c:spPr>
            <a:ln w="9525" cap="flat" cmpd="sng" algn="ctr">
              <a:solidFill>
                <a:schemeClr val="tx1">
                  <a:lumMod val="15000"/>
                  <a:lumOff val="85000"/>
                </a:schemeClr>
              </a:solidFill>
              <a:round/>
            </a:ln>
            <a:effectLst/>
          </c:spPr>
        </c:majorGridlines>
        <c:numFmt formatCode="_-* #,##0_-;\(#,##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305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AU"/>
              <a:t>Expenses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1C7-41E5-87EF-4BE0010444C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1C7-41E5-87EF-4BE0010444C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1C7-41E5-87EF-4BE0010444C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1C7-41E5-87EF-4BE0010444C1}"/>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1C7-41E5-87EF-4BE0010444C1}"/>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1C7-41E5-87EF-4BE0010444C1}"/>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1C7-41E5-87EF-4BE0010444C1}"/>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1C7-41E5-87EF-4BE0010444C1}"/>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1C7-41E5-87EF-4BE0010444C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'Household Budget'!$A$158:$A$166</c:f>
              <c:strCache>
                <c:ptCount val="9"/>
                <c:pt idx="0">
                  <c:v>Household Expenses</c:v>
                </c:pt>
                <c:pt idx="1">
                  <c:v>Insurance</c:v>
                </c:pt>
                <c:pt idx="2">
                  <c:v>Financial</c:v>
                </c:pt>
                <c:pt idx="3">
                  <c:v>Savings and Investments</c:v>
                </c:pt>
                <c:pt idx="4">
                  <c:v>Personal Expenses</c:v>
                </c:pt>
                <c:pt idx="5">
                  <c:v>Health</c:v>
                </c:pt>
                <c:pt idx="6">
                  <c:v>Entertainment</c:v>
                </c:pt>
                <c:pt idx="7">
                  <c:v>Transport</c:v>
                </c:pt>
                <c:pt idx="8">
                  <c:v>Children</c:v>
                </c:pt>
              </c:strCache>
            </c:strRef>
          </c:cat>
          <c:val>
            <c:numRef>
              <c:f>'Household Budget'!$C$158:$C$166</c:f>
              <c:numCache>
                <c:formatCode>_-* #,##0_-;\-* #,##0_-;_-*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8-ADFC-4963-83C3-B430DF8707B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16" fmlaLink="$P$18" fmlaRange="$L$5:$L$6" sel="2" val="0"/>
</file>

<file path=xl/ctrlProps/ctrlProp2.xml><?xml version="1.0" encoding="utf-8"?>
<formControlPr xmlns="http://schemas.microsoft.com/office/spreadsheetml/2009/9/main" objectType="Drop" dropStyle="combo" dx="16" fmlaLink="$P$18" fmlaRange="$L$5:$L$6" sel="2" val="0"/>
</file>

<file path=xl/ctrlProps/ctrlProp3.xml><?xml version="1.0" encoding="utf-8"?>
<formControlPr xmlns="http://schemas.microsoft.com/office/spreadsheetml/2009/9/main" objectType="Drop" dropLines="3" dropStyle="combo" dx="16" fmlaLink="$O$3" fmlaRange="$O$4:$O$6" sel="3" val="0"/>
</file>

<file path=xl/ctrlProps/ctrlProp4.xml><?xml version="1.0" encoding="utf-8"?>
<formControlPr xmlns="http://schemas.microsoft.com/office/spreadsheetml/2009/9/main" objectType="Drop" dropLines="5" dropStyle="combo" dx="16" fmlaLink="$P$13" fmlaRange="$K$5:$K$9" sel="2" val="0"/>
</file>

<file path=xl/ctrlProps/ctrlProp5.xml><?xml version="1.0" encoding="utf-8"?>
<formControlPr xmlns="http://schemas.microsoft.com/office/spreadsheetml/2009/9/main" objectType="Drop" dropStyle="combo" dx="16" fmlaLink="$P$14" fmlaRange="$I$5:$I$12" sel="7" val="0"/>
</file>

<file path=xl/ctrlProps/ctrlProp6.xml><?xml version="1.0" encoding="utf-8"?>
<formControlPr xmlns="http://schemas.microsoft.com/office/spreadsheetml/2009/9/main" objectType="Drop" dropLines="2" dropStyle="combo" dx="16" fmlaLink="$P$15" fmlaRange="$L$5:$L$6" sel="2" val="0"/>
</file>

<file path=xl/ctrlProps/ctrlProp7.xml><?xml version="1.0" encoding="utf-8"?>
<formControlPr xmlns="http://schemas.microsoft.com/office/spreadsheetml/2009/9/main" objectType="Drop" dropLines="2" dropStyle="combo" dx="16" fmlaLink="$P$16" fmlaRange="$L$5:$L$6" sel="1" val="0"/>
</file>

<file path=xl/ctrlProps/ctrlProp8.xml><?xml version="1.0" encoding="utf-8"?>
<formControlPr xmlns="http://schemas.microsoft.com/office/spreadsheetml/2009/9/main" objectType="Drop" dropLines="2" dropStyle="combo" dx="16" fmlaLink="$P$17" fmlaRange="$L$5:$L$6" sel="1" val="0"/>
</file>

<file path=xl/ctrlProps/ctrlProp9.xml><?xml version="1.0" encoding="utf-8"?>
<formControlPr xmlns="http://schemas.microsoft.com/office/spreadsheetml/2009/9/main" objectType="Drop" dropLines="2" dropStyle="combo" dx="16" fmlaLink="$P$18" fmlaRange="$L$5:$L$6" sel="2" val="0"/>
</file>

<file path=xl/ctrlProps/ctrlProp10.xml><?xml version="1.0" encoding="utf-8"?>
<formControlPr xmlns="http://schemas.microsoft.com/office/spreadsheetml/2009/9/main" objectType="Drop" dropLines="2" dropStyle="combo" dx="16" fmlaLink="$P$19" fmlaRange="$L$5:$L$6" sel="2"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11" dropStyle="combo" dx="16" fmlaLink="$AL$12" fmlaRange="$AL$1:$AL$11" noThreeD="1" sel="11" val="0"/>
</file>

<file path=xl/ctrlProps/ctrlProp14.xml><?xml version="1.0" encoding="utf-8"?>
<formControlPr xmlns="http://schemas.microsoft.com/office/spreadsheetml/2009/9/main" objectType="CheckBox" checked="Checked" fmlaLink="$AM$1" lockText="1"/>
</file>

<file path=xl/ctrlProps/ctrlProp15.xml><?xml version="1.0" encoding="utf-8"?>
<formControlPr xmlns="http://schemas.microsoft.com/office/spreadsheetml/2009/9/main" objectType="CheckBox" checked="Checked" fmlaLink="$AM$2"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Lines="5" dropStyle="combo" dx="16" fmlaLink="$B$88" fmlaRange="'Wages Reconciliation'!$O$2:$O$7" noThreeD="1" sel="3"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Drop" dropLines="2" dropStyle="combo" dx="16" fmlaLink="$P$8" fmlaRange="$P$10:$P$11" sel="1" val="0"/>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2" dropStyle="combo" dx="16" fmlaLink="$P$9" fmlaRange="$P$12:$P$13" sel="1" val="0"/>
</file>

<file path=xl/ctrlProps/ctrlProp32.xml><?xml version="1.0" encoding="utf-8"?>
<formControlPr xmlns="http://schemas.microsoft.com/office/spreadsheetml/2009/9/main" objectType="Drop" dropLines="3" dropStyle="combo" dx="16" fmlaLink="$L$16" fmlaRange="$L$2:$L$5" noThreeD="1" sel="3" val="0"/>
</file>

<file path=xl/ctrlProps/ctrlProp33.xml><?xml version="1.0" encoding="utf-8"?>
<formControlPr xmlns="http://schemas.microsoft.com/office/spreadsheetml/2009/9/main" objectType="Drop" dropLines="2" dropStyle="combo" dx="16" fmlaLink="$L$17" fmlaRange="$L$11:$L$12" noThreeD="1" sel="1" val="0"/>
</file>

<file path=xl/ctrlProps/ctrlProp34.xml><?xml version="1.0" encoding="utf-8"?>
<formControlPr xmlns="http://schemas.microsoft.com/office/spreadsheetml/2009/9/main" objectType="Drop" dropLines="2" dropStyle="combo" dx="16" fmlaLink="$L$18" fmlaRange="$N$11:$N$12" noThreeD="1" sel="1" val="0"/>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Lines="5" dropStyle="combo" dx="16" fmlaLink="$N$14" fmlaRange="$N$3:$N$7" noThreeD="1" sel="5"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3" dropStyle="combo" dx="16" fmlaLink="$N$7" fmlaRange="$N$2:$N$4" noThreeD="1" sel="1" val="0"/>
</file>

<file path=xl/ctrlProps/ctrlProp39.xml><?xml version="1.0" encoding="utf-8"?>
<formControlPr xmlns="http://schemas.microsoft.com/office/spreadsheetml/2009/9/main" objectType="CheckBox" fmlaLink="#REF!" lockText="1" noThreeD="1"/>
</file>

<file path=xl/ctrlProps/ctrlProp40.xml><?xml version="1.0" encoding="utf-8"?>
<formControlPr xmlns="http://schemas.microsoft.com/office/spreadsheetml/2009/9/main" objectType="CheckBox" fmlaLink="#REF!" lockText="1" noThreeD="1"/>
</file>

<file path=xl/ctrlProps/ctrlProp41.xml><?xml version="1.0" encoding="utf-8"?>
<formControlPr xmlns="http://schemas.microsoft.com/office/spreadsheetml/2009/9/main" objectType="Drop" dropLines="5" dropStyle="combo" dx="16" fmlaLink="$N$13" fmlaRange="$O$2:$O$7" noThreeD="1" sel="4" val="0"/>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5.xml.rels><?xml version="1.0" encoding="UTF-8" standalone="yes"?>
<Relationships xmlns="http://schemas.openxmlformats.org/package/2006/relationships"><Relationship Id="rId1" Type="http://schemas.openxmlformats.org/officeDocument/2006/relationships/image" Target="../media/image4.png"/></Relationships>
</file>

<file path=xl/drawings/_rels/drawing56.xml.rels><?xml version="1.0" encoding="UTF-8" standalone="yes"?>
<Relationships xmlns="http://schemas.openxmlformats.org/package/2006/relationships"><Relationship Id="rId1" Type="http://schemas.openxmlformats.org/officeDocument/2006/relationships/image" Target="../media/image4.png"/></Relationships>
</file>

<file path=xl/drawings/_rels/drawing57.xml.rels><?xml version="1.0" encoding="UTF-8" standalone="yes"?>
<Relationships xmlns="http://schemas.openxmlformats.org/package/2006/relationships"><Relationship Id="rId1" Type="http://schemas.openxmlformats.org/officeDocument/2006/relationships/image" Target="../media/image4.png"/></Relationships>
</file>

<file path=xl/drawings/_rels/drawing58.xml.rels><?xml version="1.0" encoding="UTF-8" standalone="yes"?>
<Relationships xmlns="http://schemas.openxmlformats.org/package/2006/relationships"><Relationship Id="rId1" Type="http://schemas.openxmlformats.org/officeDocument/2006/relationships/image" Target="../media/image4.png"/></Relationships>
</file>

<file path=xl/drawings/_rels/drawing59.xml.rels><?xml version="1.0" encoding="UTF-8" standalone="yes"?>
<Relationships xmlns="http://schemas.openxmlformats.org/package/2006/relationships"><Relationship Id="rId1" Type="http://schemas.openxmlformats.org/officeDocument/2006/relationships/image" Target="../media/image4.png"/></Relationships>
</file>

<file path=xl/drawings/_rels/drawing60.xml.rels><?xml version="1.0" encoding="UTF-8" standalone="yes"?>
<Relationships xmlns="http://schemas.openxmlformats.org/package/2006/relationships"><Relationship Id="rId1" Type="http://schemas.openxmlformats.org/officeDocument/2006/relationships/image" Target="../media/image1.png"/></Relationships>
</file>

<file path=xl/drawings/_rels/drawing61.xml.rels><?xml version="1.0" encoding="UTF-8" standalone="yes"?>
<Relationships xmlns="http://schemas.openxmlformats.org/package/2006/relationships"><Relationship Id="rId1" Type="http://schemas.openxmlformats.org/officeDocument/2006/relationships/image" Target="../media/image4.png"/></Relationships>
</file>

<file path=xl/drawings/_rels/drawing62.xml.rels><?xml version="1.0" encoding="UTF-8" standalone="yes"?>
<Relationships xmlns="http://schemas.openxmlformats.org/package/2006/relationships"><Relationship Id="rId1" Type="http://schemas.openxmlformats.org/officeDocument/2006/relationships/image" Target="../media/image4.png"/></Relationships>
</file>

<file path=xl/drawings/_rels/drawing63.xml.rels><?xml version="1.0" encoding="UTF-8" standalone="yes"?>
<Relationships xmlns="http://schemas.openxmlformats.org/package/2006/relationships"><Relationship Id="rId1" Type="http://schemas.openxmlformats.org/officeDocument/2006/relationships/image" Target="../media/image4.png"/></Relationships>
</file>

<file path=xl/drawings/_rels/drawing6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6.xml.rels><?xml version="1.0" encoding="UTF-8" standalone="yes"?>
<Relationships xmlns="http://schemas.openxmlformats.org/package/2006/relationships"><Relationship Id="rId1" Type="http://schemas.openxmlformats.org/officeDocument/2006/relationships/image" Target="../media/image4.png"/></Relationships>
</file>

<file path=xl/drawings/_rels/drawing67.xml.rels><?xml version="1.0" encoding="UTF-8" standalone="yes"?>
<Relationships xmlns="http://schemas.openxmlformats.org/package/2006/relationships"><Relationship Id="rId1" Type="http://schemas.openxmlformats.org/officeDocument/2006/relationships/image" Target="../media/image4.png"/></Relationships>
</file>

<file path=xl/drawings/_rels/drawing68.xml.rels><?xml version="1.0" encoding="UTF-8" standalone="yes"?>
<Relationships xmlns="http://schemas.openxmlformats.org/package/2006/relationships"><Relationship Id="rId1" Type="http://schemas.openxmlformats.org/officeDocument/2006/relationships/image" Target="../media/image4.png"/></Relationships>
</file>

<file path=xl/drawings/_rels/drawing69.xml.rels><?xml version="1.0" encoding="UTF-8" standalone="yes"?>
<Relationships xmlns="http://schemas.openxmlformats.org/package/2006/relationships"><Relationship Id="rId1" Type="http://schemas.openxmlformats.org/officeDocument/2006/relationships/image" Target="../media/image4.png"/></Relationships>
</file>

<file path=xl/drawings/_rels/drawing70.xml.rels><?xml version="1.0" encoding="UTF-8" standalone="yes"?>
<Relationships xmlns="http://schemas.openxmlformats.org/package/2006/relationships"><Relationship Id="rId1" Type="http://schemas.openxmlformats.org/officeDocument/2006/relationships/image" Target="../media/image4.png"/></Relationships>
</file>

<file path=xl/drawings/_rels/drawing7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4.png"/></Relationships>
</file>

<file path=xl/drawings/_rels/drawing72.xml.rels><?xml version="1.0" encoding="UTF-8" standalone="yes"?>
<Relationships xmlns="http://schemas.openxmlformats.org/package/2006/relationships"><Relationship Id="rId1" Type="http://schemas.openxmlformats.org/officeDocument/2006/relationships/image" Target="../media/image4.png"/></Relationships>
</file>

<file path=xl/drawings/_rels/drawing73.xml.rels><?xml version="1.0" encoding="UTF-8" standalone="yes"?>
<Relationships xmlns="http://schemas.openxmlformats.org/package/2006/relationships"><Relationship Id="rId1" Type="http://schemas.openxmlformats.org/officeDocument/2006/relationships/image" Target="../media/image4.png"/></Relationships>
</file>

<file path=xl/drawings/_rels/drawing7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 Id="rId5" Type="http://schemas.openxmlformats.org/officeDocument/2006/relationships/image" Target="../media/image22.emf"/><Relationship Id="rId4" Type="http://schemas.openxmlformats.org/officeDocument/2006/relationships/image" Target="../media/image2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18.emf"/><Relationship Id="rId6" Type="http://schemas.openxmlformats.org/officeDocument/2006/relationships/image" Target="../media/image27.emf"/><Relationship Id="rId5" Type="http://schemas.openxmlformats.org/officeDocument/2006/relationships/image" Target="../media/image26.emf"/><Relationship Id="rId4" Type="http://schemas.openxmlformats.org/officeDocument/2006/relationships/image" Target="../media/image25.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30.emf"/><Relationship Id="rId1" Type="http://schemas.openxmlformats.org/officeDocument/2006/relationships/image" Target="../media/image2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editAs="oneCell">
    <xdr:from>
      <xdr:col>87</xdr:col>
      <xdr:colOff>214839</xdr:colOff>
      <xdr:row>0</xdr:row>
      <xdr:rowOff>0</xdr:rowOff>
    </xdr:from>
    <xdr:to>
      <xdr:col>91</xdr:col>
      <xdr:colOff>186264</xdr:colOff>
      <xdr:row>2</xdr:row>
      <xdr:rowOff>10583</xdr:rowOff>
    </xdr:to>
    <xdr:pic>
      <xdr:nvPicPr>
        <xdr:cNvPr id="113008" name="CroweHorwathLogo">
          <a:extLst>
            <a:ext uri="{FF2B5EF4-FFF2-40B4-BE49-F238E27FC236}">
              <a16:creationId xmlns:a16="http://schemas.microsoft.com/office/drawing/2014/main" id="{00000000-0008-0000-0000-000070B901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754739" y="0"/>
          <a:ext cx="2596092" cy="3788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866775</xdr:colOff>
          <xdr:row>15</xdr:row>
          <xdr:rowOff>0</xdr:rowOff>
        </xdr:from>
        <xdr:to>
          <xdr:col>3</xdr:col>
          <xdr:colOff>1123950</xdr:colOff>
          <xdr:row>16</xdr:row>
          <xdr:rowOff>0</xdr:rowOff>
        </xdr:to>
        <xdr:sp macro="" textlink="">
          <xdr:nvSpPr>
            <xdr:cNvPr id="112648" name="Drop Down 8" hidden="1">
              <a:extLst>
                <a:ext uri="{63B3BB69-23CF-44E3-9099-C40C66FF867C}">
                  <a14:compatExt spid="_x0000_s112648"/>
                </a:ext>
                <a:ext uri="{FF2B5EF4-FFF2-40B4-BE49-F238E27FC236}">
                  <a16:creationId xmlns:a16="http://schemas.microsoft.com/office/drawing/2014/main" id="{00000000-0008-0000-0000-00000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16</xdr:row>
          <xdr:rowOff>0</xdr:rowOff>
        </xdr:from>
        <xdr:to>
          <xdr:col>3</xdr:col>
          <xdr:colOff>1123950</xdr:colOff>
          <xdr:row>17</xdr:row>
          <xdr:rowOff>0</xdr:rowOff>
        </xdr:to>
        <xdr:sp macro="" textlink="">
          <xdr:nvSpPr>
            <xdr:cNvPr id="112651" name="Drop Down 11" hidden="1">
              <a:extLst>
                <a:ext uri="{63B3BB69-23CF-44E3-9099-C40C66FF867C}">
                  <a14:compatExt spid="_x0000_s112651"/>
                </a:ext>
                <a:ext uri="{FF2B5EF4-FFF2-40B4-BE49-F238E27FC236}">
                  <a16:creationId xmlns:a16="http://schemas.microsoft.com/office/drawing/2014/main" id="{00000000-0008-0000-00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9</xdr:row>
          <xdr:rowOff>0</xdr:rowOff>
        </xdr:from>
        <xdr:to>
          <xdr:col>3</xdr:col>
          <xdr:colOff>1123950</xdr:colOff>
          <xdr:row>10</xdr:row>
          <xdr:rowOff>0</xdr:rowOff>
        </xdr:to>
        <xdr:sp macro="" textlink="">
          <xdr:nvSpPr>
            <xdr:cNvPr id="112656" name="Drop Down 16" hidden="1">
              <a:extLst>
                <a:ext uri="{63B3BB69-23CF-44E3-9099-C40C66FF867C}">
                  <a14:compatExt spid="_x0000_s112656"/>
                </a:ext>
                <a:ext uri="{FF2B5EF4-FFF2-40B4-BE49-F238E27FC236}">
                  <a16:creationId xmlns:a16="http://schemas.microsoft.com/office/drawing/2014/main" id="{00000000-0008-0000-0000-00001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10</xdr:row>
          <xdr:rowOff>0</xdr:rowOff>
        </xdr:from>
        <xdr:to>
          <xdr:col>3</xdr:col>
          <xdr:colOff>1123950</xdr:colOff>
          <xdr:row>11</xdr:row>
          <xdr:rowOff>0</xdr:rowOff>
        </xdr:to>
        <xdr:sp macro="" textlink="">
          <xdr:nvSpPr>
            <xdr:cNvPr id="112643" name="Drop Down 3" hidden="1">
              <a:extLst>
                <a:ext uri="{63B3BB69-23CF-44E3-9099-C40C66FF867C}">
                  <a14:compatExt spid="_x0000_s112643"/>
                </a:ext>
                <a:ext uri="{FF2B5EF4-FFF2-40B4-BE49-F238E27FC236}">
                  <a16:creationId xmlns:a16="http://schemas.microsoft.com/office/drawing/2014/main" id="{00000000-0008-0000-0000-00000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0</xdr:rowOff>
        </xdr:from>
        <xdr:to>
          <xdr:col>3</xdr:col>
          <xdr:colOff>1123950</xdr:colOff>
          <xdr:row>12</xdr:row>
          <xdr:rowOff>0</xdr:rowOff>
        </xdr:to>
        <xdr:sp macro="" textlink="">
          <xdr:nvSpPr>
            <xdr:cNvPr id="112644" name="Drop Down 4" hidden="1">
              <a:extLst>
                <a:ext uri="{63B3BB69-23CF-44E3-9099-C40C66FF867C}">
                  <a14:compatExt spid="_x0000_s112644"/>
                </a:ext>
                <a:ext uri="{FF2B5EF4-FFF2-40B4-BE49-F238E27FC236}">
                  <a16:creationId xmlns:a16="http://schemas.microsoft.com/office/drawing/2014/main" id="{00000000-0008-0000-0000-00000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190500</xdr:rowOff>
        </xdr:from>
        <xdr:to>
          <xdr:col>3</xdr:col>
          <xdr:colOff>1123950</xdr:colOff>
          <xdr:row>12</xdr:row>
          <xdr:rowOff>190500</xdr:rowOff>
        </xdr:to>
        <xdr:sp macro="" textlink="">
          <xdr:nvSpPr>
            <xdr:cNvPr id="112645" name="Drop Down 5" hidden="1">
              <a:extLst>
                <a:ext uri="{63B3BB69-23CF-44E3-9099-C40C66FF867C}">
                  <a14:compatExt spid="_x0000_s112645"/>
                </a:ext>
                <a:ext uri="{FF2B5EF4-FFF2-40B4-BE49-F238E27FC236}">
                  <a16:creationId xmlns:a16="http://schemas.microsoft.com/office/drawing/2014/main" id="{00000000-0008-0000-0000-00000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12</xdr:row>
          <xdr:rowOff>190500</xdr:rowOff>
        </xdr:from>
        <xdr:to>
          <xdr:col>3</xdr:col>
          <xdr:colOff>1123950</xdr:colOff>
          <xdr:row>13</xdr:row>
          <xdr:rowOff>190500</xdr:rowOff>
        </xdr:to>
        <xdr:sp macro="" textlink="">
          <xdr:nvSpPr>
            <xdr:cNvPr id="112646" name="Drop Down 6" hidden="1">
              <a:extLst>
                <a:ext uri="{63B3BB69-23CF-44E3-9099-C40C66FF867C}">
                  <a14:compatExt spid="_x0000_s112646"/>
                </a:ext>
                <a:ext uri="{FF2B5EF4-FFF2-40B4-BE49-F238E27FC236}">
                  <a16:creationId xmlns:a16="http://schemas.microsoft.com/office/drawing/2014/main" id="{00000000-0008-0000-0000-000006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13</xdr:row>
          <xdr:rowOff>190500</xdr:rowOff>
        </xdr:from>
        <xdr:to>
          <xdr:col>3</xdr:col>
          <xdr:colOff>1123950</xdr:colOff>
          <xdr:row>14</xdr:row>
          <xdr:rowOff>190500</xdr:rowOff>
        </xdr:to>
        <xdr:sp macro="" textlink="">
          <xdr:nvSpPr>
            <xdr:cNvPr id="112647" name="Drop Down 7" hidden="1">
              <a:extLst>
                <a:ext uri="{63B3BB69-23CF-44E3-9099-C40C66FF867C}">
                  <a14:compatExt spid="_x0000_s112647"/>
                </a:ext>
                <a:ext uri="{FF2B5EF4-FFF2-40B4-BE49-F238E27FC236}">
                  <a16:creationId xmlns:a16="http://schemas.microsoft.com/office/drawing/2014/main" id="{00000000-0008-0000-00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14</xdr:row>
          <xdr:rowOff>190500</xdr:rowOff>
        </xdr:from>
        <xdr:to>
          <xdr:col>3</xdr:col>
          <xdr:colOff>1123950</xdr:colOff>
          <xdr:row>15</xdr:row>
          <xdr:rowOff>190500</xdr:rowOff>
        </xdr:to>
        <xdr:sp macro="" textlink="">
          <xdr:nvSpPr>
            <xdr:cNvPr id="112650" name="Drop Down 10" hidden="1">
              <a:extLst>
                <a:ext uri="{63B3BB69-23CF-44E3-9099-C40C66FF867C}">
                  <a14:compatExt spid="_x0000_s112650"/>
                </a:ext>
                <a:ext uri="{FF2B5EF4-FFF2-40B4-BE49-F238E27FC236}">
                  <a16:creationId xmlns:a16="http://schemas.microsoft.com/office/drawing/2014/main" id="{00000000-0008-0000-00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15</xdr:row>
          <xdr:rowOff>190500</xdr:rowOff>
        </xdr:from>
        <xdr:to>
          <xdr:col>3</xdr:col>
          <xdr:colOff>1123950</xdr:colOff>
          <xdr:row>16</xdr:row>
          <xdr:rowOff>190500</xdr:rowOff>
        </xdr:to>
        <xdr:sp macro="" textlink="">
          <xdr:nvSpPr>
            <xdr:cNvPr id="112652" name="Drop Down 12" hidden="1">
              <a:extLst>
                <a:ext uri="{63B3BB69-23CF-44E3-9099-C40C66FF867C}">
                  <a14:compatExt spid="_x0000_s112652"/>
                </a:ext>
                <a:ext uri="{FF2B5EF4-FFF2-40B4-BE49-F238E27FC236}">
                  <a16:creationId xmlns:a16="http://schemas.microsoft.com/office/drawing/2014/main" id="{00000000-0008-0000-0000-00000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1256141</xdr:colOff>
      <xdr:row>4</xdr:row>
      <xdr:rowOff>374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1885950" cy="6283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447675</xdr:colOff>
          <xdr:row>2</xdr:row>
          <xdr:rowOff>133350</xdr:rowOff>
        </xdr:from>
        <xdr:to>
          <xdr:col>7</xdr:col>
          <xdr:colOff>333375</xdr:colOff>
          <xdr:row>5</xdr:row>
          <xdr:rowOff>57150</xdr:rowOff>
        </xdr:to>
        <xdr:sp macro="" textlink="">
          <xdr:nvSpPr>
            <xdr:cNvPr id="113666" name="HideAllIndex" hidden="1">
              <a:extLst>
                <a:ext uri="{63B3BB69-23CF-44E3-9099-C40C66FF867C}">
                  <a14:compatExt spid="_x0000_s113666"/>
                </a:ext>
                <a:ext uri="{FF2B5EF4-FFF2-40B4-BE49-F238E27FC236}">
                  <a16:creationId xmlns:a16="http://schemas.microsoft.com/office/drawing/2014/main" id="{00000000-0008-0000-01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5</xdr:row>
          <xdr:rowOff>104775</xdr:rowOff>
        </xdr:from>
        <xdr:to>
          <xdr:col>7</xdr:col>
          <xdr:colOff>333375</xdr:colOff>
          <xdr:row>7</xdr:row>
          <xdr:rowOff>123825</xdr:rowOff>
        </xdr:to>
        <xdr:sp macro="" textlink="">
          <xdr:nvSpPr>
            <xdr:cNvPr id="113668" name="ShowAllIndex" hidden="1">
              <a:extLst>
                <a:ext uri="{63B3BB69-23CF-44E3-9099-C40C66FF867C}">
                  <a14:compatExt spid="_x0000_s113668"/>
                </a:ext>
                <a:ext uri="{FF2B5EF4-FFF2-40B4-BE49-F238E27FC236}">
                  <a16:creationId xmlns:a16="http://schemas.microsoft.com/office/drawing/2014/main" id="{00000000-0008-0000-01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228600</xdr:colOff>
          <xdr:row>8</xdr:row>
          <xdr:rowOff>219075</xdr:rowOff>
        </xdr:to>
        <xdr:sp macro="" textlink="">
          <xdr:nvSpPr>
            <xdr:cNvPr id="19683" name="Button 227" hidden="1">
              <a:extLst>
                <a:ext uri="{63B3BB69-23CF-44E3-9099-C40C66FF867C}">
                  <a14:compatExt spid="_x0000_s19683"/>
                </a:ext>
                <a:ext uri="{FF2B5EF4-FFF2-40B4-BE49-F238E27FC236}">
                  <a16:creationId xmlns:a16="http://schemas.microsoft.com/office/drawing/2014/main" id="{00000000-0008-0000-0200-0000E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Hide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19050</xdr:colOff>
      <xdr:row>6</xdr:row>
      <xdr:rowOff>91440</xdr:rowOff>
    </xdr:from>
    <xdr:to>
      <xdr:col>4</xdr:col>
      <xdr:colOff>1657350</xdr:colOff>
      <xdr:row>13</xdr:row>
      <xdr:rowOff>118110</xdr:rowOff>
    </xdr:to>
    <xdr:cxnSp macro="">
      <xdr:nvCxnSpPr>
        <xdr:cNvPr id="3" name="Connector: Elbow 2">
          <a:extLst>
            <a:ext uri="{FF2B5EF4-FFF2-40B4-BE49-F238E27FC236}">
              <a16:creationId xmlns:a16="http://schemas.microsoft.com/office/drawing/2014/main" id="{00000000-0008-0000-0400-000003000000}"/>
            </a:ext>
          </a:extLst>
        </xdr:cNvPr>
        <xdr:cNvCxnSpPr/>
      </xdr:nvCxnSpPr>
      <xdr:spPr bwMode="auto">
        <a:xfrm rot="10800000" flipV="1">
          <a:off x="6915150" y="1280160"/>
          <a:ext cx="1638300" cy="1413510"/>
        </a:xfrm>
        <a:prstGeom prst="bentConnector3">
          <a:avLst/>
        </a:prstGeom>
        <a:solidFill>
          <a:srgbClr val="FFFFFF"/>
        </a:solidFill>
        <a:ln w="9525" cap="flat" cmpd="sng" algn="ctr">
          <a:solidFill>
            <a:srgbClr val="000000"/>
          </a:solidFill>
          <a:prstDash val="solid"/>
          <a:round/>
          <a:headEnd type="none" w="med" len="med"/>
          <a:tailEnd type="triangle"/>
        </a:ln>
        <a:effectLst/>
      </xdr:spPr>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0</xdr:colOff>
          <xdr:row>2</xdr:row>
          <xdr:rowOff>0</xdr:rowOff>
        </xdr:from>
        <xdr:to>
          <xdr:col>43</xdr:col>
          <xdr:colOff>171450</xdr:colOff>
          <xdr:row>3</xdr:row>
          <xdr:rowOff>190500</xdr:rowOff>
        </xdr:to>
        <xdr:sp macro="" textlink="">
          <xdr:nvSpPr>
            <xdr:cNvPr id="128004" name="Button 4" hidden="1">
              <a:extLst>
                <a:ext uri="{63B3BB69-23CF-44E3-9099-C40C66FF867C}">
                  <a14:compatExt spid="_x0000_s128004"/>
                </a:ext>
                <a:ext uri="{FF2B5EF4-FFF2-40B4-BE49-F238E27FC236}">
                  <a16:creationId xmlns:a16="http://schemas.microsoft.com/office/drawing/2014/main" id="{00000000-0008-0000-0500-000004F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Show/Hide Comparatives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66675</xdr:rowOff>
        </xdr:from>
        <xdr:to>
          <xdr:col>6</xdr:col>
          <xdr:colOff>0</xdr:colOff>
          <xdr:row>13</xdr:row>
          <xdr:rowOff>9525</xdr:rowOff>
        </xdr:to>
        <xdr:sp macro="" textlink="">
          <xdr:nvSpPr>
            <xdr:cNvPr id="128009" name="Drop Down 9" hidden="1">
              <a:extLst>
                <a:ext uri="{63B3BB69-23CF-44E3-9099-C40C66FF867C}">
                  <a14:compatExt spid="_x0000_s128009"/>
                </a:ext>
                <a:ext uri="{FF2B5EF4-FFF2-40B4-BE49-F238E27FC236}">
                  <a16:creationId xmlns:a16="http://schemas.microsoft.com/office/drawing/2014/main" id="{00000000-0008-0000-0500-000009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0</xdr:rowOff>
        </xdr:from>
        <xdr:to>
          <xdr:col>4</xdr:col>
          <xdr:colOff>342900</xdr:colOff>
          <xdr:row>9</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500-00000AF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Extrapolate Income? (Straightline)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4</xdr:col>
          <xdr:colOff>342900</xdr:colOff>
          <xdr:row>10</xdr:row>
          <xdr:rowOff>0</xdr:rowOff>
        </xdr:to>
        <xdr:sp macro="" textlink="">
          <xdr:nvSpPr>
            <xdr:cNvPr id="128036" name="Check Box 36" hidden="1">
              <a:extLst>
                <a:ext uri="{63B3BB69-23CF-44E3-9099-C40C66FF867C}">
                  <a14:compatExt spid="_x0000_s128036"/>
                </a:ext>
                <a:ext uri="{FF2B5EF4-FFF2-40B4-BE49-F238E27FC236}">
                  <a16:creationId xmlns:a16="http://schemas.microsoft.com/office/drawing/2014/main" id="{00000000-0008-0000-0500-000024F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Extrapolate Expenses? (Straightline)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5</xdr:row>
          <xdr:rowOff>0</xdr:rowOff>
        </xdr:from>
        <xdr:to>
          <xdr:col>43</xdr:col>
          <xdr:colOff>238125</xdr:colOff>
          <xdr:row>7</xdr:row>
          <xdr:rowOff>161925</xdr:rowOff>
        </xdr:to>
        <xdr:sp macro="" textlink="">
          <xdr:nvSpPr>
            <xdr:cNvPr id="128053" name="HideUnusedRowsToggleButton" hidden="1">
              <a:extLst>
                <a:ext uri="{63B3BB69-23CF-44E3-9099-C40C66FF867C}">
                  <a14:compatExt spid="_x0000_s128053"/>
                </a:ext>
                <a:ext uri="{FF2B5EF4-FFF2-40B4-BE49-F238E27FC236}">
                  <a16:creationId xmlns:a16="http://schemas.microsoft.com/office/drawing/2014/main" id="{00000000-0008-0000-0500-000035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0</xdr:colOff>
          <xdr:row>8</xdr:row>
          <xdr:rowOff>0</xdr:rowOff>
        </xdr:from>
        <xdr:to>
          <xdr:col>42</xdr:col>
          <xdr:colOff>190500</xdr:colOff>
          <xdr:row>9</xdr:row>
          <xdr:rowOff>161925</xdr:rowOff>
        </xdr:to>
        <xdr:sp macro="" textlink="">
          <xdr:nvSpPr>
            <xdr:cNvPr id="128071" name="Button 71" hidden="1">
              <a:extLst>
                <a:ext uri="{63B3BB69-23CF-44E3-9099-C40C66FF867C}">
                  <a14:compatExt spid="_x0000_s128071"/>
                </a:ext>
                <a:ext uri="{FF2B5EF4-FFF2-40B4-BE49-F238E27FC236}">
                  <a16:creationId xmlns:a16="http://schemas.microsoft.com/office/drawing/2014/main" id="{00000000-0008-0000-0500-000047F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Create client copy</a:t>
              </a:r>
            </a:p>
          </xdr:txBody>
        </xdr:sp>
        <xdr:clientData fPrintsWithSheet="0"/>
      </xdr:twoCellAnchor>
    </mc:Choice>
    <mc:Fallback/>
  </mc:AlternateContent>
  <xdr:twoCellAnchor editAs="oneCell">
    <xdr:from>
      <xdr:col>22</xdr:col>
      <xdr:colOff>437092</xdr:colOff>
      <xdr:row>0</xdr:row>
      <xdr:rowOff>188383</xdr:rowOff>
    </xdr:from>
    <xdr:to>
      <xdr:col>28</xdr:col>
      <xdr:colOff>859368</xdr:colOff>
      <xdr:row>2</xdr:row>
      <xdr:rowOff>186217</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a:stretch>
          <a:fillRect/>
        </a:stretch>
      </xdr:blipFill>
      <xdr:spPr>
        <a:xfrm>
          <a:off x="3123142" y="188383"/>
          <a:ext cx="1869018" cy="636009"/>
        </a:xfrm>
        <a:prstGeom prst="rect">
          <a:avLst/>
        </a:prstGeom>
      </xdr:spPr>
    </xdr:pic>
    <xdr:clientData/>
  </xdr:twoCellAnchor>
  <xdr:twoCellAnchor>
    <xdr:from>
      <xdr:col>0</xdr:col>
      <xdr:colOff>1</xdr:colOff>
      <xdr:row>84</xdr:row>
      <xdr:rowOff>0</xdr:rowOff>
    </xdr:from>
    <xdr:to>
      <xdr:col>35</xdr:col>
      <xdr:colOff>771526</xdr:colOff>
      <xdr:row>84</xdr:row>
      <xdr:rowOff>2271304</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 y="21726525"/>
          <a:ext cx="8305800" cy="2271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latin typeface="Arial" panose="020B0604020202020204" pitchFamily="34" charset="0"/>
              <a:cs typeface="Arial" panose="020B0604020202020204" pitchFamily="34" charset="0"/>
            </a:rPr>
            <a:t>1. Use and non-reliance - for example: This report is prepared for the Client for the sole purpose of tax planning ("Purpose"). No person, including the Client, may reproduce, use or rely on this report or any representations or warranties made by us for any purpose other than the Purpose. This report is not for circulation or distribution to any party other than the Client without our prior written consent. We do not assume any responsibility or liability for any losses suffered to any person, including the Client or any unauthorised user, as a result of the circulation, publication, reproduction or other use of this report contrary to the provisions of this paragraph.</a:t>
          </a:r>
        </a:p>
        <a:p>
          <a:endParaRPr lang="en-AU" sz="900">
            <a:latin typeface="Arial" panose="020B0604020202020204" pitchFamily="34" charset="0"/>
            <a:cs typeface="Arial" panose="020B0604020202020204" pitchFamily="34" charset="0"/>
          </a:endParaRPr>
        </a:p>
        <a:p>
          <a:r>
            <a:rPr lang="en-AU" sz="900">
              <a:latin typeface="Arial" panose="020B0604020202020204" pitchFamily="34" charset="0"/>
              <a:cs typeface="Arial" panose="020B0604020202020204" pitchFamily="34" charset="0"/>
            </a:rPr>
            <a:t>2. Accuracy of information - for example: This report has been prepared on the basis of information made available to us by the Client and publicly available information, including assumptions and opinions based on economic, financial market and other conditions prevailing at the time of the preparation of this report. We have not taken steps to verify the accuracy, completeness or fairness of that information, and our procedures and enquiries have not included verification work. If circumstances change significantly subsequent to the issue of this report, our conclusions and opinions may be impacted. Notwithstanding this, there will be no requirement for us to update this report for information that may become available subsequent to the date of issue.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19050</xdr:colOff>
      <xdr:row>3</xdr:row>
      <xdr:rowOff>150234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xdr:colOff>
      <xdr:row>4</xdr:row>
      <xdr:rowOff>156372</xdr:rowOff>
    </xdr:from>
    <xdr:to>
      <xdr:col>0</xdr:col>
      <xdr:colOff>2000251</xdr:colOff>
      <xdr:row>7</xdr:row>
      <xdr:rowOff>166051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9050" y="804256"/>
          <a:ext cx="1981201" cy="6170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2305050</xdr:colOff>
          <xdr:row>0</xdr:row>
          <xdr:rowOff>66675</xdr:rowOff>
        </xdr:from>
        <xdr:to>
          <xdr:col>0</xdr:col>
          <xdr:colOff>2505075</xdr:colOff>
          <xdr:row>2</xdr:row>
          <xdr:rowOff>76200</xdr:rowOff>
        </xdr:to>
        <xdr:sp macro="" textlink="">
          <xdr:nvSpPr>
            <xdr:cNvPr id="407555" name="SpinButton_Minor" hidden="1">
              <a:extLst>
                <a:ext uri="{63B3BB69-23CF-44E3-9099-C40C66FF867C}">
                  <a14:compatExt spid="_x0000_s407555"/>
                </a:ext>
                <a:ext uri="{FF2B5EF4-FFF2-40B4-BE49-F238E27FC236}">
                  <a16:creationId xmlns:a16="http://schemas.microsoft.com/office/drawing/2014/main" id="{00000000-0008-0000-0700-000003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2514600</xdr:colOff>
          <xdr:row>0</xdr:row>
          <xdr:rowOff>152400</xdr:rowOff>
        </xdr:from>
        <xdr:to>
          <xdr:col>0</xdr:col>
          <xdr:colOff>3105150</xdr:colOff>
          <xdr:row>1</xdr:row>
          <xdr:rowOff>133350</xdr:rowOff>
        </xdr:to>
        <xdr:sp macro="" textlink="">
          <xdr:nvSpPr>
            <xdr:cNvPr id="407556" name="Label_Minor" hidden="1">
              <a:extLst>
                <a:ext uri="{63B3BB69-23CF-44E3-9099-C40C66FF867C}">
                  <a14:compatExt spid="_x0000_s407556"/>
                </a:ext>
                <a:ext uri="{FF2B5EF4-FFF2-40B4-BE49-F238E27FC236}">
                  <a16:creationId xmlns:a16="http://schemas.microsoft.com/office/drawing/2014/main" id="{00000000-0008-0000-0700-000004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1581150</xdr:colOff>
          <xdr:row>0</xdr:row>
          <xdr:rowOff>66675</xdr:rowOff>
        </xdr:from>
        <xdr:to>
          <xdr:col>0</xdr:col>
          <xdr:colOff>1781175</xdr:colOff>
          <xdr:row>2</xdr:row>
          <xdr:rowOff>76200</xdr:rowOff>
        </xdr:to>
        <xdr:sp macro="" textlink="">
          <xdr:nvSpPr>
            <xdr:cNvPr id="407557" name="SpinButton_SuperFund" hidden="1">
              <a:extLst>
                <a:ext uri="{63B3BB69-23CF-44E3-9099-C40C66FF867C}">
                  <a14:compatExt spid="_x0000_s407557"/>
                </a:ext>
                <a:ext uri="{FF2B5EF4-FFF2-40B4-BE49-F238E27FC236}">
                  <a16:creationId xmlns:a16="http://schemas.microsoft.com/office/drawing/2014/main" id="{00000000-0008-0000-0700-000005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66675</xdr:rowOff>
        </xdr:from>
        <xdr:to>
          <xdr:col>0</xdr:col>
          <xdr:colOff>219075</xdr:colOff>
          <xdr:row>2</xdr:row>
          <xdr:rowOff>76200</xdr:rowOff>
        </xdr:to>
        <xdr:sp macro="" textlink="">
          <xdr:nvSpPr>
            <xdr:cNvPr id="407559" name="SpinButton_Ind" hidden="1">
              <a:extLst>
                <a:ext uri="{63B3BB69-23CF-44E3-9099-C40C66FF867C}">
                  <a14:compatExt spid="_x0000_s407559"/>
                </a:ext>
                <a:ext uri="{FF2B5EF4-FFF2-40B4-BE49-F238E27FC236}">
                  <a16:creationId xmlns:a16="http://schemas.microsoft.com/office/drawing/2014/main" id="{00000000-0008-0000-0700-000007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800100</xdr:colOff>
          <xdr:row>0</xdr:row>
          <xdr:rowOff>66675</xdr:rowOff>
        </xdr:from>
        <xdr:to>
          <xdr:col>0</xdr:col>
          <xdr:colOff>1000125</xdr:colOff>
          <xdr:row>2</xdr:row>
          <xdr:rowOff>76200</xdr:rowOff>
        </xdr:to>
        <xdr:sp macro="" textlink="">
          <xdr:nvSpPr>
            <xdr:cNvPr id="407561" name="SpinButton_Company" hidden="1">
              <a:extLst>
                <a:ext uri="{63B3BB69-23CF-44E3-9099-C40C66FF867C}">
                  <a14:compatExt spid="_x0000_s407561"/>
                </a:ext>
                <a:ext uri="{FF2B5EF4-FFF2-40B4-BE49-F238E27FC236}">
                  <a16:creationId xmlns:a16="http://schemas.microsoft.com/office/drawing/2014/main" id="{00000000-0008-0000-0700-000009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xdr:row>
          <xdr:rowOff>0</xdr:rowOff>
        </xdr:from>
        <xdr:to>
          <xdr:col>0</xdr:col>
          <xdr:colOff>876300</xdr:colOff>
          <xdr:row>4</xdr:row>
          <xdr:rowOff>57150</xdr:rowOff>
        </xdr:to>
        <xdr:sp macro="" textlink="">
          <xdr:nvSpPr>
            <xdr:cNvPr id="407563" name="ToggleButton_HideInputs" hidden="1">
              <a:extLst>
                <a:ext uri="{63B3BB69-23CF-44E3-9099-C40C66FF867C}">
                  <a14:compatExt spid="_x0000_s407563"/>
                </a:ext>
                <a:ext uri="{FF2B5EF4-FFF2-40B4-BE49-F238E27FC236}">
                  <a16:creationId xmlns:a16="http://schemas.microsoft.com/office/drawing/2014/main" id="{00000000-0008-0000-0700-00000B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3</xdr:row>
          <xdr:rowOff>0</xdr:rowOff>
        </xdr:from>
        <xdr:to>
          <xdr:col>0</xdr:col>
          <xdr:colOff>1790700</xdr:colOff>
          <xdr:row>4</xdr:row>
          <xdr:rowOff>57150</xdr:rowOff>
        </xdr:to>
        <xdr:sp macro="" textlink="">
          <xdr:nvSpPr>
            <xdr:cNvPr id="407564" name="ToggleButton_HideOffsets" hidden="1">
              <a:extLst>
                <a:ext uri="{63B3BB69-23CF-44E3-9099-C40C66FF867C}">
                  <a14:compatExt spid="_x0000_s407564"/>
                </a:ext>
                <a:ext uri="{FF2B5EF4-FFF2-40B4-BE49-F238E27FC236}">
                  <a16:creationId xmlns:a16="http://schemas.microsoft.com/office/drawing/2014/main" id="{00000000-0008-0000-0700-00000C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1790700</xdr:colOff>
          <xdr:row>0</xdr:row>
          <xdr:rowOff>152400</xdr:rowOff>
        </xdr:from>
        <xdr:to>
          <xdr:col>0</xdr:col>
          <xdr:colOff>2247900</xdr:colOff>
          <xdr:row>1</xdr:row>
          <xdr:rowOff>142875</xdr:rowOff>
        </xdr:to>
        <xdr:sp macro="" textlink="">
          <xdr:nvSpPr>
            <xdr:cNvPr id="407565" name="Label_SuperFund" hidden="1">
              <a:extLst>
                <a:ext uri="{63B3BB69-23CF-44E3-9099-C40C66FF867C}">
                  <a14:compatExt spid="_x0000_s407565"/>
                </a:ext>
                <a:ext uri="{FF2B5EF4-FFF2-40B4-BE49-F238E27FC236}">
                  <a16:creationId xmlns:a16="http://schemas.microsoft.com/office/drawing/2014/main" id="{00000000-0008-0000-0700-00000D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16328</xdr:colOff>
      <xdr:row>237</xdr:row>
      <xdr:rowOff>150769</xdr:rowOff>
    </xdr:from>
    <xdr:to>
      <xdr:col>16</xdr:col>
      <xdr:colOff>520658</xdr:colOff>
      <xdr:row>237</xdr:row>
      <xdr:rowOff>2422073</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16328" y="23843526"/>
          <a:ext cx="9915030" cy="2271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latin typeface="Arial" panose="020B0604020202020204" pitchFamily="34" charset="0"/>
              <a:cs typeface="Arial" panose="020B0604020202020204" pitchFamily="34" charset="0"/>
            </a:rPr>
            <a:t>1. Use and non-reliance - for example: This report is prepared for the Client for the sole purpose of tax planning ("Purpose"). No person, including the Client, may reproduce, use or rely on this report or any representations or warranties made by us for any purpose other than the Purpose. This report is not for circulation or distribution to any party other than the Client without our prior written consent. We do not assume any responsibility or liability for any losses suffered to any person, including the Client or any unauthorised user, as a result of the circulation, publication, reproduction or other use of this report contrary to the provisions of this paragraph.</a:t>
          </a:r>
        </a:p>
        <a:p>
          <a:endParaRPr lang="en-AU" sz="900">
            <a:latin typeface="Arial" panose="020B0604020202020204" pitchFamily="34" charset="0"/>
            <a:cs typeface="Arial" panose="020B0604020202020204" pitchFamily="34" charset="0"/>
          </a:endParaRPr>
        </a:p>
        <a:p>
          <a:r>
            <a:rPr lang="en-AU" sz="900">
              <a:latin typeface="Arial" panose="020B0604020202020204" pitchFamily="34" charset="0"/>
              <a:cs typeface="Arial" panose="020B0604020202020204" pitchFamily="34" charset="0"/>
            </a:rPr>
            <a:t>2. Accuracy of information - for example: This report has been prepared on the basis of information made available to us by the Client and publicly available information, including assumptions and opinions based on economic, financial market and other conditions prevailing at the time of the preparation of this report. We have not taken steps to verify the accuracy, completeness or fairness of that information, and our procedures and enquiries have not included verification work. If circumstances change significantly subsequent to the issue of this report, our conclusions and opinions may be impacted. Notwithstanding this, there will be no requirement for us to update this report for information that may become available subsequent to the date of issue.</a:t>
          </a:r>
        </a:p>
      </xdr:txBody>
    </xdr:sp>
    <xdr:clientData/>
  </xdr:twoCellAnchor>
  <mc:AlternateContent xmlns:mc="http://schemas.openxmlformats.org/markup-compatibility/2006">
    <mc:Choice xmlns:a14="http://schemas.microsoft.com/office/drawing/2010/main" Requires="a14">
      <xdr:twoCellAnchor editAs="oneCell">
        <xdr:from>
          <xdr:col>0</xdr:col>
          <xdr:colOff>257175</xdr:colOff>
          <xdr:row>0</xdr:row>
          <xdr:rowOff>152400</xdr:rowOff>
        </xdr:from>
        <xdr:to>
          <xdr:col>0</xdr:col>
          <xdr:colOff>752475</xdr:colOff>
          <xdr:row>1</xdr:row>
          <xdr:rowOff>142875</xdr:rowOff>
        </xdr:to>
        <xdr:sp macro="" textlink="">
          <xdr:nvSpPr>
            <xdr:cNvPr id="407568" name="Label_Ind" hidden="1">
              <a:extLst>
                <a:ext uri="{63B3BB69-23CF-44E3-9099-C40C66FF867C}">
                  <a14:compatExt spid="_x0000_s407568"/>
                </a:ext>
                <a:ext uri="{FF2B5EF4-FFF2-40B4-BE49-F238E27FC236}">
                  <a16:creationId xmlns:a16="http://schemas.microsoft.com/office/drawing/2014/main" id="{00000000-0008-0000-0700-000010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1000125</xdr:colOff>
          <xdr:row>0</xdr:row>
          <xdr:rowOff>152400</xdr:rowOff>
        </xdr:from>
        <xdr:to>
          <xdr:col>0</xdr:col>
          <xdr:colOff>1504950</xdr:colOff>
          <xdr:row>1</xdr:row>
          <xdr:rowOff>142875</xdr:rowOff>
        </xdr:to>
        <xdr:sp macro="" textlink="">
          <xdr:nvSpPr>
            <xdr:cNvPr id="407569" name="Label_Company" hidden="1">
              <a:extLst>
                <a:ext uri="{63B3BB69-23CF-44E3-9099-C40C66FF867C}">
                  <a14:compatExt spid="_x0000_s407569"/>
                </a:ext>
                <a:ext uri="{FF2B5EF4-FFF2-40B4-BE49-F238E27FC236}">
                  <a16:creationId xmlns:a16="http://schemas.microsoft.com/office/drawing/2014/main" id="{00000000-0008-0000-0700-000011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1914525</xdr:colOff>
          <xdr:row>3</xdr:row>
          <xdr:rowOff>9525</xdr:rowOff>
        </xdr:from>
        <xdr:to>
          <xdr:col>0</xdr:col>
          <xdr:colOff>2933700</xdr:colOff>
          <xdr:row>4</xdr:row>
          <xdr:rowOff>66675</xdr:rowOff>
        </xdr:to>
        <xdr:sp macro="" textlink="">
          <xdr:nvSpPr>
            <xdr:cNvPr id="407570" name="ToggleButton_HideBlankRows" hidden="1">
              <a:extLst>
                <a:ext uri="{63B3BB69-23CF-44E3-9099-C40C66FF867C}">
                  <a14:compatExt spid="_x0000_s407570"/>
                </a:ext>
                <a:ext uri="{FF2B5EF4-FFF2-40B4-BE49-F238E27FC236}">
                  <a16:creationId xmlns:a16="http://schemas.microsoft.com/office/drawing/2014/main" id="{00000000-0008-0000-0700-0000123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93669</xdr:colOff>
      <xdr:row>0</xdr:row>
      <xdr:rowOff>19051</xdr:rowOff>
    </xdr:from>
    <xdr:to>
      <xdr:col>4</xdr:col>
      <xdr:colOff>106368</xdr:colOff>
      <xdr:row>4</xdr:row>
      <xdr:rowOff>156541</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3246444" y="19051"/>
          <a:ext cx="2584449" cy="7851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Click </a:t>
          </a:r>
          <a:r>
            <a:rPr lang="en-AU" sz="1000" baseline="0">
              <a:latin typeface="Arial" panose="020B0604020202020204" pitchFamily="34" charset="0"/>
              <a:cs typeface="Arial" panose="020B0604020202020204" pitchFamily="34" charset="0"/>
            </a:rPr>
            <a:t>toggle buttons to condense the tax planning summary worksheet prior to printing. This will ensure the tax plan prints neatly on one page.</a:t>
          </a:r>
          <a:endParaRPr lang="en-AU" sz="100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xdr:row>
      <xdr:rowOff>21167</xdr:rowOff>
    </xdr:from>
    <xdr:to>
      <xdr:col>1</xdr:col>
      <xdr:colOff>917010</xdr:colOff>
      <xdr:row>11</xdr:row>
      <xdr:rowOff>131396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1404055"/>
          <a:ext cx="1968288" cy="6605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38100</xdr:colOff>
          <xdr:row>1</xdr:row>
          <xdr:rowOff>76200</xdr:rowOff>
        </xdr:from>
        <xdr:to>
          <xdr:col>11</xdr:col>
          <xdr:colOff>38100</xdr:colOff>
          <xdr:row>2</xdr:row>
          <xdr:rowOff>9525</xdr:rowOff>
        </xdr:to>
        <xdr:sp macro="" textlink="">
          <xdr:nvSpPr>
            <xdr:cNvPr id="535560" name="ToggleButton_HideRows" hidden="1">
              <a:extLst>
                <a:ext uri="{63B3BB69-23CF-44E3-9099-C40C66FF867C}">
                  <a14:compatExt spid="_x0000_s535560"/>
                </a:ext>
                <a:ext uri="{FF2B5EF4-FFF2-40B4-BE49-F238E27FC236}">
                  <a16:creationId xmlns:a16="http://schemas.microsoft.com/office/drawing/2014/main" id="{00000000-0008-0000-0800-0000082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917010</xdr:colOff>
      <xdr:row>2</xdr:row>
      <xdr:rowOff>144096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0"/>
          <a:ext cx="1971110" cy="66902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14</xdr:row>
          <xdr:rowOff>0</xdr:rowOff>
        </xdr:from>
        <xdr:to>
          <xdr:col>17</xdr:col>
          <xdr:colOff>0</xdr:colOff>
          <xdr:row>15</xdr:row>
          <xdr:rowOff>0</xdr:rowOff>
        </xdr:to>
        <xdr:sp macro="" textlink="">
          <xdr:nvSpPr>
            <xdr:cNvPr id="203448" name="Button 1720" hidden="1">
              <a:extLst>
                <a:ext uri="{63B3BB69-23CF-44E3-9099-C40C66FF867C}">
                  <a14:compatExt spid="_x0000_s203448"/>
                </a:ext>
                <a:ext uri="{FF2B5EF4-FFF2-40B4-BE49-F238E27FC236}">
                  <a16:creationId xmlns:a16="http://schemas.microsoft.com/office/drawing/2014/main" id="{00000000-0008-0000-0900-0000B81A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 All</a:t>
              </a:r>
            </a:p>
          </xdr:txBody>
        </xdr:sp>
        <xdr:clientData fPrintsWithSheet="0"/>
      </xdr:twoCellAnchor>
    </mc:Choice>
    <mc:Fallback/>
  </mc:AlternateContent>
  <xdr:twoCellAnchor editAs="oneCell">
    <xdr:from>
      <xdr:col>14</xdr:col>
      <xdr:colOff>485775</xdr:colOff>
      <xdr:row>0</xdr:row>
      <xdr:rowOff>9525</xdr:rowOff>
    </xdr:from>
    <xdr:to>
      <xdr:col>16</xdr:col>
      <xdr:colOff>781050</xdr:colOff>
      <xdr:row>1</xdr:row>
      <xdr:rowOff>264534</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a:off x="12487275" y="9525"/>
          <a:ext cx="1866900" cy="6360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928007</xdr:colOff>
      <xdr:row>3</xdr:row>
      <xdr:rowOff>102609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23</xdr:row>
      <xdr:rowOff>0</xdr:rowOff>
    </xdr:from>
    <xdr:to>
      <xdr:col>5</xdr:col>
      <xdr:colOff>47625</xdr:colOff>
      <xdr:row>38</xdr:row>
      <xdr:rowOff>71438</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0</xdr:col>
      <xdr:colOff>1981201</xdr:colOff>
      <xdr:row>3</xdr:row>
      <xdr:rowOff>65265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a:stretch>
          <a:fillRect/>
        </a:stretch>
      </xdr:blipFill>
      <xdr:spPr>
        <a:xfrm>
          <a:off x="0" y="0"/>
          <a:ext cx="1981201" cy="6155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30186</xdr:colOff>
      <xdr:row>3</xdr:row>
      <xdr:rowOff>69092</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0" y="0"/>
          <a:ext cx="1893276" cy="62344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12246</xdr:colOff>
      <xdr:row>0</xdr:row>
      <xdr:rowOff>0</xdr:rowOff>
    </xdr:from>
    <xdr:to>
      <xdr:col>4</xdr:col>
      <xdr:colOff>850446</xdr:colOff>
      <xdr:row>4</xdr:row>
      <xdr:rowOff>1009</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12246" y="0"/>
          <a:ext cx="1866900" cy="6360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1866900</xdr:colOff>
      <xdr:row>3</xdr:row>
      <xdr:rowOff>146152</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657225</xdr:colOff>
      <xdr:row>298</xdr:row>
      <xdr:rowOff>161925</xdr:rowOff>
    </xdr:from>
    <xdr:to>
      <xdr:col>6</xdr:col>
      <xdr:colOff>1</xdr:colOff>
      <xdr:row>300</xdr:row>
      <xdr:rowOff>0</xdr:rowOff>
    </xdr:to>
    <xdr:sp macro="" textlink="">
      <xdr:nvSpPr>
        <xdr:cNvPr id="2" name="Rectangle 1">
          <a:extLst>
            <a:ext uri="{FF2B5EF4-FFF2-40B4-BE49-F238E27FC236}">
              <a16:creationId xmlns:a16="http://schemas.microsoft.com/office/drawing/2014/main" id="{00000000-0008-0000-0F00-000002000000}"/>
            </a:ext>
          </a:extLst>
        </xdr:cNvPr>
        <xdr:cNvSpPr/>
      </xdr:nvSpPr>
      <xdr:spPr bwMode="auto">
        <a:xfrm>
          <a:off x="2428875" y="29203650"/>
          <a:ext cx="3619501" cy="180975"/>
        </a:xfrm>
        <a:prstGeom prst="rect">
          <a:avLst/>
        </a:prstGeom>
        <a:noFill/>
        <a:ln w="9525" cap="flat" cmpd="sng" algn="ctr">
          <a:solidFill>
            <a:srgbClr val="000000"/>
          </a:solidFill>
          <a:prstDash val="solid"/>
          <a:round/>
          <a:headEnd type="none" w="med" len="med"/>
          <a:tailEnd type="none" w="med" len="med"/>
        </a:ln>
        <a:effectLst>
          <a:outerShdw blurRad="63500" sx="102000" sy="102000" algn="ctr" rotWithShape="0">
            <a:prstClr val="black">
              <a:alpha val="40000"/>
            </a:prstClr>
          </a:outerShdw>
        </a:effectLst>
      </xdr:spPr>
      <xdr:txBody>
        <a:bodyPr vertOverflow="clip" horzOverflow="clip" wrap="square" lIns="18288" tIns="0" rIns="0" bIns="0" rtlCol="0" anchor="t" upright="1"/>
        <a:lstStyle/>
        <a:p>
          <a:endParaRPr lang="en-AU"/>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57150</xdr:rowOff>
        </xdr:from>
        <xdr:to>
          <xdr:col>4</xdr:col>
          <xdr:colOff>133350</xdr:colOff>
          <xdr:row>3</xdr:row>
          <xdr:rowOff>38100</xdr:rowOff>
        </xdr:to>
        <xdr:sp macro="" textlink="">
          <xdr:nvSpPr>
            <xdr:cNvPr id="106531" name="ToggleButton1" hidden="1">
              <a:extLst>
                <a:ext uri="{63B3BB69-23CF-44E3-9099-C40C66FF867C}">
                  <a14:compatExt spid="_x0000_s106531"/>
                </a:ext>
                <a:ext uri="{FF2B5EF4-FFF2-40B4-BE49-F238E27FC236}">
                  <a16:creationId xmlns:a16="http://schemas.microsoft.com/office/drawing/2014/main" id="{00000000-0008-0000-0F00-000023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5</xdr:col>
          <xdr:colOff>0</xdr:colOff>
          <xdr:row>3</xdr:row>
          <xdr:rowOff>47625</xdr:rowOff>
        </xdr:to>
        <xdr:sp macro="" textlink="">
          <xdr:nvSpPr>
            <xdr:cNvPr id="106533" name="ToggleButtonViewTaxRecReport" hidden="1">
              <a:extLst>
                <a:ext uri="{63B3BB69-23CF-44E3-9099-C40C66FF867C}">
                  <a14:compatExt spid="_x0000_s106533"/>
                </a:ext>
                <a:ext uri="{FF2B5EF4-FFF2-40B4-BE49-F238E27FC236}">
                  <a16:creationId xmlns:a16="http://schemas.microsoft.com/office/drawing/2014/main" id="{00000000-0008-0000-0F00-000025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109</xdr:row>
          <xdr:rowOff>161925</xdr:rowOff>
        </xdr:from>
        <xdr:to>
          <xdr:col>5</xdr:col>
          <xdr:colOff>1095375</xdr:colOff>
          <xdr:row>110</xdr:row>
          <xdr:rowOff>161925</xdr:rowOff>
        </xdr:to>
        <xdr:sp macro="" textlink="">
          <xdr:nvSpPr>
            <xdr:cNvPr id="106538" name="Button 42" hidden="1">
              <a:extLst>
                <a:ext uri="{63B3BB69-23CF-44E3-9099-C40C66FF867C}">
                  <a14:compatExt spid="_x0000_s106538"/>
                </a:ext>
                <a:ext uri="{FF2B5EF4-FFF2-40B4-BE49-F238E27FC236}">
                  <a16:creationId xmlns:a16="http://schemas.microsoft.com/office/drawing/2014/main" id="{00000000-0008-0000-0F00-00002A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Monthly/Quarterly</a:t>
              </a:r>
            </a:p>
          </xdr:txBody>
        </xdr:sp>
        <xdr:clientData fPrintsWithSheet="0"/>
      </xdr:twoCellAnchor>
    </mc:Choice>
    <mc:Fallback/>
  </mc:AlternateContent>
  <xdr:twoCellAnchor editAs="oneCell">
    <xdr:from>
      <xdr:col>0</xdr:col>
      <xdr:colOff>0</xdr:colOff>
      <xdr:row>0</xdr:row>
      <xdr:rowOff>0</xdr:rowOff>
    </xdr:from>
    <xdr:to>
      <xdr:col>0</xdr:col>
      <xdr:colOff>304800</xdr:colOff>
      <xdr:row>1</xdr:row>
      <xdr:rowOff>102659</xdr:rowOff>
    </xdr:to>
    <xdr:sp macro="" textlink="">
      <xdr:nvSpPr>
        <xdr:cNvPr id="106540" name="AutoShape 44" descr="Findex_Logo_MidnightBlue_Dash.png">
          <a:extLst>
            <a:ext uri="{FF2B5EF4-FFF2-40B4-BE49-F238E27FC236}">
              <a16:creationId xmlns:a16="http://schemas.microsoft.com/office/drawing/2014/main" id="{00000000-0008-0000-0F00-00002CA001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0</xdr:row>
      <xdr:rowOff>0</xdr:rowOff>
    </xdr:from>
    <xdr:ext cx="304800" cy="304800"/>
    <xdr:sp macro="" textlink="">
      <xdr:nvSpPr>
        <xdr:cNvPr id="11" name="AutoShape 44" descr="Findex_Logo_MidnightBlue_Dash.png">
          <a:extLst>
            <a:ext uri="{FF2B5EF4-FFF2-40B4-BE49-F238E27FC236}">
              <a16:creationId xmlns:a16="http://schemas.microsoft.com/office/drawing/2014/main" id="{00000000-0008-0000-0F00-00000B00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0</xdr:col>
      <xdr:colOff>0</xdr:colOff>
      <xdr:row>0</xdr:row>
      <xdr:rowOff>0</xdr:rowOff>
    </xdr:from>
    <xdr:to>
      <xdr:col>1</xdr:col>
      <xdr:colOff>712259</xdr:colOff>
      <xdr:row>3</xdr:row>
      <xdr:rowOff>116368</xdr:rowOff>
    </xdr:to>
    <xdr:pic>
      <xdr:nvPicPr>
        <xdr:cNvPr id="12" name="Picture 1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114300</xdr:rowOff>
        </xdr:from>
        <xdr:to>
          <xdr:col>10</xdr:col>
          <xdr:colOff>247650</xdr:colOff>
          <xdr:row>4</xdr:row>
          <xdr:rowOff>95250</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10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Format Report</a:t>
              </a:r>
            </a:p>
          </xdr:txBody>
        </xdr:sp>
        <xdr:clientData fPrintsWithSheet="0"/>
      </xdr:twoCellAnchor>
    </mc:Choice>
    <mc:Fallback/>
  </mc:AlternateContent>
  <xdr:twoCellAnchor editAs="oneCell">
    <xdr:from>
      <xdr:col>5</xdr:col>
      <xdr:colOff>476250</xdr:colOff>
      <xdr:row>0</xdr:row>
      <xdr:rowOff>28575</xdr:rowOff>
    </xdr:from>
    <xdr:to>
      <xdr:col>7</xdr:col>
      <xdr:colOff>838200</xdr:colOff>
      <xdr:row>2</xdr:row>
      <xdr:rowOff>26409</xdr:rowOff>
    </xdr:to>
    <xdr:pic>
      <xdr:nvPicPr>
        <xdr:cNvPr id="6" name="Pictur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a:stretch>
          <a:fillRect/>
        </a:stretch>
      </xdr:blipFill>
      <xdr:spPr>
        <a:xfrm>
          <a:off x="4352925" y="28575"/>
          <a:ext cx="1866900" cy="63600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937683</xdr:colOff>
      <xdr:row>3</xdr:row>
      <xdr:rowOff>95201</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1987550" cy="63283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xdr:col>
      <xdr:colOff>601435</xdr:colOff>
      <xdr:row>3</xdr:row>
      <xdr:rowOff>140709</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1912620</xdr:colOff>
      <xdr:row>3</xdr:row>
      <xdr:rowOff>110229</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0" y="0"/>
          <a:ext cx="1912620" cy="69696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xdr:row>
          <xdr:rowOff>0</xdr:rowOff>
        </xdr:from>
        <xdr:to>
          <xdr:col>15</xdr:col>
          <xdr:colOff>0</xdr:colOff>
          <xdr:row>4</xdr:row>
          <xdr:rowOff>47625</xdr:rowOff>
        </xdr:to>
        <xdr:sp macro="" textlink="">
          <xdr:nvSpPr>
            <xdr:cNvPr id="196660" name="Object 52" hidden="1">
              <a:extLst>
                <a:ext uri="{63B3BB69-23CF-44E3-9099-C40C66FF867C}">
                  <a14:compatExt spid="_x0000_s196660"/>
                </a:ext>
                <a:ext uri="{FF2B5EF4-FFF2-40B4-BE49-F238E27FC236}">
                  <a16:creationId xmlns:a16="http://schemas.microsoft.com/office/drawing/2014/main" id="{00000000-0008-0000-1400-00003400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0</xdr:colOff>
      <xdr:row>1</xdr:row>
      <xdr:rowOff>0</xdr:rowOff>
    </xdr:from>
    <xdr:to>
      <xdr:col>0</xdr:col>
      <xdr:colOff>1866900</xdr:colOff>
      <xdr:row>4</xdr:row>
      <xdr:rowOff>8479</xdr:rowOff>
    </xdr:to>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47625</xdr:rowOff>
    </xdr:from>
    <xdr:to>
      <xdr:col>0</xdr:col>
      <xdr:colOff>1866900</xdr:colOff>
      <xdr:row>3</xdr:row>
      <xdr:rowOff>122779</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0" y="47625"/>
          <a:ext cx="1866900" cy="64665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1866900</xdr:colOff>
      <xdr:row>3</xdr:row>
      <xdr:rowOff>74096</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0" y="0"/>
          <a:ext cx="1866900" cy="64559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xdr:col>
      <xdr:colOff>1571626</xdr:colOff>
      <xdr:row>1</xdr:row>
      <xdr:rowOff>159759</xdr:rowOff>
    </xdr:to>
    <xdr:pic>
      <xdr:nvPicPr>
        <xdr:cNvPr id="5" name="Pictur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1"/>
        <a:stretch>
          <a:fillRect/>
        </a:stretch>
      </xdr:blipFill>
      <xdr:spPr>
        <a:xfrm>
          <a:off x="1" y="0"/>
          <a:ext cx="1866900" cy="636009"/>
        </a:xfrm>
        <a:prstGeom prst="rect">
          <a:avLst/>
        </a:prstGeom>
      </xdr:spPr>
    </xdr:pic>
    <xdr:clientData/>
  </xdr:twoCellAnchor>
  <xdr:twoCellAnchor editAs="oneCell">
    <xdr:from>
      <xdr:col>0</xdr:col>
      <xdr:colOff>0</xdr:colOff>
      <xdr:row>88</xdr:row>
      <xdr:rowOff>0</xdr:rowOff>
    </xdr:from>
    <xdr:to>
      <xdr:col>1</xdr:col>
      <xdr:colOff>1571625</xdr:colOff>
      <xdr:row>91</xdr:row>
      <xdr:rowOff>169284</xdr:rowOff>
    </xdr:to>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
        <a:stretch>
          <a:fillRect/>
        </a:stretch>
      </xdr:blipFill>
      <xdr:spPr>
        <a:xfrm>
          <a:off x="0" y="14506575"/>
          <a:ext cx="1866900" cy="63600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1152525</xdr:colOff>
      <xdr:row>3</xdr:row>
      <xdr:rowOff>74034</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stretch>
          <a:fillRect/>
        </a:stretch>
      </xdr:blipFill>
      <xdr:spPr>
        <a:xfrm>
          <a:off x="0" y="0"/>
          <a:ext cx="1866900" cy="64553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257175</xdr:colOff>
          <xdr:row>17</xdr:row>
          <xdr:rowOff>0</xdr:rowOff>
        </xdr:from>
        <xdr:to>
          <xdr:col>0</xdr:col>
          <xdr:colOff>600075</xdr:colOff>
          <xdr:row>19</xdr:row>
          <xdr:rowOff>19050</xdr:rowOff>
        </xdr:to>
        <xdr:sp macro="" textlink="">
          <xdr:nvSpPr>
            <xdr:cNvPr id="103605" name="SpinButton_Individuals" hidden="1">
              <a:extLst>
                <a:ext uri="{63B3BB69-23CF-44E3-9099-C40C66FF867C}">
                  <a14:compatExt spid="_x0000_s103605"/>
                </a:ext>
                <a:ext uri="{FF2B5EF4-FFF2-40B4-BE49-F238E27FC236}">
                  <a16:creationId xmlns:a16="http://schemas.microsoft.com/office/drawing/2014/main" id="{00000000-0008-0000-1900-0000B5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19</xdr:row>
          <xdr:rowOff>180975</xdr:rowOff>
        </xdr:from>
        <xdr:to>
          <xdr:col>0</xdr:col>
          <xdr:colOff>590550</xdr:colOff>
          <xdr:row>21</xdr:row>
          <xdr:rowOff>180975</xdr:rowOff>
        </xdr:to>
        <xdr:sp macro="" textlink="">
          <xdr:nvSpPr>
            <xdr:cNvPr id="103606" name="SpinButton_Companies" hidden="1">
              <a:extLst>
                <a:ext uri="{63B3BB69-23CF-44E3-9099-C40C66FF867C}">
                  <a14:compatExt spid="_x0000_s103606"/>
                </a:ext>
                <a:ext uri="{FF2B5EF4-FFF2-40B4-BE49-F238E27FC236}">
                  <a16:creationId xmlns:a16="http://schemas.microsoft.com/office/drawing/2014/main" id="{00000000-0008-0000-1900-0000B6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180975</xdr:rowOff>
        </xdr:from>
        <xdr:to>
          <xdr:col>0</xdr:col>
          <xdr:colOff>609600</xdr:colOff>
          <xdr:row>28</xdr:row>
          <xdr:rowOff>180975</xdr:rowOff>
        </xdr:to>
        <xdr:sp macro="" textlink="">
          <xdr:nvSpPr>
            <xdr:cNvPr id="103607" name="SpinButton_SuperFunds" hidden="1">
              <a:extLst>
                <a:ext uri="{63B3BB69-23CF-44E3-9099-C40C66FF867C}">
                  <a14:compatExt spid="_x0000_s103607"/>
                </a:ext>
                <a:ext uri="{FF2B5EF4-FFF2-40B4-BE49-F238E27FC236}">
                  <a16:creationId xmlns:a16="http://schemas.microsoft.com/office/drawing/2014/main" id="{00000000-0008-0000-1900-0000B7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23</xdr:row>
          <xdr:rowOff>57150</xdr:rowOff>
        </xdr:from>
        <xdr:to>
          <xdr:col>0</xdr:col>
          <xdr:colOff>600075</xdr:colOff>
          <xdr:row>25</xdr:row>
          <xdr:rowOff>57150</xdr:rowOff>
        </xdr:to>
        <xdr:sp macro="" textlink="">
          <xdr:nvSpPr>
            <xdr:cNvPr id="103608" name="SpinButton_ChildBeneficiaries" hidden="1">
              <a:extLst>
                <a:ext uri="{63B3BB69-23CF-44E3-9099-C40C66FF867C}">
                  <a14:compatExt spid="_x0000_s103608"/>
                </a:ext>
                <a:ext uri="{FF2B5EF4-FFF2-40B4-BE49-F238E27FC236}">
                  <a16:creationId xmlns:a16="http://schemas.microsoft.com/office/drawing/2014/main" id="{00000000-0008-0000-1900-0000B8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704850</xdr:colOff>
          <xdr:row>17</xdr:row>
          <xdr:rowOff>9525</xdr:rowOff>
        </xdr:from>
        <xdr:to>
          <xdr:col>1</xdr:col>
          <xdr:colOff>942975</xdr:colOff>
          <xdr:row>19</xdr:row>
          <xdr:rowOff>9525</xdr:rowOff>
        </xdr:to>
        <xdr:sp macro="" textlink="">
          <xdr:nvSpPr>
            <xdr:cNvPr id="103609" name="Label_Individuals" hidden="1">
              <a:extLst>
                <a:ext uri="{63B3BB69-23CF-44E3-9099-C40C66FF867C}">
                  <a14:compatExt spid="_x0000_s103609"/>
                </a:ext>
                <a:ext uri="{FF2B5EF4-FFF2-40B4-BE49-F238E27FC236}">
                  <a16:creationId xmlns:a16="http://schemas.microsoft.com/office/drawing/2014/main" id="{00000000-0008-0000-1900-0000B9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695325</xdr:colOff>
          <xdr:row>19</xdr:row>
          <xdr:rowOff>180975</xdr:rowOff>
        </xdr:from>
        <xdr:to>
          <xdr:col>1</xdr:col>
          <xdr:colOff>923925</xdr:colOff>
          <xdr:row>21</xdr:row>
          <xdr:rowOff>161925</xdr:rowOff>
        </xdr:to>
        <xdr:sp macro="" textlink="">
          <xdr:nvSpPr>
            <xdr:cNvPr id="103610" name="Label_Companies" hidden="1">
              <a:extLst>
                <a:ext uri="{63B3BB69-23CF-44E3-9099-C40C66FF867C}">
                  <a14:compatExt spid="_x0000_s103610"/>
                </a:ext>
                <a:ext uri="{FF2B5EF4-FFF2-40B4-BE49-F238E27FC236}">
                  <a16:creationId xmlns:a16="http://schemas.microsoft.com/office/drawing/2014/main" id="{00000000-0008-0000-1900-0000BA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704850</xdr:colOff>
          <xdr:row>27</xdr:row>
          <xdr:rowOff>28575</xdr:rowOff>
        </xdr:from>
        <xdr:to>
          <xdr:col>1</xdr:col>
          <xdr:colOff>942975</xdr:colOff>
          <xdr:row>33</xdr:row>
          <xdr:rowOff>9525</xdr:rowOff>
        </xdr:to>
        <xdr:sp macro="" textlink="">
          <xdr:nvSpPr>
            <xdr:cNvPr id="103611" name="Label_Superfunds" hidden="1">
              <a:extLst>
                <a:ext uri="{63B3BB69-23CF-44E3-9099-C40C66FF867C}">
                  <a14:compatExt spid="_x0000_s103611"/>
                </a:ext>
                <a:ext uri="{FF2B5EF4-FFF2-40B4-BE49-F238E27FC236}">
                  <a16:creationId xmlns:a16="http://schemas.microsoft.com/office/drawing/2014/main" id="{00000000-0008-0000-1900-0000BB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723900</xdr:colOff>
          <xdr:row>23</xdr:row>
          <xdr:rowOff>66675</xdr:rowOff>
        </xdr:from>
        <xdr:to>
          <xdr:col>1</xdr:col>
          <xdr:colOff>952500</xdr:colOff>
          <xdr:row>25</xdr:row>
          <xdr:rowOff>47625</xdr:rowOff>
        </xdr:to>
        <xdr:sp macro="" textlink="">
          <xdr:nvSpPr>
            <xdr:cNvPr id="103612" name="Label_ChildBeneficiaries" hidden="1">
              <a:extLst>
                <a:ext uri="{63B3BB69-23CF-44E3-9099-C40C66FF867C}">
                  <a14:compatExt spid="_x0000_s103612"/>
                </a:ext>
                <a:ext uri="{FF2B5EF4-FFF2-40B4-BE49-F238E27FC236}">
                  <a16:creationId xmlns:a16="http://schemas.microsoft.com/office/drawing/2014/main" id="{00000000-0008-0000-1900-0000BC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0</xdr:colOff>
          <xdr:row>12</xdr:row>
          <xdr:rowOff>0</xdr:rowOff>
        </xdr:from>
        <xdr:to>
          <xdr:col>38</xdr:col>
          <xdr:colOff>0</xdr:colOff>
          <xdr:row>13</xdr:row>
          <xdr:rowOff>0</xdr:rowOff>
        </xdr:to>
        <xdr:sp macro="" textlink="">
          <xdr:nvSpPr>
            <xdr:cNvPr id="104238" name="Button 814" hidden="1">
              <a:extLst>
                <a:ext uri="{63B3BB69-23CF-44E3-9099-C40C66FF867C}">
                  <a14:compatExt spid="_x0000_s104238"/>
                </a:ext>
                <a:ext uri="{FF2B5EF4-FFF2-40B4-BE49-F238E27FC236}">
                  <a16:creationId xmlns:a16="http://schemas.microsoft.com/office/drawing/2014/main" id="{00000000-0008-0000-1900-00002E9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 All</a:t>
              </a:r>
            </a:p>
          </xdr:txBody>
        </xdr:sp>
        <xdr:clientData fPrintsWithSheet="0"/>
      </xdr:twoCellAnchor>
    </mc:Choice>
    <mc:Fallback/>
  </mc:AlternateContent>
  <xdr:twoCellAnchor editAs="oneCell">
    <xdr:from>
      <xdr:col>0</xdr:col>
      <xdr:colOff>0</xdr:colOff>
      <xdr:row>0</xdr:row>
      <xdr:rowOff>0</xdr:rowOff>
    </xdr:from>
    <xdr:to>
      <xdr:col>1</xdr:col>
      <xdr:colOff>656665</xdr:colOff>
      <xdr:row>3</xdr:row>
      <xdr:rowOff>53303</xdr:rowOff>
    </xdr:to>
    <xdr:pic>
      <xdr:nvPicPr>
        <xdr:cNvPr id="13" name="Picture 12">
          <a:extLst>
            <a:ext uri="{FF2B5EF4-FFF2-40B4-BE49-F238E27FC236}">
              <a16:creationId xmlns:a16="http://schemas.microsoft.com/office/drawing/2014/main" id="{00000000-0008-0000-1900-00000D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37</xdr:col>
          <xdr:colOff>0</xdr:colOff>
          <xdr:row>13</xdr:row>
          <xdr:rowOff>0</xdr:rowOff>
        </xdr:from>
        <xdr:to>
          <xdr:col>38</xdr:col>
          <xdr:colOff>0</xdr:colOff>
          <xdr:row>14</xdr:row>
          <xdr:rowOff>0</xdr:rowOff>
        </xdr:to>
        <xdr:sp macro="" textlink="">
          <xdr:nvSpPr>
            <xdr:cNvPr id="109851" name="Button 283" hidden="1">
              <a:extLst>
                <a:ext uri="{63B3BB69-23CF-44E3-9099-C40C66FF867C}">
                  <a14:compatExt spid="_x0000_s109851"/>
                </a:ext>
                <a:ext uri="{FF2B5EF4-FFF2-40B4-BE49-F238E27FC236}">
                  <a16:creationId xmlns:a16="http://schemas.microsoft.com/office/drawing/2014/main" id="{00000000-0008-0000-1A00-00001BAD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3</xdr:row>
          <xdr:rowOff>0</xdr:rowOff>
        </xdr:from>
        <xdr:to>
          <xdr:col>42</xdr:col>
          <xdr:colOff>228600</xdr:colOff>
          <xdr:row>5</xdr:row>
          <xdr:rowOff>190500</xdr:rowOff>
        </xdr:to>
        <xdr:sp macro="" textlink="">
          <xdr:nvSpPr>
            <xdr:cNvPr id="109852" name="Button 284" hidden="1">
              <a:extLst>
                <a:ext uri="{63B3BB69-23CF-44E3-9099-C40C66FF867C}">
                  <a14:compatExt spid="_x0000_s109852"/>
                </a:ext>
                <a:ext uri="{FF2B5EF4-FFF2-40B4-BE49-F238E27FC236}">
                  <a16:creationId xmlns:a16="http://schemas.microsoft.com/office/drawing/2014/main" id="{00000000-0008-0000-1A00-00001CAD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20</xdr:row>
          <xdr:rowOff>0</xdr:rowOff>
        </xdr:from>
        <xdr:to>
          <xdr:col>0</xdr:col>
          <xdr:colOff>733425</xdr:colOff>
          <xdr:row>22</xdr:row>
          <xdr:rowOff>0</xdr:rowOff>
        </xdr:to>
        <xdr:sp macro="" textlink="">
          <xdr:nvSpPr>
            <xdr:cNvPr id="109908" name="SpinButton_Individuals" hidden="1">
              <a:extLst>
                <a:ext uri="{63B3BB69-23CF-44E3-9099-C40C66FF867C}">
                  <a14:compatExt spid="_x0000_s109908"/>
                </a:ext>
                <a:ext uri="{FF2B5EF4-FFF2-40B4-BE49-F238E27FC236}">
                  <a16:creationId xmlns:a16="http://schemas.microsoft.com/office/drawing/2014/main" id="{00000000-0008-0000-1A00-000054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21</xdr:row>
          <xdr:rowOff>180975</xdr:rowOff>
        </xdr:from>
        <xdr:to>
          <xdr:col>0</xdr:col>
          <xdr:colOff>733425</xdr:colOff>
          <xdr:row>23</xdr:row>
          <xdr:rowOff>180975</xdr:rowOff>
        </xdr:to>
        <xdr:sp macro="" textlink="">
          <xdr:nvSpPr>
            <xdr:cNvPr id="109909" name="SpinButton_Companies" hidden="1">
              <a:extLst>
                <a:ext uri="{63B3BB69-23CF-44E3-9099-C40C66FF867C}">
                  <a14:compatExt spid="_x0000_s109909"/>
                </a:ext>
                <a:ext uri="{FF2B5EF4-FFF2-40B4-BE49-F238E27FC236}">
                  <a16:creationId xmlns:a16="http://schemas.microsoft.com/office/drawing/2014/main" id="{00000000-0008-0000-1A00-000055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23</xdr:row>
          <xdr:rowOff>180975</xdr:rowOff>
        </xdr:from>
        <xdr:to>
          <xdr:col>0</xdr:col>
          <xdr:colOff>733425</xdr:colOff>
          <xdr:row>25</xdr:row>
          <xdr:rowOff>180975</xdr:rowOff>
        </xdr:to>
        <xdr:sp macro="" textlink="">
          <xdr:nvSpPr>
            <xdr:cNvPr id="109910" name="SpinButton_SuperFunds" hidden="1">
              <a:extLst>
                <a:ext uri="{63B3BB69-23CF-44E3-9099-C40C66FF867C}">
                  <a14:compatExt spid="_x0000_s109910"/>
                </a:ext>
                <a:ext uri="{FF2B5EF4-FFF2-40B4-BE49-F238E27FC236}">
                  <a16:creationId xmlns:a16="http://schemas.microsoft.com/office/drawing/2014/main" id="{00000000-0008-0000-1A00-000056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34</xdr:row>
          <xdr:rowOff>0</xdr:rowOff>
        </xdr:from>
        <xdr:to>
          <xdr:col>0</xdr:col>
          <xdr:colOff>733425</xdr:colOff>
          <xdr:row>35</xdr:row>
          <xdr:rowOff>190500</xdr:rowOff>
        </xdr:to>
        <xdr:sp macro="" textlink="">
          <xdr:nvSpPr>
            <xdr:cNvPr id="109911" name="SpinButton_ChildBeneficiaries" hidden="1">
              <a:extLst>
                <a:ext uri="{63B3BB69-23CF-44E3-9099-C40C66FF867C}">
                  <a14:compatExt spid="_x0000_s109911"/>
                </a:ext>
                <a:ext uri="{FF2B5EF4-FFF2-40B4-BE49-F238E27FC236}">
                  <a16:creationId xmlns:a16="http://schemas.microsoft.com/office/drawing/2014/main" id="{00000000-0008-0000-1A00-000057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114300</xdr:colOff>
          <xdr:row>21</xdr:row>
          <xdr:rowOff>171450</xdr:rowOff>
        </xdr:to>
        <xdr:sp macro="" textlink="">
          <xdr:nvSpPr>
            <xdr:cNvPr id="109912" name="Label_Individuals" hidden="1">
              <a:extLst>
                <a:ext uri="{63B3BB69-23CF-44E3-9099-C40C66FF867C}">
                  <a14:compatExt spid="_x0000_s109912"/>
                </a:ext>
                <a:ext uri="{FF2B5EF4-FFF2-40B4-BE49-F238E27FC236}">
                  <a16:creationId xmlns:a16="http://schemas.microsoft.com/office/drawing/2014/main" id="{00000000-0008-0000-1A00-000058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180975</xdr:rowOff>
        </xdr:from>
        <xdr:to>
          <xdr:col>2</xdr:col>
          <xdr:colOff>114300</xdr:colOff>
          <xdr:row>23</xdr:row>
          <xdr:rowOff>161925</xdr:rowOff>
        </xdr:to>
        <xdr:sp macro="" textlink="">
          <xdr:nvSpPr>
            <xdr:cNvPr id="109913" name="Label_Companies" hidden="1">
              <a:extLst>
                <a:ext uri="{63B3BB69-23CF-44E3-9099-C40C66FF867C}">
                  <a14:compatExt spid="_x0000_s109913"/>
                </a:ext>
                <a:ext uri="{FF2B5EF4-FFF2-40B4-BE49-F238E27FC236}">
                  <a16:creationId xmlns:a16="http://schemas.microsoft.com/office/drawing/2014/main" id="{00000000-0008-0000-1A00-000059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180975</xdr:rowOff>
        </xdr:from>
        <xdr:to>
          <xdr:col>2</xdr:col>
          <xdr:colOff>114300</xdr:colOff>
          <xdr:row>25</xdr:row>
          <xdr:rowOff>161925</xdr:rowOff>
        </xdr:to>
        <xdr:sp macro="" textlink="">
          <xdr:nvSpPr>
            <xdr:cNvPr id="109914" name="Label_Superfunds" hidden="1">
              <a:extLst>
                <a:ext uri="{63B3BB69-23CF-44E3-9099-C40C66FF867C}">
                  <a14:compatExt spid="_x0000_s109914"/>
                </a:ext>
                <a:ext uri="{FF2B5EF4-FFF2-40B4-BE49-F238E27FC236}">
                  <a16:creationId xmlns:a16="http://schemas.microsoft.com/office/drawing/2014/main" id="{00000000-0008-0000-1A00-00005A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2</xdr:col>
          <xdr:colOff>114300</xdr:colOff>
          <xdr:row>35</xdr:row>
          <xdr:rowOff>161925</xdr:rowOff>
        </xdr:to>
        <xdr:sp macro="" textlink="">
          <xdr:nvSpPr>
            <xdr:cNvPr id="109915" name="Label_ChildBeneficiaries" hidden="1">
              <a:extLst>
                <a:ext uri="{63B3BB69-23CF-44E3-9099-C40C66FF867C}">
                  <a14:compatExt spid="_x0000_s109915"/>
                </a:ext>
                <a:ext uri="{FF2B5EF4-FFF2-40B4-BE49-F238E27FC236}">
                  <a16:creationId xmlns:a16="http://schemas.microsoft.com/office/drawing/2014/main" id="{00000000-0008-0000-1A00-00005BA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542925</xdr:colOff>
      <xdr:row>3</xdr:row>
      <xdr:rowOff>50902</xdr:rowOff>
    </xdr:to>
    <xdr:pic>
      <xdr:nvPicPr>
        <xdr:cNvPr id="13" name="Picture 12">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1866900</xdr:colOff>
      <xdr:row>4</xdr:row>
      <xdr:rowOff>35934</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1866900</xdr:colOff>
      <xdr:row>4</xdr:row>
      <xdr:rowOff>35934</xdr:rowOff>
    </xdr:to>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295275</xdr:colOff>
      <xdr:row>3</xdr:row>
      <xdr:rowOff>108324</xdr:rowOff>
    </xdr:to>
    <xdr:pic>
      <xdr:nvPicPr>
        <xdr:cNvPr id="4" name="Picture 3">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1866900</xdr:colOff>
      <xdr:row>3</xdr:row>
      <xdr:rowOff>35934</xdr:rowOff>
    </xdr:to>
    <xdr:pic>
      <xdr:nvPicPr>
        <xdr:cNvPr id="4" name="Picture 3">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11206</xdr:colOff>
      <xdr:row>0</xdr:row>
      <xdr:rowOff>0</xdr:rowOff>
    </xdr:from>
    <xdr:to>
      <xdr:col>2</xdr:col>
      <xdr:colOff>211231</xdr:colOff>
      <xdr:row>3</xdr:row>
      <xdr:rowOff>26409</xdr:rowOff>
    </xdr:to>
    <xdr:pic>
      <xdr:nvPicPr>
        <xdr:cNvPr id="4" name="Picture 3">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stretch>
          <a:fillRect/>
        </a:stretch>
      </xdr:blipFill>
      <xdr:spPr>
        <a:xfrm>
          <a:off x="11206" y="0"/>
          <a:ext cx="1869701" cy="631527"/>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152400</xdr:rowOff>
    </xdr:from>
    <xdr:to>
      <xdr:col>1</xdr:col>
      <xdr:colOff>57416</xdr:colOff>
      <xdr:row>4</xdr:row>
      <xdr:rowOff>193794</xdr:rowOff>
    </xdr:to>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stretch>
          <a:fillRect/>
        </a:stretch>
      </xdr:blipFill>
      <xdr:spPr>
        <a:xfrm>
          <a:off x="0" y="152400"/>
          <a:ext cx="2391041" cy="8414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457200</xdr:colOff>
          <xdr:row>40</xdr:row>
          <xdr:rowOff>57150</xdr:rowOff>
        </xdr:from>
        <xdr:to>
          <xdr:col>0</xdr:col>
          <xdr:colOff>1104900</xdr:colOff>
          <xdr:row>42</xdr:row>
          <xdr:rowOff>19050</xdr:rowOff>
        </xdr:to>
        <xdr:sp macro="" textlink="">
          <xdr:nvSpPr>
            <xdr:cNvPr id="357425" name="Label1_CashbookInflows" hidden="1">
              <a:extLst>
                <a:ext uri="{63B3BB69-23CF-44E3-9099-C40C66FF867C}">
                  <a14:compatExt spid="_x0000_s357425"/>
                </a:ext>
                <a:ext uri="{FF2B5EF4-FFF2-40B4-BE49-F238E27FC236}">
                  <a16:creationId xmlns:a16="http://schemas.microsoft.com/office/drawing/2014/main" id="{00000000-0008-0000-2000-0000317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44</xdr:row>
          <xdr:rowOff>114300</xdr:rowOff>
        </xdr:from>
        <xdr:to>
          <xdr:col>0</xdr:col>
          <xdr:colOff>1285875</xdr:colOff>
          <xdr:row>45</xdr:row>
          <xdr:rowOff>114300</xdr:rowOff>
        </xdr:to>
        <xdr:sp macro="" textlink="">
          <xdr:nvSpPr>
            <xdr:cNvPr id="357427" name="Label1_Cashbookoutflows" hidden="1">
              <a:extLst>
                <a:ext uri="{63B3BB69-23CF-44E3-9099-C40C66FF867C}">
                  <a14:compatExt spid="_x0000_s357427"/>
                </a:ext>
                <a:ext uri="{FF2B5EF4-FFF2-40B4-BE49-F238E27FC236}">
                  <a16:creationId xmlns:a16="http://schemas.microsoft.com/office/drawing/2014/main" id="{00000000-0008-0000-2000-0000337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38</xdr:row>
          <xdr:rowOff>152400</xdr:rowOff>
        </xdr:from>
        <xdr:to>
          <xdr:col>0</xdr:col>
          <xdr:colOff>409575</xdr:colOff>
          <xdr:row>43</xdr:row>
          <xdr:rowOff>19050</xdr:rowOff>
        </xdr:to>
        <xdr:sp macro="" textlink="">
          <xdr:nvSpPr>
            <xdr:cNvPr id="357422" name="SpinButton_Cashbookinflows" hidden="1">
              <a:extLst>
                <a:ext uri="{63B3BB69-23CF-44E3-9099-C40C66FF867C}">
                  <a14:compatExt spid="_x0000_s357422"/>
                </a:ext>
                <a:ext uri="{FF2B5EF4-FFF2-40B4-BE49-F238E27FC236}">
                  <a16:creationId xmlns:a16="http://schemas.microsoft.com/office/drawing/2014/main" id="{00000000-0008-0000-2000-00002E7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xdr:row>
          <xdr:rowOff>19050</xdr:rowOff>
        </xdr:from>
        <xdr:to>
          <xdr:col>0</xdr:col>
          <xdr:colOff>400050</xdr:colOff>
          <xdr:row>47</xdr:row>
          <xdr:rowOff>57150</xdr:rowOff>
        </xdr:to>
        <xdr:sp macro="" textlink="">
          <xdr:nvSpPr>
            <xdr:cNvPr id="357424" name="SpinButton1_Cashbookoutflows" hidden="1">
              <a:extLst>
                <a:ext uri="{63B3BB69-23CF-44E3-9099-C40C66FF867C}">
                  <a14:compatExt spid="_x0000_s357424"/>
                </a:ext>
                <a:ext uri="{FF2B5EF4-FFF2-40B4-BE49-F238E27FC236}">
                  <a16:creationId xmlns:a16="http://schemas.microsoft.com/office/drawing/2014/main" id="{00000000-0008-0000-2000-0000307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1</xdr:col>
      <xdr:colOff>47625</xdr:colOff>
      <xdr:row>3</xdr:row>
      <xdr:rowOff>121659</xdr:rowOff>
    </xdr:to>
    <xdr:pic>
      <xdr:nvPicPr>
        <xdr:cNvPr id="4" name="Picture 3">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1"/>
        <a:stretch>
          <a:fillRect/>
        </a:stretch>
      </xdr:blipFill>
      <xdr:spPr>
        <a:xfrm>
          <a:off x="28575" y="47625"/>
          <a:ext cx="1866900" cy="636009"/>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4</xdr:col>
      <xdr:colOff>86139</xdr:colOff>
      <xdr:row>4</xdr:row>
      <xdr:rowOff>72791</xdr:rowOff>
    </xdr:to>
    <xdr:pic>
      <xdr:nvPicPr>
        <xdr:cNvPr id="4" name="Picture 3">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1809750</xdr:colOff>
      <xdr:row>3</xdr:row>
      <xdr:rowOff>74034</xdr:rowOff>
    </xdr:to>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1"/>
        <a:stretch>
          <a:fillRect/>
        </a:stretch>
      </xdr:blipFill>
      <xdr:spPr>
        <a:xfrm>
          <a:off x="0" y="0"/>
          <a:ext cx="1809750" cy="636009"/>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0</xdr:col>
      <xdr:colOff>1866900</xdr:colOff>
      <xdr:row>3</xdr:row>
      <xdr:rowOff>102609</xdr:rowOff>
    </xdr:to>
    <xdr:pic>
      <xdr:nvPicPr>
        <xdr:cNvPr id="4" name="Picture 3">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stretch>
          <a:fillRect/>
        </a:stretch>
      </xdr:blipFill>
      <xdr:spPr>
        <a:xfrm>
          <a:off x="0" y="28575"/>
          <a:ext cx="1866900" cy="63600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6</xdr:row>
          <xdr:rowOff>76200</xdr:rowOff>
        </xdr:from>
        <xdr:to>
          <xdr:col>12</xdr:col>
          <xdr:colOff>228600</xdr:colOff>
          <xdr:row>9</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25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Insert new column</a:t>
              </a:r>
            </a:p>
          </xdr:txBody>
        </xdr:sp>
        <xdr:clientData fPrintsWithSheet="0"/>
      </xdr:twoCellAnchor>
    </mc:Choice>
    <mc:Fallback/>
  </mc:AlternateContent>
  <xdr:twoCellAnchor editAs="oneCell">
    <xdr:from>
      <xdr:col>0</xdr:col>
      <xdr:colOff>0</xdr:colOff>
      <xdr:row>0</xdr:row>
      <xdr:rowOff>0</xdr:rowOff>
    </xdr:from>
    <xdr:to>
      <xdr:col>2</xdr:col>
      <xdr:colOff>523875</xdr:colOff>
      <xdr:row>3</xdr:row>
      <xdr:rowOff>54984</xdr:rowOff>
    </xdr:to>
    <xdr:pic>
      <xdr:nvPicPr>
        <xdr:cNvPr id="4" name="Picture 3">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6</xdr:row>
          <xdr:rowOff>76200</xdr:rowOff>
        </xdr:from>
        <xdr:to>
          <xdr:col>13</xdr:col>
          <xdr:colOff>228600</xdr:colOff>
          <xdr:row>9</xdr:row>
          <xdr:rowOff>0</xdr:rowOff>
        </xdr:to>
        <xdr:sp macro="" textlink="">
          <xdr:nvSpPr>
            <xdr:cNvPr id="116740" name="Button 4" hidden="1">
              <a:extLst>
                <a:ext uri="{63B3BB69-23CF-44E3-9099-C40C66FF867C}">
                  <a14:compatExt spid="_x0000_s116740"/>
                </a:ext>
                <a:ext uri="{FF2B5EF4-FFF2-40B4-BE49-F238E27FC236}">
                  <a16:creationId xmlns:a16="http://schemas.microsoft.com/office/drawing/2014/main" id="{00000000-0008-0000-2600-000004C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Insert new column</a:t>
              </a:r>
            </a:p>
          </xdr:txBody>
        </xdr:sp>
        <xdr:clientData fPrintsWithSheet="0"/>
      </xdr:twoCellAnchor>
    </mc:Choice>
    <mc:Fallback/>
  </mc:AlternateContent>
  <xdr:twoCellAnchor editAs="oneCell">
    <xdr:from>
      <xdr:col>0</xdr:col>
      <xdr:colOff>0</xdr:colOff>
      <xdr:row>0</xdr:row>
      <xdr:rowOff>0</xdr:rowOff>
    </xdr:from>
    <xdr:to>
      <xdr:col>1</xdr:col>
      <xdr:colOff>523875</xdr:colOff>
      <xdr:row>3</xdr:row>
      <xdr:rowOff>54984</xdr:rowOff>
    </xdr:to>
    <xdr:pic>
      <xdr:nvPicPr>
        <xdr:cNvPr id="5" name="Picture 4">
          <a:extLst>
            <a:ext uri="{FF2B5EF4-FFF2-40B4-BE49-F238E27FC236}">
              <a16:creationId xmlns:a16="http://schemas.microsoft.com/office/drawing/2014/main" id="{00000000-0008-0000-2600-000005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19050</xdr:colOff>
      <xdr:row>4</xdr:row>
      <xdr:rowOff>74034</xdr:rowOff>
    </xdr:to>
    <xdr:pic>
      <xdr:nvPicPr>
        <xdr:cNvPr id="4" name="Picture 3">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19050</xdr:colOff>
      <xdr:row>3</xdr:row>
      <xdr:rowOff>54984</xdr:rowOff>
    </xdr:to>
    <xdr:pic>
      <xdr:nvPicPr>
        <xdr:cNvPr id="4" name="Picture 3">
          <a:extLst>
            <a:ext uri="{FF2B5EF4-FFF2-40B4-BE49-F238E27FC236}">
              <a16:creationId xmlns:a16="http://schemas.microsoft.com/office/drawing/2014/main" id="{00000000-0008-0000-28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361950</xdr:colOff>
      <xdr:row>4</xdr:row>
      <xdr:rowOff>74034</xdr:rowOff>
    </xdr:to>
    <xdr:pic>
      <xdr:nvPicPr>
        <xdr:cNvPr id="4" name="Picture 3">
          <a:extLst>
            <a:ext uri="{FF2B5EF4-FFF2-40B4-BE49-F238E27FC236}">
              <a16:creationId xmlns:a16="http://schemas.microsoft.com/office/drawing/2014/main" id="{00000000-0008-0000-29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400050</xdr:colOff>
      <xdr:row>4</xdr:row>
      <xdr:rowOff>74034</xdr:rowOff>
    </xdr:to>
    <xdr:pic>
      <xdr:nvPicPr>
        <xdr:cNvPr id="4" name="Picture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361950</xdr:colOff>
      <xdr:row>4</xdr:row>
      <xdr:rowOff>74034</xdr:rowOff>
    </xdr:to>
    <xdr:pic>
      <xdr:nvPicPr>
        <xdr:cNvPr id="4" name="Picture 3">
          <a:extLst>
            <a:ext uri="{FF2B5EF4-FFF2-40B4-BE49-F238E27FC236}">
              <a16:creationId xmlns:a16="http://schemas.microsoft.com/office/drawing/2014/main" id="{00000000-0008-0000-2B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xdr:from>
      <xdr:col>3</xdr:col>
      <xdr:colOff>323850</xdr:colOff>
      <xdr:row>77</xdr:row>
      <xdr:rowOff>0</xdr:rowOff>
    </xdr:from>
    <xdr:to>
      <xdr:col>4</xdr:col>
      <xdr:colOff>0</xdr:colOff>
      <xdr:row>83</xdr:row>
      <xdr:rowOff>0</xdr:rowOff>
    </xdr:to>
    <xdr:sp macro="" textlink="">
      <xdr:nvSpPr>
        <xdr:cNvPr id="2" name="Rectangle 1">
          <a:extLst>
            <a:ext uri="{FF2B5EF4-FFF2-40B4-BE49-F238E27FC236}">
              <a16:creationId xmlns:a16="http://schemas.microsoft.com/office/drawing/2014/main" id="{00000000-0008-0000-2C00-000002000000}"/>
            </a:ext>
          </a:extLst>
        </xdr:cNvPr>
        <xdr:cNvSpPr/>
      </xdr:nvSpPr>
      <xdr:spPr bwMode="auto">
        <a:xfrm>
          <a:off x="3924300" y="7981950"/>
          <a:ext cx="923925" cy="904875"/>
        </a:xfrm>
        <a:prstGeom prst="rect">
          <a:avLst/>
        </a:prstGeom>
        <a:noFill/>
        <a:ln w="19050" cap="flat" cmpd="sng" algn="ctr">
          <a:solidFill>
            <a:sysClr val="windowText" lastClr="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t" upright="1"/>
        <a:lstStyle/>
        <a:p>
          <a:endParaRPr lang="en-AU"/>
        </a:p>
      </xdr:txBody>
    </xdr:sp>
    <xdr:clientData/>
  </xdr:twoCellAnchor>
  <mc:AlternateContent xmlns:mc="http://schemas.openxmlformats.org/markup-compatibility/2006">
    <mc:Choice xmlns:a14="http://schemas.microsoft.com/office/drawing/2010/main" Requires="a14">
      <xdr:twoCellAnchor>
        <xdr:from>
          <xdr:col>0</xdr:col>
          <xdr:colOff>47625</xdr:colOff>
          <xdr:row>48</xdr:row>
          <xdr:rowOff>66675</xdr:rowOff>
        </xdr:from>
        <xdr:to>
          <xdr:col>0</xdr:col>
          <xdr:colOff>619125</xdr:colOff>
          <xdr:row>49</xdr:row>
          <xdr:rowOff>133350</xdr:rowOff>
        </xdr:to>
        <xdr:sp macro="" textlink="">
          <xdr:nvSpPr>
            <xdr:cNvPr id="44042" name="Button 10" hidden="1">
              <a:extLst>
                <a:ext uri="{63B3BB69-23CF-44E3-9099-C40C66FF867C}">
                  <a14:compatExt spid="_x0000_s44042"/>
                </a:ext>
                <a:ext uri="{FF2B5EF4-FFF2-40B4-BE49-F238E27FC236}">
                  <a16:creationId xmlns:a16="http://schemas.microsoft.com/office/drawing/2014/main" id="{00000000-0008-0000-2C00-00000A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1" i="0" u="none" strike="noStrike" baseline="0">
                  <a:solidFill>
                    <a:srgbClr val="000000"/>
                  </a:solidFill>
                  <a:latin typeface="Arial"/>
                  <a:cs typeface="Arial"/>
                </a:rPr>
                <a:t>7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50</xdr:row>
          <xdr:rowOff>95250</xdr:rowOff>
        </xdr:from>
        <xdr:to>
          <xdr:col>0</xdr:col>
          <xdr:colOff>628650</xdr:colOff>
          <xdr:row>52</xdr:row>
          <xdr:rowOff>0</xdr:rowOff>
        </xdr:to>
        <xdr:sp macro="" textlink="">
          <xdr:nvSpPr>
            <xdr:cNvPr id="44043" name="Button 11" hidden="1">
              <a:extLst>
                <a:ext uri="{63B3BB69-23CF-44E3-9099-C40C66FF867C}">
                  <a14:compatExt spid="_x0000_s44043"/>
                </a:ext>
                <a:ext uri="{FF2B5EF4-FFF2-40B4-BE49-F238E27FC236}">
                  <a16:creationId xmlns:a16="http://schemas.microsoft.com/office/drawing/2014/main" id="{00000000-0008-0000-2C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1" i="0" u="none" strike="noStrike" baseline="0">
                  <a:solidFill>
                    <a:srgbClr val="000000"/>
                  </a:solidFill>
                  <a:latin typeface="Arial"/>
                  <a:cs typeface="Arial"/>
                </a:rPr>
                <a:t>25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0</xdr:rowOff>
        </xdr:from>
        <xdr:to>
          <xdr:col>2</xdr:col>
          <xdr:colOff>28575</xdr:colOff>
          <xdr:row>88</xdr:row>
          <xdr:rowOff>38100</xdr:rowOff>
        </xdr:to>
        <xdr:sp macro="" textlink="">
          <xdr:nvSpPr>
            <xdr:cNvPr id="44052" name="Drop Down 20" hidden="1">
              <a:extLst>
                <a:ext uri="{63B3BB69-23CF-44E3-9099-C40C66FF867C}">
                  <a14:compatExt spid="_x0000_s44052"/>
                </a:ext>
                <a:ext uri="{FF2B5EF4-FFF2-40B4-BE49-F238E27FC236}">
                  <a16:creationId xmlns:a16="http://schemas.microsoft.com/office/drawing/2014/main" id="{00000000-0008-0000-2C00-00001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47625</xdr:rowOff>
    </xdr:from>
    <xdr:to>
      <xdr:col>1</xdr:col>
      <xdr:colOff>762000</xdr:colOff>
      <xdr:row>3</xdr:row>
      <xdr:rowOff>121659</xdr:rowOff>
    </xdr:to>
    <xdr:pic>
      <xdr:nvPicPr>
        <xdr:cNvPr id="8" name="Picture 7">
          <a:extLst>
            <a:ext uri="{FF2B5EF4-FFF2-40B4-BE49-F238E27FC236}">
              <a16:creationId xmlns:a16="http://schemas.microsoft.com/office/drawing/2014/main" id="{00000000-0008-0000-2C00-000008000000}"/>
            </a:ext>
          </a:extLst>
        </xdr:cNvPr>
        <xdr:cNvPicPr>
          <a:picLocks noChangeAspect="1"/>
        </xdr:cNvPicPr>
      </xdr:nvPicPr>
      <xdr:blipFill>
        <a:blip xmlns:r="http://schemas.openxmlformats.org/officeDocument/2006/relationships" r:embed="rId1"/>
        <a:stretch>
          <a:fillRect/>
        </a:stretch>
      </xdr:blipFill>
      <xdr:spPr>
        <a:xfrm>
          <a:off x="0" y="47625"/>
          <a:ext cx="1866900" cy="636009"/>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895350</xdr:colOff>
      <xdr:row>4</xdr:row>
      <xdr:rowOff>74034</xdr:rowOff>
    </xdr:to>
    <xdr:pic>
      <xdr:nvPicPr>
        <xdr:cNvPr id="4" name="Picture 3">
          <a:extLst>
            <a:ext uri="{FF2B5EF4-FFF2-40B4-BE49-F238E27FC236}">
              <a16:creationId xmlns:a16="http://schemas.microsoft.com/office/drawing/2014/main" id="{00000000-0008-0000-2D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1095375</xdr:colOff>
      <xdr:row>4</xdr:row>
      <xdr:rowOff>74034</xdr:rowOff>
    </xdr:to>
    <xdr:pic>
      <xdr:nvPicPr>
        <xdr:cNvPr id="4" name="Picture 3">
          <a:extLst>
            <a:ext uri="{FF2B5EF4-FFF2-40B4-BE49-F238E27FC236}">
              <a16:creationId xmlns:a16="http://schemas.microsoft.com/office/drawing/2014/main" id="{00000000-0008-0000-2E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5</xdr:row>
          <xdr:rowOff>19050</xdr:rowOff>
        </xdr:from>
        <xdr:to>
          <xdr:col>11</xdr:col>
          <xdr:colOff>228600</xdr:colOff>
          <xdr:row>8</xdr:row>
          <xdr:rowOff>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2F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Help</a:t>
              </a:r>
            </a:p>
          </xdr:txBody>
        </xdr:sp>
        <xdr:clientData fPrintsWithSheet="0"/>
      </xdr:twoCellAnchor>
    </mc:Choice>
    <mc:Fallback/>
  </mc:AlternateContent>
  <xdr:twoCellAnchor editAs="oneCell">
    <xdr:from>
      <xdr:col>0</xdr:col>
      <xdr:colOff>0</xdr:colOff>
      <xdr:row>1</xdr:row>
      <xdr:rowOff>0</xdr:rowOff>
    </xdr:from>
    <xdr:to>
      <xdr:col>2</xdr:col>
      <xdr:colOff>590550</xdr:colOff>
      <xdr:row>4</xdr:row>
      <xdr:rowOff>74034</xdr:rowOff>
    </xdr:to>
    <xdr:pic>
      <xdr:nvPicPr>
        <xdr:cNvPr id="5" name="Picture 4">
          <a:extLst>
            <a:ext uri="{FF2B5EF4-FFF2-40B4-BE49-F238E27FC236}">
              <a16:creationId xmlns:a16="http://schemas.microsoft.com/office/drawing/2014/main" id="{00000000-0008-0000-2F00-000005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xdr:from>
      <xdr:col>8</xdr:col>
      <xdr:colOff>28575</xdr:colOff>
      <xdr:row>90</xdr:row>
      <xdr:rowOff>85725</xdr:rowOff>
    </xdr:from>
    <xdr:to>
      <xdr:col>9</xdr:col>
      <xdr:colOff>28575</xdr:colOff>
      <xdr:row>98</xdr:row>
      <xdr:rowOff>76200</xdr:rowOff>
    </xdr:to>
    <xdr:sp macro="" textlink="">
      <xdr:nvSpPr>
        <xdr:cNvPr id="89708" name="Line 6">
          <a:extLst>
            <a:ext uri="{FF2B5EF4-FFF2-40B4-BE49-F238E27FC236}">
              <a16:creationId xmlns:a16="http://schemas.microsoft.com/office/drawing/2014/main" id="{00000000-0008-0000-3000-00006C5E0100}"/>
            </a:ext>
          </a:extLst>
        </xdr:cNvPr>
        <xdr:cNvSpPr>
          <a:spLocks noChangeShapeType="1"/>
        </xdr:cNvSpPr>
      </xdr:nvSpPr>
      <xdr:spPr bwMode="auto">
        <a:xfrm flipV="1">
          <a:off x="4667250" y="10487025"/>
          <a:ext cx="781050" cy="13144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19050</xdr:colOff>
      <xdr:row>96</xdr:row>
      <xdr:rowOff>85725</xdr:rowOff>
    </xdr:from>
    <xdr:to>
      <xdr:col>9</xdr:col>
      <xdr:colOff>28575</xdr:colOff>
      <xdr:row>98</xdr:row>
      <xdr:rowOff>76200</xdr:rowOff>
    </xdr:to>
    <xdr:sp macro="" textlink="">
      <xdr:nvSpPr>
        <xdr:cNvPr id="89709" name="Line 7">
          <a:extLst>
            <a:ext uri="{FF2B5EF4-FFF2-40B4-BE49-F238E27FC236}">
              <a16:creationId xmlns:a16="http://schemas.microsoft.com/office/drawing/2014/main" id="{00000000-0008-0000-3000-00006D5E0100}"/>
            </a:ext>
          </a:extLst>
        </xdr:cNvPr>
        <xdr:cNvSpPr>
          <a:spLocks noChangeShapeType="1"/>
        </xdr:cNvSpPr>
      </xdr:nvSpPr>
      <xdr:spPr bwMode="auto">
        <a:xfrm flipV="1">
          <a:off x="4657725" y="11477625"/>
          <a:ext cx="790575"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57150</xdr:colOff>
          <xdr:row>8</xdr:row>
          <xdr:rowOff>142875</xdr:rowOff>
        </xdr:from>
        <xdr:to>
          <xdr:col>8</xdr:col>
          <xdr:colOff>76200</xdr:colOff>
          <xdr:row>10</xdr:row>
          <xdr:rowOff>19050</xdr:rowOff>
        </xdr:to>
        <xdr:sp macro="" textlink="">
          <xdr:nvSpPr>
            <xdr:cNvPr id="89089" name="Drop Down 1" hidden="1">
              <a:extLst>
                <a:ext uri="{63B3BB69-23CF-44E3-9099-C40C66FF867C}">
                  <a14:compatExt spid="_x0000_s89089"/>
                </a:ext>
                <a:ext uri="{FF2B5EF4-FFF2-40B4-BE49-F238E27FC236}">
                  <a16:creationId xmlns:a16="http://schemas.microsoft.com/office/drawing/2014/main" id="{00000000-0008-0000-3000-00000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0</xdr:rowOff>
        </xdr:from>
        <xdr:to>
          <xdr:col>2</xdr:col>
          <xdr:colOff>0</xdr:colOff>
          <xdr:row>17</xdr:row>
          <xdr:rowOff>0</xdr:rowOff>
        </xdr:to>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3000-00000C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WP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0</xdr:rowOff>
        </xdr:from>
        <xdr:to>
          <xdr:col>20</xdr:col>
          <xdr:colOff>228600</xdr:colOff>
          <xdr:row>11</xdr:row>
          <xdr:rowOff>47625</xdr:rowOff>
        </xdr:to>
        <xdr:sp macro="" textlink="">
          <xdr:nvSpPr>
            <xdr:cNvPr id="89185" name="CapitalRecToggleButton" hidden="1">
              <a:extLst>
                <a:ext uri="{63B3BB69-23CF-44E3-9099-C40C66FF867C}">
                  <a14:compatExt spid="_x0000_s89185"/>
                </a:ext>
                <a:ext uri="{FF2B5EF4-FFF2-40B4-BE49-F238E27FC236}">
                  <a16:creationId xmlns:a16="http://schemas.microsoft.com/office/drawing/2014/main" id="{00000000-0008-0000-3000-00006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57150</xdr:rowOff>
        </xdr:from>
        <xdr:to>
          <xdr:col>8</xdr:col>
          <xdr:colOff>76200</xdr:colOff>
          <xdr:row>11</xdr:row>
          <xdr:rowOff>9525</xdr:rowOff>
        </xdr:to>
        <xdr:sp macro="" textlink="">
          <xdr:nvSpPr>
            <xdr:cNvPr id="89186" name="Drop Down 98" hidden="1">
              <a:extLst>
                <a:ext uri="{63B3BB69-23CF-44E3-9099-C40C66FF867C}">
                  <a14:compatExt spid="_x0000_s89186"/>
                </a:ext>
                <a:ext uri="{FF2B5EF4-FFF2-40B4-BE49-F238E27FC236}">
                  <a16:creationId xmlns:a16="http://schemas.microsoft.com/office/drawing/2014/main" id="{00000000-0008-0000-3000-00006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85725</xdr:rowOff>
    </xdr:from>
    <xdr:to>
      <xdr:col>3</xdr:col>
      <xdr:colOff>352425</xdr:colOff>
      <xdr:row>3</xdr:row>
      <xdr:rowOff>83559</xdr:rowOff>
    </xdr:to>
    <xdr:pic>
      <xdr:nvPicPr>
        <xdr:cNvPr id="10" name="Picture 9">
          <a:extLst>
            <a:ext uri="{FF2B5EF4-FFF2-40B4-BE49-F238E27FC236}">
              <a16:creationId xmlns:a16="http://schemas.microsoft.com/office/drawing/2014/main" id="{00000000-0008-0000-3000-00000A000000}"/>
            </a:ext>
          </a:extLst>
        </xdr:cNvPr>
        <xdr:cNvPicPr>
          <a:picLocks noChangeAspect="1"/>
        </xdr:cNvPicPr>
      </xdr:nvPicPr>
      <xdr:blipFill>
        <a:blip xmlns:r="http://schemas.openxmlformats.org/officeDocument/2006/relationships" r:embed="rId1"/>
        <a:stretch>
          <a:fillRect/>
        </a:stretch>
      </xdr:blipFill>
      <xdr:spPr>
        <a:xfrm>
          <a:off x="0" y="85725"/>
          <a:ext cx="1866900" cy="636009"/>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1095375</xdr:colOff>
      <xdr:row>4</xdr:row>
      <xdr:rowOff>45459</xdr:rowOff>
    </xdr:to>
    <xdr:pic>
      <xdr:nvPicPr>
        <xdr:cNvPr id="3" name="Picture 2">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9525</xdr:colOff>
      <xdr:row>0</xdr:row>
      <xdr:rowOff>38100</xdr:rowOff>
    </xdr:from>
    <xdr:to>
      <xdr:col>3</xdr:col>
      <xdr:colOff>104775</xdr:colOff>
      <xdr:row>3</xdr:row>
      <xdr:rowOff>112134</xdr:rowOff>
    </xdr:to>
    <xdr:pic>
      <xdr:nvPicPr>
        <xdr:cNvPr id="4" name="Picture 3">
          <a:extLst>
            <a:ext uri="{FF2B5EF4-FFF2-40B4-BE49-F238E27FC236}">
              <a16:creationId xmlns:a16="http://schemas.microsoft.com/office/drawing/2014/main" id="{00000000-0008-0000-3200-000004000000}"/>
            </a:ext>
          </a:extLst>
        </xdr:cNvPr>
        <xdr:cNvPicPr>
          <a:picLocks noChangeAspect="1"/>
        </xdr:cNvPicPr>
      </xdr:nvPicPr>
      <xdr:blipFill>
        <a:blip xmlns:r="http://schemas.openxmlformats.org/officeDocument/2006/relationships" r:embed="rId1"/>
        <a:stretch>
          <a:fillRect/>
        </a:stretch>
      </xdr:blipFill>
      <xdr:spPr>
        <a:xfrm>
          <a:off x="9525" y="38100"/>
          <a:ext cx="1866900" cy="63600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14</xdr:row>
          <xdr:rowOff>142875</xdr:rowOff>
        </xdr:from>
        <xdr:to>
          <xdr:col>5</xdr:col>
          <xdr:colOff>809625</xdr:colOff>
          <xdr:row>16</xdr:row>
          <xdr:rowOff>19050</xdr:rowOff>
        </xdr:to>
        <xdr:sp macro="" textlink="">
          <xdr:nvSpPr>
            <xdr:cNvPr id="107521" name="Drop Down 1" hidden="1">
              <a:extLst>
                <a:ext uri="{63B3BB69-23CF-44E3-9099-C40C66FF867C}">
                  <a14:compatExt spid="_x0000_s107521"/>
                </a:ext>
                <a:ext uri="{FF2B5EF4-FFF2-40B4-BE49-F238E27FC236}">
                  <a16:creationId xmlns:a16="http://schemas.microsoft.com/office/drawing/2014/main" id="{00000000-0008-0000-3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895350</xdr:colOff>
          <xdr:row>14</xdr:row>
          <xdr:rowOff>142875</xdr:rowOff>
        </xdr:from>
        <xdr:to>
          <xdr:col>6</xdr:col>
          <xdr:colOff>819150</xdr:colOff>
          <xdr:row>16</xdr:row>
          <xdr:rowOff>19050</xdr:rowOff>
        </xdr:to>
        <xdr:sp macro="" textlink="">
          <xdr:nvSpPr>
            <xdr:cNvPr id="107524" name="Drop Down 4" hidden="1">
              <a:extLst>
                <a:ext uri="{63B3BB69-23CF-44E3-9099-C40C66FF867C}">
                  <a14:compatExt spid="_x0000_s107524"/>
                </a:ext>
                <a:ext uri="{FF2B5EF4-FFF2-40B4-BE49-F238E27FC236}">
                  <a16:creationId xmlns:a16="http://schemas.microsoft.com/office/drawing/2014/main" id="{00000000-0008-0000-33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14</xdr:row>
          <xdr:rowOff>133350</xdr:rowOff>
        </xdr:from>
        <xdr:to>
          <xdr:col>4</xdr:col>
          <xdr:colOff>219075</xdr:colOff>
          <xdr:row>16</xdr:row>
          <xdr:rowOff>9525</xdr:rowOff>
        </xdr:to>
        <xdr:sp macro="" textlink="">
          <xdr:nvSpPr>
            <xdr:cNvPr id="107525" name="Drop Down 5" hidden="1">
              <a:extLst>
                <a:ext uri="{63B3BB69-23CF-44E3-9099-C40C66FF867C}">
                  <a14:compatExt spid="_x0000_s107525"/>
                </a:ext>
                <a:ext uri="{FF2B5EF4-FFF2-40B4-BE49-F238E27FC236}">
                  <a16:creationId xmlns:a16="http://schemas.microsoft.com/office/drawing/2014/main" id="{00000000-0008-0000-3300-000005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2</xdr:col>
      <xdr:colOff>523875</xdr:colOff>
      <xdr:row>4</xdr:row>
      <xdr:rowOff>74034</xdr:rowOff>
    </xdr:to>
    <xdr:pic>
      <xdr:nvPicPr>
        <xdr:cNvPr id="7" name="Picture 6">
          <a:extLst>
            <a:ext uri="{FF2B5EF4-FFF2-40B4-BE49-F238E27FC236}">
              <a16:creationId xmlns:a16="http://schemas.microsoft.com/office/drawing/2014/main" id="{00000000-0008-0000-3300-000007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1866900</xdr:colOff>
      <xdr:row>3</xdr:row>
      <xdr:rowOff>16884</xdr:rowOff>
    </xdr:to>
    <xdr:pic>
      <xdr:nvPicPr>
        <xdr:cNvPr id="3" name="Pictur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8</xdr:row>
          <xdr:rowOff>76200</xdr:rowOff>
        </xdr:from>
        <xdr:to>
          <xdr:col>15</xdr:col>
          <xdr:colOff>228600</xdr:colOff>
          <xdr:row>11</xdr:row>
          <xdr:rowOff>0</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35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Insert new entity</a:t>
              </a:r>
            </a:p>
          </xdr:txBody>
        </xdr:sp>
        <xdr:clientData fPrintsWithSheet="0"/>
      </xdr:twoCellAnchor>
    </mc:Choice>
    <mc:Fallback/>
  </mc:AlternateContent>
  <xdr:twoCellAnchor editAs="oneCell">
    <xdr:from>
      <xdr:col>0</xdr:col>
      <xdr:colOff>0</xdr:colOff>
      <xdr:row>1</xdr:row>
      <xdr:rowOff>0</xdr:rowOff>
    </xdr:from>
    <xdr:to>
      <xdr:col>1</xdr:col>
      <xdr:colOff>952500</xdr:colOff>
      <xdr:row>4</xdr:row>
      <xdr:rowOff>74034</xdr:rowOff>
    </xdr:to>
    <xdr:pic>
      <xdr:nvPicPr>
        <xdr:cNvPr id="5" name="Picture 4">
          <a:extLst>
            <a:ext uri="{FF2B5EF4-FFF2-40B4-BE49-F238E27FC236}">
              <a16:creationId xmlns:a16="http://schemas.microsoft.com/office/drawing/2014/main" id="{00000000-0008-0000-3500-000005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428625</xdr:colOff>
      <xdr:row>4</xdr:row>
      <xdr:rowOff>74034</xdr:rowOff>
    </xdr:to>
    <xdr:pic>
      <xdr:nvPicPr>
        <xdr:cNvPr id="4" name="Picture 3">
          <a:extLst>
            <a:ext uri="{FF2B5EF4-FFF2-40B4-BE49-F238E27FC236}">
              <a16:creationId xmlns:a16="http://schemas.microsoft.com/office/drawing/2014/main" id="{00000000-0008-0000-36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xdr:from>
      <xdr:col>8</xdr:col>
      <xdr:colOff>0</xdr:colOff>
      <xdr:row>54</xdr:row>
      <xdr:rowOff>0</xdr:rowOff>
    </xdr:from>
    <xdr:to>
      <xdr:col>8</xdr:col>
      <xdr:colOff>142875</xdr:colOff>
      <xdr:row>60</xdr:row>
      <xdr:rowOff>0</xdr:rowOff>
    </xdr:to>
    <xdr:sp macro="" textlink="">
      <xdr:nvSpPr>
        <xdr:cNvPr id="124262" name="AutoShape 3">
          <a:extLst>
            <a:ext uri="{FF2B5EF4-FFF2-40B4-BE49-F238E27FC236}">
              <a16:creationId xmlns:a16="http://schemas.microsoft.com/office/drawing/2014/main" id="{00000000-0008-0000-3700-000066E50100}"/>
            </a:ext>
          </a:extLst>
        </xdr:cNvPr>
        <xdr:cNvSpPr>
          <a:spLocks/>
        </xdr:cNvSpPr>
      </xdr:nvSpPr>
      <xdr:spPr bwMode="auto">
        <a:xfrm>
          <a:off x="6515100" y="5934075"/>
          <a:ext cx="142875" cy="971550"/>
        </a:xfrm>
        <a:prstGeom prst="rightBrace">
          <a:avLst>
            <a:gd name="adj1" fmla="val 56667"/>
            <a:gd name="adj2" fmla="val 5784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104775</xdr:colOff>
          <xdr:row>13</xdr:row>
          <xdr:rowOff>38100</xdr:rowOff>
        </xdr:to>
        <xdr:sp macro="" textlink="">
          <xdr:nvSpPr>
            <xdr:cNvPr id="123906" name="Drop Down 2" hidden="1">
              <a:extLst>
                <a:ext uri="{63B3BB69-23CF-44E3-9099-C40C66FF867C}">
                  <a14:compatExt spid="_x0000_s123906"/>
                </a:ext>
                <a:ext uri="{FF2B5EF4-FFF2-40B4-BE49-F238E27FC236}">
                  <a16:creationId xmlns:a16="http://schemas.microsoft.com/office/drawing/2014/main" id="{00000000-0008-0000-3700-000002E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2</xdr:col>
      <xdr:colOff>38100</xdr:colOff>
      <xdr:row>3</xdr:row>
      <xdr:rowOff>159759</xdr:rowOff>
    </xdr:to>
    <xdr:pic>
      <xdr:nvPicPr>
        <xdr:cNvPr id="6" name="Picture 5">
          <a:extLst>
            <a:ext uri="{FF2B5EF4-FFF2-40B4-BE49-F238E27FC236}">
              <a16:creationId xmlns:a16="http://schemas.microsoft.com/office/drawing/2014/main" id="{00000000-0008-0000-3700-000006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9525</xdr:colOff>
      <xdr:row>0</xdr:row>
      <xdr:rowOff>76200</xdr:rowOff>
    </xdr:from>
    <xdr:to>
      <xdr:col>0</xdr:col>
      <xdr:colOff>1876425</xdr:colOff>
      <xdr:row>3</xdr:row>
      <xdr:rowOff>184524</xdr:rowOff>
    </xdr:to>
    <xdr:pic>
      <xdr:nvPicPr>
        <xdr:cNvPr id="4" name="Picture 3">
          <a:extLst>
            <a:ext uri="{FF2B5EF4-FFF2-40B4-BE49-F238E27FC236}">
              <a16:creationId xmlns:a16="http://schemas.microsoft.com/office/drawing/2014/main" id="{00000000-0008-0000-3800-000004000000}"/>
            </a:ext>
          </a:extLst>
        </xdr:cNvPr>
        <xdr:cNvPicPr>
          <a:picLocks noChangeAspect="1"/>
        </xdr:cNvPicPr>
      </xdr:nvPicPr>
      <xdr:blipFill>
        <a:blip xmlns:r="http://schemas.openxmlformats.org/officeDocument/2006/relationships" r:embed="rId1"/>
        <a:stretch>
          <a:fillRect/>
        </a:stretch>
      </xdr:blipFill>
      <xdr:spPr>
        <a:xfrm>
          <a:off x="9525" y="76200"/>
          <a:ext cx="1866900" cy="636009"/>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3</xdr:row>
          <xdr:rowOff>152400</xdr:rowOff>
        </xdr:from>
        <xdr:to>
          <xdr:col>13</xdr:col>
          <xdr:colOff>76200</xdr:colOff>
          <xdr:row>7</xdr:row>
          <xdr:rowOff>9525</xdr:rowOff>
        </xdr:to>
        <xdr:sp macro="" textlink="">
          <xdr:nvSpPr>
            <xdr:cNvPr id="194588" name="DetailedToggleButton" hidden="1">
              <a:extLst>
                <a:ext uri="{63B3BB69-23CF-44E3-9099-C40C66FF867C}">
                  <a14:compatExt spid="_x0000_s194588"/>
                </a:ext>
                <a:ext uri="{FF2B5EF4-FFF2-40B4-BE49-F238E27FC236}">
                  <a16:creationId xmlns:a16="http://schemas.microsoft.com/office/drawing/2014/main" id="{00000000-0008-0000-3900-00001C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123825</xdr:colOff>
      <xdr:row>0</xdr:row>
      <xdr:rowOff>85725</xdr:rowOff>
    </xdr:from>
    <xdr:to>
      <xdr:col>2</xdr:col>
      <xdr:colOff>428625</xdr:colOff>
      <xdr:row>3</xdr:row>
      <xdr:rowOff>161664</xdr:rowOff>
    </xdr:to>
    <xdr:pic>
      <xdr:nvPicPr>
        <xdr:cNvPr id="4" name="Picture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1"/>
        <a:stretch>
          <a:fillRect/>
        </a:stretch>
      </xdr:blipFill>
      <xdr:spPr>
        <a:xfrm>
          <a:off x="123825" y="85725"/>
          <a:ext cx="1866900" cy="637914"/>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12</xdr:col>
          <xdr:colOff>228600</xdr:colOff>
          <xdr:row>6</xdr:row>
          <xdr:rowOff>28575</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3A00-000005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Help</a:t>
              </a:r>
            </a:p>
          </xdr:txBody>
        </xdr:sp>
        <xdr:clientData fPrintsWithSheet="0"/>
      </xdr:twoCellAnchor>
    </mc:Choice>
    <mc:Fallback/>
  </mc:AlternateContent>
  <xdr:twoCellAnchor editAs="oneCell">
    <xdr:from>
      <xdr:col>0</xdr:col>
      <xdr:colOff>0</xdr:colOff>
      <xdr:row>1</xdr:row>
      <xdr:rowOff>0</xdr:rowOff>
    </xdr:from>
    <xdr:to>
      <xdr:col>2</xdr:col>
      <xdr:colOff>342900</xdr:colOff>
      <xdr:row>4</xdr:row>
      <xdr:rowOff>47364</xdr:rowOff>
    </xdr:to>
    <xdr:pic>
      <xdr:nvPicPr>
        <xdr:cNvPr id="5" name="Picture 4">
          <a:extLst>
            <a:ext uri="{FF2B5EF4-FFF2-40B4-BE49-F238E27FC236}">
              <a16:creationId xmlns:a16="http://schemas.microsoft.com/office/drawing/2014/main" id="{00000000-0008-0000-3A00-000005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9</xdr:row>
          <xdr:rowOff>152400</xdr:rowOff>
        </xdr:from>
        <xdr:to>
          <xdr:col>4</xdr:col>
          <xdr:colOff>514350</xdr:colOff>
          <xdr:row>11</xdr:row>
          <xdr:rowOff>28575</xdr:rowOff>
        </xdr:to>
        <xdr:sp macro="" textlink="">
          <xdr:nvSpPr>
            <xdr:cNvPr id="62470" name="Drop Down 6" hidden="1">
              <a:extLst>
                <a:ext uri="{63B3BB69-23CF-44E3-9099-C40C66FF867C}">
                  <a14:compatExt spid="_x0000_s62470"/>
                </a:ext>
                <a:ext uri="{FF2B5EF4-FFF2-40B4-BE49-F238E27FC236}">
                  <a16:creationId xmlns:a16="http://schemas.microsoft.com/office/drawing/2014/main" id="{00000000-0008-0000-3B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542925</xdr:colOff>
      <xdr:row>3</xdr:row>
      <xdr:rowOff>54984</xdr:rowOff>
    </xdr:to>
    <xdr:pic>
      <xdr:nvPicPr>
        <xdr:cNvPr id="4" name="Pictur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7</xdr:row>
          <xdr:rowOff>0</xdr:rowOff>
        </xdr:from>
        <xdr:to>
          <xdr:col>18</xdr:col>
          <xdr:colOff>238125</xdr:colOff>
          <xdr:row>9</xdr:row>
          <xdr:rowOff>0</xdr:rowOff>
        </xdr:to>
        <xdr:sp macro="" textlink="">
          <xdr:nvSpPr>
            <xdr:cNvPr id="3326" name="TypeButton" hidden="1">
              <a:extLst>
                <a:ext uri="{63B3BB69-23CF-44E3-9099-C40C66FF867C}">
                  <a14:compatExt spid="_x0000_s3326"/>
                </a:ext>
                <a:ext uri="{FF2B5EF4-FFF2-40B4-BE49-F238E27FC236}">
                  <a16:creationId xmlns:a16="http://schemas.microsoft.com/office/drawing/2014/main" id="{00000000-0008-0000-3C00-0000F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3</xdr:col>
      <xdr:colOff>295275</xdr:colOff>
      <xdr:row>2</xdr:row>
      <xdr:rowOff>19050</xdr:rowOff>
    </xdr:to>
    <xdr:pic>
      <xdr:nvPicPr>
        <xdr:cNvPr id="3501" name="CroweHorwathLogo">
          <a:extLst>
            <a:ext uri="{FF2B5EF4-FFF2-40B4-BE49-F238E27FC236}">
              <a16:creationId xmlns:a16="http://schemas.microsoft.com/office/drawing/2014/main" id="{00000000-0008-0000-3C00-0000AD0D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098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809625</xdr:colOff>
      <xdr:row>4</xdr:row>
      <xdr:rowOff>47364</xdr:rowOff>
    </xdr:to>
    <xdr:pic>
      <xdr:nvPicPr>
        <xdr:cNvPr id="4" name="Picture 3">
          <a:extLst>
            <a:ext uri="{FF2B5EF4-FFF2-40B4-BE49-F238E27FC236}">
              <a16:creationId xmlns:a16="http://schemas.microsoft.com/office/drawing/2014/main" id="{00000000-0008-0000-3D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561975</xdr:colOff>
          <xdr:row>13</xdr:row>
          <xdr:rowOff>133350</xdr:rowOff>
        </xdr:from>
        <xdr:to>
          <xdr:col>2</xdr:col>
          <xdr:colOff>342900</xdr:colOff>
          <xdr:row>15</xdr:row>
          <xdr:rowOff>19050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3E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13</xdr:row>
          <xdr:rowOff>133350</xdr:rowOff>
        </xdr:from>
        <xdr:to>
          <xdr:col>3</xdr:col>
          <xdr:colOff>0</xdr:colOff>
          <xdr:row>15</xdr:row>
          <xdr:rowOff>19050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3E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0</xdr:col>
      <xdr:colOff>0</xdr:colOff>
      <xdr:row>1</xdr:row>
      <xdr:rowOff>0</xdr:rowOff>
    </xdr:from>
    <xdr:to>
      <xdr:col>2</xdr:col>
      <xdr:colOff>457200</xdr:colOff>
      <xdr:row>4</xdr:row>
      <xdr:rowOff>74034</xdr:rowOff>
    </xdr:to>
    <xdr:pic>
      <xdr:nvPicPr>
        <xdr:cNvPr id="6" name="Picture 5">
          <a:extLst>
            <a:ext uri="{FF2B5EF4-FFF2-40B4-BE49-F238E27FC236}">
              <a16:creationId xmlns:a16="http://schemas.microsoft.com/office/drawing/2014/main" id="{00000000-0008-0000-3E00-000006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885825</xdr:colOff>
      <xdr:row>4</xdr:row>
      <xdr:rowOff>74034</xdr:rowOff>
    </xdr:to>
    <xdr:pic>
      <xdr:nvPicPr>
        <xdr:cNvPr id="4" name="Picture 3">
          <a:extLst>
            <a:ext uri="{FF2B5EF4-FFF2-40B4-BE49-F238E27FC236}">
              <a16:creationId xmlns:a16="http://schemas.microsoft.com/office/drawing/2014/main" id="{00000000-0008-0000-3F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257175</xdr:colOff>
          <xdr:row>11</xdr:row>
          <xdr:rowOff>152400</xdr:rowOff>
        </xdr:from>
        <xdr:to>
          <xdr:col>3</xdr:col>
          <xdr:colOff>133350</xdr:colOff>
          <xdr:row>13</xdr:row>
          <xdr:rowOff>28575</xdr:rowOff>
        </xdr:to>
        <xdr:sp macro="" textlink="">
          <xdr:nvSpPr>
            <xdr:cNvPr id="60425" name="Drop Down 9" hidden="1">
              <a:extLst>
                <a:ext uri="{63B3BB69-23CF-44E3-9099-C40C66FF867C}">
                  <a14:compatExt spid="_x0000_s60425"/>
                </a:ext>
                <a:ext uri="{FF2B5EF4-FFF2-40B4-BE49-F238E27FC236}">
                  <a16:creationId xmlns:a16="http://schemas.microsoft.com/office/drawing/2014/main" id="{00000000-0008-0000-40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1619250</xdr:colOff>
      <xdr:row>4</xdr:row>
      <xdr:rowOff>74034</xdr:rowOff>
    </xdr:to>
    <xdr:pic>
      <xdr:nvPicPr>
        <xdr:cNvPr id="5" name="Picture 4">
          <a:extLst>
            <a:ext uri="{FF2B5EF4-FFF2-40B4-BE49-F238E27FC236}">
              <a16:creationId xmlns:a16="http://schemas.microsoft.com/office/drawing/2014/main" id="{00000000-0008-0000-4000-000005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2</xdr:col>
      <xdr:colOff>342900</xdr:colOff>
      <xdr:row>3</xdr:row>
      <xdr:rowOff>83559</xdr:rowOff>
    </xdr:to>
    <xdr:pic>
      <xdr:nvPicPr>
        <xdr:cNvPr id="4" name="Picture 3">
          <a:extLst>
            <a:ext uri="{FF2B5EF4-FFF2-40B4-BE49-F238E27FC236}">
              <a16:creationId xmlns:a16="http://schemas.microsoft.com/office/drawing/2014/main" id="{00000000-0008-0000-4100-000004000000}"/>
            </a:ext>
          </a:extLst>
        </xdr:cNvPr>
        <xdr:cNvPicPr>
          <a:picLocks noChangeAspect="1"/>
        </xdr:cNvPicPr>
      </xdr:nvPicPr>
      <xdr:blipFill>
        <a:blip xmlns:r="http://schemas.openxmlformats.org/officeDocument/2006/relationships" r:embed="rId1"/>
        <a:stretch>
          <a:fillRect/>
        </a:stretch>
      </xdr:blipFill>
      <xdr:spPr>
        <a:xfrm>
          <a:off x="0" y="9525"/>
          <a:ext cx="1866900" cy="636009"/>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914400</xdr:colOff>
      <xdr:row>4</xdr:row>
      <xdr:rowOff>74034</xdr:rowOff>
    </xdr:to>
    <xdr:pic>
      <xdr:nvPicPr>
        <xdr:cNvPr id="4" name="Picture 3">
          <a:extLst>
            <a:ext uri="{FF2B5EF4-FFF2-40B4-BE49-F238E27FC236}">
              <a16:creationId xmlns:a16="http://schemas.microsoft.com/office/drawing/2014/main" id="{00000000-0008-0000-42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247650</xdr:colOff>
      <xdr:row>4</xdr:row>
      <xdr:rowOff>18789</xdr:rowOff>
    </xdr:to>
    <xdr:pic>
      <xdr:nvPicPr>
        <xdr:cNvPr id="4" name="Picture 3">
          <a:extLst>
            <a:ext uri="{FF2B5EF4-FFF2-40B4-BE49-F238E27FC236}">
              <a16:creationId xmlns:a16="http://schemas.microsoft.com/office/drawing/2014/main" id="{00000000-0008-0000-43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304800</xdr:colOff>
      <xdr:row>4</xdr:row>
      <xdr:rowOff>1009</xdr:rowOff>
    </xdr:to>
    <xdr:pic>
      <xdr:nvPicPr>
        <xdr:cNvPr id="4" name="Picture 3">
          <a:extLst>
            <a:ext uri="{FF2B5EF4-FFF2-40B4-BE49-F238E27FC236}">
              <a16:creationId xmlns:a16="http://schemas.microsoft.com/office/drawing/2014/main" id="{00000000-0008-0000-4400-000004000000}"/>
            </a:ext>
          </a:extLst>
        </xdr:cNvPr>
        <xdr:cNvPicPr>
          <a:picLocks noChangeAspect="1"/>
        </xdr:cNvPicPr>
      </xdr:nvPicPr>
      <xdr:blipFill>
        <a:blip xmlns:r="http://schemas.openxmlformats.org/officeDocument/2006/relationships" r:embed="rId1"/>
        <a:stretch>
          <a:fillRect/>
        </a:stretch>
      </xdr:blipFill>
      <xdr:spPr>
        <a:xfrm>
          <a:off x="0" y="0"/>
          <a:ext cx="1866900" cy="636009"/>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10</xdr:col>
      <xdr:colOff>91168</xdr:colOff>
      <xdr:row>1</xdr:row>
      <xdr:rowOff>123825</xdr:rowOff>
    </xdr:from>
    <xdr:to>
      <xdr:col>12</xdr:col>
      <xdr:colOff>53068</xdr:colOff>
      <xdr:row>3</xdr:row>
      <xdr:rowOff>15523</xdr:rowOff>
    </xdr:to>
    <xdr:pic>
      <xdr:nvPicPr>
        <xdr:cNvPr id="3" name="Picture 2">
          <a:extLst>
            <a:ext uri="{FF2B5EF4-FFF2-40B4-BE49-F238E27FC236}">
              <a16:creationId xmlns:a16="http://schemas.microsoft.com/office/drawing/2014/main" id="{00000000-0008-0000-4500-000003000000}"/>
            </a:ext>
          </a:extLst>
        </xdr:cNvPr>
        <xdr:cNvPicPr>
          <a:picLocks noChangeAspect="1"/>
        </xdr:cNvPicPr>
      </xdr:nvPicPr>
      <xdr:blipFill>
        <a:blip xmlns:r="http://schemas.openxmlformats.org/officeDocument/2006/relationships" r:embed="rId1"/>
        <a:stretch>
          <a:fillRect/>
        </a:stretch>
      </xdr:blipFill>
      <xdr:spPr>
        <a:xfrm>
          <a:off x="10540093" y="295275"/>
          <a:ext cx="1866900" cy="634648"/>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2</xdr:col>
      <xdr:colOff>1061357</xdr:colOff>
      <xdr:row>0</xdr:row>
      <xdr:rowOff>27214</xdr:rowOff>
    </xdr:from>
    <xdr:to>
      <xdr:col>2</xdr:col>
      <xdr:colOff>2928257</xdr:colOff>
      <xdr:row>2</xdr:row>
      <xdr:rowOff>78116</xdr:rowOff>
    </xdr:to>
    <xdr:pic>
      <xdr:nvPicPr>
        <xdr:cNvPr id="5" name="Picture 4">
          <a:extLst>
            <a:ext uri="{FF2B5EF4-FFF2-40B4-BE49-F238E27FC236}">
              <a16:creationId xmlns:a16="http://schemas.microsoft.com/office/drawing/2014/main" id="{00000000-0008-0000-4600-000005000000}"/>
            </a:ext>
          </a:extLst>
        </xdr:cNvPr>
        <xdr:cNvPicPr>
          <a:picLocks noChangeAspect="1"/>
        </xdr:cNvPicPr>
      </xdr:nvPicPr>
      <xdr:blipFill>
        <a:blip xmlns:r="http://schemas.openxmlformats.org/officeDocument/2006/relationships" r:embed="rId1"/>
        <a:stretch>
          <a:fillRect/>
        </a:stretch>
      </xdr:blipFill>
      <xdr:spPr>
        <a:xfrm>
          <a:off x="5606143" y="27214"/>
          <a:ext cx="1866900" cy="636009"/>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1989667</xdr:colOff>
      <xdr:row>3</xdr:row>
      <xdr:rowOff>89909</xdr:rowOff>
    </xdr:to>
    <xdr:pic>
      <xdr:nvPicPr>
        <xdr:cNvPr id="2" name="Picture 1">
          <a:extLst>
            <a:ext uri="{FF2B5EF4-FFF2-40B4-BE49-F238E27FC236}">
              <a16:creationId xmlns:a16="http://schemas.microsoft.com/office/drawing/2014/main" id="{00000000-0008-0000-4700-000002000000}"/>
            </a:ext>
          </a:extLst>
        </xdr:cNvPr>
        <xdr:cNvPicPr>
          <a:picLocks noChangeAspect="1"/>
        </xdr:cNvPicPr>
      </xdr:nvPicPr>
      <xdr:blipFill>
        <a:blip xmlns:r="http://schemas.openxmlformats.org/officeDocument/2006/relationships" r:embed="rId1"/>
        <a:stretch>
          <a:fillRect/>
        </a:stretch>
      </xdr:blipFill>
      <xdr:spPr>
        <a:xfrm>
          <a:off x="0" y="0"/>
          <a:ext cx="1989667" cy="636009"/>
        </a:xfrm>
        <a:prstGeom prst="rect">
          <a:avLst/>
        </a:prstGeom>
      </xdr:spPr>
    </xdr:pic>
    <xdr:clientData/>
  </xdr:twoCellAnchor>
  <xdr:twoCellAnchor>
    <xdr:from>
      <xdr:col>0</xdr:col>
      <xdr:colOff>0</xdr:colOff>
      <xdr:row>171</xdr:row>
      <xdr:rowOff>0</xdr:rowOff>
    </xdr:from>
    <xdr:to>
      <xdr:col>4</xdr:col>
      <xdr:colOff>0</xdr:colOff>
      <xdr:row>191</xdr:row>
      <xdr:rowOff>152401</xdr:rowOff>
    </xdr:to>
    <xdr:graphicFrame macro="">
      <xdr:nvGraphicFramePr>
        <xdr:cNvPr id="3" name="Chart 2">
          <a:extLst>
            <a:ext uri="{FF2B5EF4-FFF2-40B4-BE49-F238E27FC236}">
              <a16:creationId xmlns:a16="http://schemas.microsoft.com/office/drawing/2014/main" id="{00000000-0008-0000-4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4</xdr:row>
          <xdr:rowOff>0</xdr:rowOff>
        </xdr:from>
        <xdr:to>
          <xdr:col>16</xdr:col>
          <xdr:colOff>47625</xdr:colOff>
          <xdr:row>6</xdr:row>
          <xdr:rowOff>180975</xdr:rowOff>
        </xdr:to>
        <xdr:sp macro="" textlink="">
          <xdr:nvSpPr>
            <xdr:cNvPr id="297985" name="Button 1" hidden="1">
              <a:extLst>
                <a:ext uri="{63B3BB69-23CF-44E3-9099-C40C66FF867C}">
                  <a14:compatExt spid="_x0000_s297985"/>
                </a:ext>
                <a:ext uri="{FF2B5EF4-FFF2-40B4-BE49-F238E27FC236}">
                  <a16:creationId xmlns:a16="http://schemas.microsoft.com/office/drawing/2014/main" id="{00000000-0008-0000-4800-0000018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20</xdr:col>
          <xdr:colOff>57150</xdr:colOff>
          <xdr:row>12</xdr:row>
          <xdr:rowOff>0</xdr:rowOff>
        </xdr:to>
        <xdr:sp macro="" textlink="">
          <xdr:nvSpPr>
            <xdr:cNvPr id="297986" name="TypeButton" hidden="1">
              <a:extLst>
                <a:ext uri="{63B3BB69-23CF-44E3-9099-C40C66FF867C}">
                  <a14:compatExt spid="_x0000_s297986"/>
                </a:ext>
                <a:ext uri="{FF2B5EF4-FFF2-40B4-BE49-F238E27FC236}">
                  <a16:creationId xmlns:a16="http://schemas.microsoft.com/office/drawing/2014/main" id="{00000000-0008-0000-4800-0000028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76200</xdr:colOff>
      <xdr:row>0</xdr:row>
      <xdr:rowOff>95250</xdr:rowOff>
    </xdr:from>
    <xdr:to>
      <xdr:col>1</xdr:col>
      <xdr:colOff>215775</xdr:colOff>
      <xdr:row>3</xdr:row>
      <xdr:rowOff>207384</xdr:rowOff>
    </xdr:to>
    <xdr:pic>
      <xdr:nvPicPr>
        <xdr:cNvPr id="4" name="Picture 3">
          <a:extLst>
            <a:ext uri="{FF2B5EF4-FFF2-40B4-BE49-F238E27FC236}">
              <a16:creationId xmlns:a16="http://schemas.microsoft.com/office/drawing/2014/main" id="{00000000-0008-0000-4800-000004000000}"/>
            </a:ext>
          </a:extLst>
        </xdr:cNvPr>
        <xdr:cNvPicPr>
          <a:picLocks noChangeAspect="1"/>
        </xdr:cNvPicPr>
      </xdr:nvPicPr>
      <xdr:blipFill>
        <a:blip xmlns:r="http://schemas.openxmlformats.org/officeDocument/2006/relationships" r:embed="rId1"/>
        <a:stretch>
          <a:fillRect/>
        </a:stretch>
      </xdr:blipFill>
      <xdr:spPr>
        <a:xfrm>
          <a:off x="76200" y="95250"/>
          <a:ext cx="1866900" cy="636009"/>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1922145</xdr:colOff>
      <xdr:row>3</xdr:row>
      <xdr:rowOff>89959</xdr:rowOff>
    </xdr:to>
    <xdr:pic>
      <xdr:nvPicPr>
        <xdr:cNvPr id="2" name="Picture 1">
          <a:extLst>
            <a:ext uri="{FF2B5EF4-FFF2-40B4-BE49-F238E27FC236}">
              <a16:creationId xmlns:a16="http://schemas.microsoft.com/office/drawing/2014/main" id="{00000000-0008-0000-4900-000002000000}"/>
            </a:ext>
          </a:extLst>
        </xdr:cNvPr>
        <xdr:cNvPicPr>
          <a:picLocks noChangeAspect="1"/>
        </xdr:cNvPicPr>
      </xdr:nvPicPr>
      <xdr:blipFill>
        <a:blip xmlns:r="http://schemas.openxmlformats.org/officeDocument/2006/relationships" r:embed="rId1"/>
        <a:stretch>
          <a:fillRect/>
        </a:stretch>
      </xdr:blipFill>
      <xdr:spPr>
        <a:xfrm>
          <a:off x="9525" y="0"/>
          <a:ext cx="1912620" cy="676275"/>
        </a:xfrm>
        <a:prstGeom prst="rect">
          <a:avLst/>
        </a:prstGeom>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2</xdr:col>
      <xdr:colOff>304800</xdr:colOff>
      <xdr:row>3</xdr:row>
      <xdr:rowOff>13074</xdr:rowOff>
    </xdr:to>
    <xdr:pic>
      <xdr:nvPicPr>
        <xdr:cNvPr id="4" name="Picture 3">
          <a:extLst>
            <a:ext uri="{FF2B5EF4-FFF2-40B4-BE49-F238E27FC236}">
              <a16:creationId xmlns:a16="http://schemas.microsoft.com/office/drawing/2014/main" id="{00000000-0008-0000-4A00-000004000000}"/>
            </a:ext>
          </a:extLst>
        </xdr:cNvPr>
        <xdr:cNvPicPr>
          <a:picLocks noChangeAspect="1"/>
        </xdr:cNvPicPr>
      </xdr:nvPicPr>
      <xdr:blipFill>
        <a:blip xmlns:r="http://schemas.openxmlformats.org/officeDocument/2006/relationships" r:embed="rId1"/>
        <a:stretch>
          <a:fillRect/>
        </a:stretch>
      </xdr:blipFill>
      <xdr:spPr>
        <a:xfrm>
          <a:off x="0" y="19050"/>
          <a:ext cx="1866900" cy="6321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iel.slabicki/AppData/Roaming/iManage/Work/Recent/528846_19519989_CH%20Workpapers%20-%20workpaper%20projects(87356677.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Info"/>
      <sheetName val="WPIndex"/>
      <sheetName val="WP Index"/>
      <sheetName val="Standard Rates"/>
      <sheetName val="Standard Thresholds"/>
      <sheetName val="Projected Income &amp; Expenses"/>
      <sheetName val="Livestock Est"/>
      <sheetName val="Tax Planning Summary"/>
      <sheetName val="Recommendations &amp; Ideas"/>
      <sheetName val="Planning Checklist"/>
      <sheetName val="Meeting Agenda"/>
      <sheetName val="Client Cover Sheet"/>
      <sheetName val="Summary of Tax Position"/>
      <sheetName val="SBE Worksheet"/>
      <sheetName val="Tax Rec"/>
      <sheetName val="Tax Rec Report"/>
      <sheetName val="Loss Carry Back"/>
      <sheetName val="Trust Streaming"/>
      <sheetName val="Comparative Tax Recn"/>
      <sheetName val="Temp Full Expense Checklist"/>
      <sheetName val="Dist - Non Averaging"/>
      <sheetName val="Dist - Averaging"/>
      <sheetName val="Drought Write-Off (s385-105)"/>
      <sheetName val="Drought Write-Off (s385-110)"/>
      <sheetName val="Averaging Calculator"/>
      <sheetName val="Debtors"/>
      <sheetName val="Bank Rec"/>
      <sheetName val="Cash Book"/>
      <sheetName val="Prepayments"/>
      <sheetName val="Livestock"/>
      <sheetName val="Commercial Bill Pre"/>
      <sheetName val="Trading Stock"/>
      <sheetName val="Borrowing Costs"/>
      <sheetName val="Blackhole Expenses"/>
      <sheetName val="Low Value Pool"/>
      <sheetName val="Capital Asset Schedule"/>
      <sheetName val="Building Write-Off"/>
      <sheetName val="Water Improvements Write-Off"/>
      <sheetName val="Mains Electricity Write-Off"/>
      <sheetName val="Div7A Loan"/>
      <sheetName val="Sale or Purch Business"/>
      <sheetName val="Creditors"/>
      <sheetName val="AWB Loans"/>
      <sheetName val="Small Business Technology Boost"/>
      <sheetName val="GST Rec"/>
      <sheetName val="Superannuation Liability"/>
      <sheetName val="Interest Calc"/>
      <sheetName val="Loan Schedule"/>
      <sheetName val="HP Summary"/>
      <sheetName val="Inter Entity Loans"/>
      <sheetName val="Interest Deduct"/>
      <sheetName val="Long Service Leave"/>
      <sheetName val="Farm Income Split"/>
      <sheetName val="Schedule B"/>
      <sheetName val="Inv Income"/>
      <sheetName val="Dividend Summary"/>
      <sheetName val="Rental"/>
      <sheetName val="Pvt Use"/>
      <sheetName val="Motor Vec WP"/>
      <sheetName val="Car FBT"/>
      <sheetName val="Wages Reconciliation"/>
      <sheetName val="Total Debt"/>
      <sheetName val="FMD's"/>
      <sheetName val="TFN Register"/>
      <sheetName val="ATO Benchmark"/>
      <sheetName val="Net Worth Calculator"/>
      <sheetName val="How are we doing"/>
      <sheetName val="Rental Summary"/>
      <sheetName val="Home Office"/>
      <sheetName val="Defined Name Ranges"/>
      <sheetName val="APS"/>
    </sheetNames>
    <sheetDataSet>
      <sheetData sheetId="0"/>
      <sheetData sheetId="1"/>
      <sheetData sheetId="2">
        <row r="29">
          <cell r="E29" t="str">
            <v>Trade Debtors - Debtors Summary</v>
          </cell>
        </row>
        <row r="50">
          <cell r="E50" t="str">
            <v>GST Reconciliation</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Set>
  </externalBook>
</externalLink>
</file>

<file path=xl/persons/person.xml><?xml version="1.0" encoding="utf-8"?>
<personList xmlns="http://schemas.microsoft.com/office/spreadsheetml/2018/threadedcomments" xmlns:x="http://schemas.openxmlformats.org/spreadsheetml/2006/main">
  <person displayName="Shervin Phillips" id="{DEF18665-9AB4-4ED9-A490-4DEA722217CE}" userId="Shervin Phillip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B143" dT="2024-03-06T03:51:59.76" personId="{DEF18665-9AB4-4ED9-A490-4DEA722217CE}" id="{AEF10282-5BCC-4117-84B0-521583FB2410}">
    <text>$445 relates to LITO from section 159N of ITAA 1936
Refers to section 9 of the income tax assessment (1936 act) regulation 2015</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7A7F92B-5819-4D8D-BD3D-BFB85A1C24E5}">
  <we:reference id="bbc3de10-c181-4bdc-bf40-4c1b2e364c54" version="1.1.0.0" store="EXCatalog" storeType="EXCatalog"/>
  <we:alternateReferences>
    <we:reference id="WA200001894" version="1.1.0.0" store="en-AU"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omments" Target="../comments1.xml"/><Relationship Id="rId3" Type="http://schemas.openxmlformats.org/officeDocument/2006/relationships/hyperlink" Target="https://jira.findex.com.au/servicedesk/customer/portal/25/group/565" TargetMode="Externa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printerSettings" Target="../printerSettings/printerSettings2.bin"/><Relationship Id="rId16" Type="http://schemas.openxmlformats.org/officeDocument/2006/relationships/ctrlProp" Target="../ctrlProps/ctrlProp9.xml"/><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3.bin"/><Relationship Id="rId15" Type="http://schemas.openxmlformats.org/officeDocument/2006/relationships/ctrlProp" Target="../ctrlProps/ctrlProp8.xml"/><Relationship Id="rId10" Type="http://schemas.openxmlformats.org/officeDocument/2006/relationships/ctrlProp" Target="../ctrlProps/ctrlProp3.xml"/><Relationship Id="rId4" Type="http://schemas.openxmlformats.org/officeDocument/2006/relationships/hyperlink" Target="https://playbook.findex.com.au/value-add/tax-planning-au"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hyperlink" Target="https://www.ato.gov.au/rates/changes-to-company-tax-rates/" TargetMode="External"/><Relationship Id="rId13" Type="http://schemas.openxmlformats.org/officeDocument/2006/relationships/hyperlink" Target="https://www.revenue.nsw.gov.au/taxes-duties-levies-royalties/payroll-tax/rates-and-thresholds" TargetMode="External"/><Relationship Id="rId18" Type="http://schemas.openxmlformats.org/officeDocument/2006/relationships/hyperlink" Target="http://www.payrolltax.gov.au/harmonisation/payroll-tax-rates-and-thresholds" TargetMode="External"/><Relationship Id="rId3" Type="http://schemas.openxmlformats.org/officeDocument/2006/relationships/hyperlink" Target="https://www.ato.gov.au/rates/individual-income-tax-rates/" TargetMode="External"/><Relationship Id="rId21" Type="http://schemas.openxmlformats.org/officeDocument/2006/relationships/drawing" Target="../drawings/drawing4.xml"/><Relationship Id="rId7" Type="http://schemas.openxmlformats.org/officeDocument/2006/relationships/hyperlink" Target="https://www.ato.gov.au/rates/fbt/" TargetMode="External"/><Relationship Id="rId12" Type="http://schemas.openxmlformats.org/officeDocument/2006/relationships/hyperlink" Target="http://www.payrolltax.gov.au/harmonisation/payroll-tax-rates-and-thresholds" TargetMode="External"/><Relationship Id="rId17" Type="http://schemas.openxmlformats.org/officeDocument/2006/relationships/hyperlink" Target="http://www.payrolltax.gov.au/harmonisation/payroll-tax-rates-and-thresholds" TargetMode="External"/><Relationship Id="rId2" Type="http://schemas.openxmlformats.org/officeDocument/2006/relationships/printerSettings" Target="../printerSettings/printerSettings12.bin"/><Relationship Id="rId16" Type="http://schemas.openxmlformats.org/officeDocument/2006/relationships/hyperlink" Target="http://www.payrolltax.gov.au/harmonisation/payroll-tax-rates-and-thresholds" TargetMode="External"/><Relationship Id="rId20" Type="http://schemas.openxmlformats.org/officeDocument/2006/relationships/printerSettings" Target="../printerSettings/printerSettings13.bin"/><Relationship Id="rId1" Type="http://schemas.openxmlformats.org/officeDocument/2006/relationships/printerSettings" Target="../printerSettings/printerSettings11.bin"/><Relationship Id="rId6" Type="http://schemas.openxmlformats.org/officeDocument/2006/relationships/hyperlink" Target="https://www.ato.gov.au/General/Fringe-benefits-tax-(fbt)/In-detail/Employers-guide/Car-fringe-benefits/?page=11" TargetMode="External"/><Relationship Id="rId11" Type="http://schemas.openxmlformats.org/officeDocument/2006/relationships/hyperlink" Target="https://www.ato.gov.au/Rates/Division-7A---benchmark-interest-rate/" TargetMode="External"/><Relationship Id="rId24" Type="http://schemas.microsoft.com/office/2017/10/relationships/threadedComment" Target="../threadedComments/threadedComment1.xml"/><Relationship Id="rId5" Type="http://schemas.openxmlformats.org/officeDocument/2006/relationships/hyperlink" Target="https://www.ato.gov.au/General/Fringe-benefits-tax-(fbt)/In-detail/Employers-guide/Car-fringe-benefits/?page=11" TargetMode="External"/><Relationship Id="rId15" Type="http://schemas.openxmlformats.org/officeDocument/2006/relationships/hyperlink" Target="https://www.business.qld.gov.au/running-business/employing/payroll-tax/calculating/regional-discount" TargetMode="External"/><Relationship Id="rId23" Type="http://schemas.openxmlformats.org/officeDocument/2006/relationships/comments" Target="../comments3.xml"/><Relationship Id="rId10" Type="http://schemas.openxmlformats.org/officeDocument/2006/relationships/hyperlink" Target="https://www.ato.gov.au/Rates/FBT/" TargetMode="External"/><Relationship Id="rId19" Type="http://schemas.openxmlformats.org/officeDocument/2006/relationships/hyperlink" Target="https://www.wa.gov.au/organisation/department-of-finance/about-payroll-tax" TargetMode="External"/><Relationship Id="rId4" Type="http://schemas.openxmlformats.org/officeDocument/2006/relationships/hyperlink" Target="https://www.ato.gov.au/Rates/FBT/?page=3" TargetMode="External"/><Relationship Id="rId9" Type="http://schemas.openxmlformats.org/officeDocument/2006/relationships/hyperlink" Target="https://www.ato.gov.au/rates/fbt/" TargetMode="External"/><Relationship Id="rId14" Type="http://schemas.openxmlformats.org/officeDocument/2006/relationships/hyperlink" Target="http://www.payrolltax.gov.au/harmonisation/payroll-tax-rates-and-thresholds" TargetMode="External"/><Relationship Id="rId2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omments" Target="../comments4.xml"/><Relationship Id="rId3" Type="http://schemas.openxmlformats.org/officeDocument/2006/relationships/printerSettings" Target="../printerSettings/printerSettings16.bin"/><Relationship Id="rId7" Type="http://schemas.openxmlformats.org/officeDocument/2006/relationships/image" Target="../media/image5.emf"/><Relationship Id="rId12" Type="http://schemas.openxmlformats.org/officeDocument/2006/relationships/ctrlProp" Target="../ctrlProps/ctrlProp16.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ntrol" Target="../activeX/activeX3.xml"/><Relationship Id="rId11"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trlProp" Target="../ctrlProps/ctrlProp14.xml"/><Relationship Id="rId4" Type="http://schemas.openxmlformats.org/officeDocument/2006/relationships/drawing" Target="../drawings/drawing5.xml"/><Relationship Id="rId9"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10.emf"/><Relationship Id="rId18" Type="http://schemas.openxmlformats.org/officeDocument/2006/relationships/control" Target="../activeX/activeX11.xml"/><Relationship Id="rId3" Type="http://schemas.openxmlformats.org/officeDocument/2006/relationships/vmlDrawing" Target="../drawings/vmlDrawing7.vml"/><Relationship Id="rId21" Type="http://schemas.openxmlformats.org/officeDocument/2006/relationships/image" Target="../media/image13.emf"/><Relationship Id="rId7" Type="http://schemas.openxmlformats.org/officeDocument/2006/relationships/image" Target="../media/image7.emf"/><Relationship Id="rId12" Type="http://schemas.openxmlformats.org/officeDocument/2006/relationships/control" Target="../activeX/activeX8.xml"/><Relationship Id="rId17" Type="http://schemas.openxmlformats.org/officeDocument/2006/relationships/image" Target="../media/image12.emf"/><Relationship Id="rId2" Type="http://schemas.openxmlformats.org/officeDocument/2006/relationships/drawing" Target="../drawings/drawing7.xml"/><Relationship Id="rId16" Type="http://schemas.openxmlformats.org/officeDocument/2006/relationships/control" Target="../activeX/activeX10.xml"/><Relationship Id="rId20" Type="http://schemas.openxmlformats.org/officeDocument/2006/relationships/control" Target="../activeX/activeX13.xml"/><Relationship Id="rId1" Type="http://schemas.openxmlformats.org/officeDocument/2006/relationships/printerSettings" Target="../printerSettings/printerSettings20.bin"/><Relationship Id="rId6" Type="http://schemas.openxmlformats.org/officeDocument/2006/relationships/control" Target="../activeX/activeX5.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omments" Target="../comments5.xml"/><Relationship Id="rId10" Type="http://schemas.openxmlformats.org/officeDocument/2006/relationships/control" Target="../activeX/activeX7.xml"/><Relationship Id="rId19" Type="http://schemas.openxmlformats.org/officeDocument/2006/relationships/control" Target="../activeX/activeX12.xml"/><Relationship Id="rId4" Type="http://schemas.openxmlformats.org/officeDocument/2006/relationships/control" Target="../activeX/activeX4.xml"/><Relationship Id="rId9" Type="http://schemas.openxmlformats.org/officeDocument/2006/relationships/image" Target="../media/image8.emf"/><Relationship Id="rId14" Type="http://schemas.openxmlformats.org/officeDocument/2006/relationships/control" Target="../activeX/activeX9.xml"/><Relationship Id="rId22" Type="http://schemas.openxmlformats.org/officeDocument/2006/relationships/control" Target="../activeX/activeX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1.bin"/><Relationship Id="rId6" Type="http://schemas.openxmlformats.org/officeDocument/2006/relationships/comments" Target="../comments6.xml"/><Relationship Id="rId5" Type="http://schemas.openxmlformats.org/officeDocument/2006/relationships/image" Target="../media/image14.emf"/><Relationship Id="rId4" Type="http://schemas.openxmlformats.org/officeDocument/2006/relationships/control" Target="../activeX/activeX1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omments" Target="../comments7.xml"/><Relationship Id="rId5" Type="http://schemas.openxmlformats.org/officeDocument/2006/relationships/vmlDrawing" Target="../drawings/vmlDrawing10.vml"/><Relationship Id="rId4"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9.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printerSettings" Target="../printerSettings/printerSettings38.bin"/><Relationship Id="rId7" Type="http://schemas.openxmlformats.org/officeDocument/2006/relationships/image" Target="../media/image15.emf"/><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control" Target="../activeX/activeX16.xml"/><Relationship Id="rId11" Type="http://schemas.openxmlformats.org/officeDocument/2006/relationships/comments" Target="../comments8.xml"/><Relationship Id="rId5" Type="http://schemas.openxmlformats.org/officeDocument/2006/relationships/vmlDrawing" Target="../drawings/vmlDrawing11.vml"/><Relationship Id="rId10" Type="http://schemas.openxmlformats.org/officeDocument/2006/relationships/ctrlProp" Target="../ctrlProps/ctrlProp18.xml"/><Relationship Id="rId4" Type="http://schemas.openxmlformats.org/officeDocument/2006/relationships/drawing" Target="../drawings/drawing15.xml"/><Relationship Id="rId9" Type="http://schemas.openxmlformats.org/officeDocument/2006/relationships/image" Target="../media/image16.emf"/></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41.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19.xml"/><Relationship Id="rId5" Type="http://schemas.openxmlformats.org/officeDocument/2006/relationships/vmlDrawing" Target="../drawings/vmlDrawing12.vml"/><Relationship Id="rId4"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2.bin"/><Relationship Id="rId1" Type="http://schemas.openxmlformats.org/officeDocument/2006/relationships/hyperlink" Target="https://www.ato.gov.au/law/view/document?DocID=COG/PCG20222/NAT/ATO/00001" TargetMode="External"/><Relationship Id="rId5" Type="http://schemas.openxmlformats.org/officeDocument/2006/relationships/comments" Target="../comments9.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comments" Target="../comments10.xml"/><Relationship Id="rId5" Type="http://schemas.openxmlformats.org/officeDocument/2006/relationships/vmlDrawing" Target="../drawings/vmlDrawing14.vm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46.bin"/><Relationship Id="rId4" Type="http://schemas.openxmlformats.org/officeDocument/2006/relationships/comments" Target="../comments11.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printerSettings" Target="../printerSettings/printerSettings49.bin"/><Relationship Id="rId7" Type="http://schemas.openxmlformats.org/officeDocument/2006/relationships/image" Target="../media/image17.emf"/><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package" Target="../embeddings/Microsoft_Word_Document.docx"/><Relationship Id="rId5" Type="http://schemas.openxmlformats.org/officeDocument/2006/relationships/vmlDrawing" Target="../drawings/vmlDrawing16.vml"/><Relationship Id="rId4"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s://www.ato.gov.au/Business/Income-and-deductions-for-business/Deductions/Small-business-technology-investment-boost/"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s://www.teqsa.gov.au/national-register" TargetMode="External"/><Relationship Id="rId2" Type="http://schemas.openxmlformats.org/officeDocument/2006/relationships/hyperlink" Target="https://training.gov.au/" TargetMode="External"/><Relationship Id="rId1" Type="http://schemas.openxmlformats.org/officeDocument/2006/relationships/hyperlink" Target="https://www.ato.gov.au/Business/Income-and-deductions-for-business/Deductions/Small-business-skills-and-training-boost/" TargetMode="External"/><Relationship Id="rId5" Type="http://schemas.openxmlformats.org/officeDocument/2006/relationships/drawing" Target="../drawings/drawing22.xml"/><Relationship Id="rId4" Type="http://schemas.openxmlformats.org/officeDocument/2006/relationships/printerSettings" Target="../printerSettings/printerSettings51.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4"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5.bin"/></Relationships>
</file>

<file path=xl/worksheets/_rels/sheet26.xml.rels><?xml version="1.0" encoding="UTF-8" standalone="yes"?>
<Relationships xmlns="http://schemas.openxmlformats.org/package/2006/relationships"><Relationship Id="rId8" Type="http://schemas.openxmlformats.org/officeDocument/2006/relationships/hyperlink" Target="https://www.whkpulse.com.au/browse/folder.asp?d=59455970585F505343797C0904030905" TargetMode="External"/><Relationship Id="rId13" Type="http://schemas.openxmlformats.org/officeDocument/2006/relationships/vmlDrawing" Target="../drawings/vmlDrawing17.vml"/><Relationship Id="rId18" Type="http://schemas.openxmlformats.org/officeDocument/2006/relationships/control" Target="../activeX/activeX21.xml"/><Relationship Id="rId26" Type="http://schemas.openxmlformats.org/officeDocument/2006/relationships/image" Target="../media/image22.emf"/><Relationship Id="rId3" Type="http://schemas.openxmlformats.org/officeDocument/2006/relationships/hyperlink" Target="https://www.whkpulse.com.au/browse/folder.asp?d=59455970585F505343797C0904030905" TargetMode="External"/><Relationship Id="rId21" Type="http://schemas.openxmlformats.org/officeDocument/2006/relationships/control" Target="../activeX/activeX23.xml"/><Relationship Id="rId7" Type="http://schemas.openxmlformats.org/officeDocument/2006/relationships/hyperlink" Target="https://www.whkpulse.com.au/browse/folder.asp?d=59455970585F505343797C0904030905" TargetMode="External"/><Relationship Id="rId12" Type="http://schemas.openxmlformats.org/officeDocument/2006/relationships/drawing" Target="../drawings/drawing25.xml"/><Relationship Id="rId17" Type="http://schemas.openxmlformats.org/officeDocument/2006/relationships/control" Target="../activeX/activeX20.xml"/><Relationship Id="rId25" Type="http://schemas.openxmlformats.org/officeDocument/2006/relationships/control" Target="../activeX/activeX25.xml"/><Relationship Id="rId2" Type="http://schemas.openxmlformats.org/officeDocument/2006/relationships/printerSettings" Target="../printerSettings/printerSettings57.bin"/><Relationship Id="rId16" Type="http://schemas.openxmlformats.org/officeDocument/2006/relationships/control" Target="../activeX/activeX19.xml"/><Relationship Id="rId20" Type="http://schemas.openxmlformats.org/officeDocument/2006/relationships/image" Target="../media/image19.emf"/><Relationship Id="rId1" Type="http://schemas.openxmlformats.org/officeDocument/2006/relationships/printerSettings" Target="../printerSettings/printerSettings56.bin"/><Relationship Id="rId6" Type="http://schemas.openxmlformats.org/officeDocument/2006/relationships/hyperlink" Target="https://www.whkpulse.com.au/browse/folder.asp?d=59455970585F505343797C0904030905" TargetMode="External"/><Relationship Id="rId11" Type="http://schemas.openxmlformats.org/officeDocument/2006/relationships/printerSettings" Target="../printerSettings/printerSettings58.bin"/><Relationship Id="rId24" Type="http://schemas.openxmlformats.org/officeDocument/2006/relationships/image" Target="../media/image21.emf"/><Relationship Id="rId5" Type="http://schemas.openxmlformats.org/officeDocument/2006/relationships/hyperlink" Target="https://www.whkpulse.com.au/browse/folder.asp?d=59455970585F505343797C0904030905" TargetMode="External"/><Relationship Id="rId15" Type="http://schemas.openxmlformats.org/officeDocument/2006/relationships/image" Target="../media/image18.emf"/><Relationship Id="rId23" Type="http://schemas.openxmlformats.org/officeDocument/2006/relationships/control" Target="../activeX/activeX24.xml"/><Relationship Id="rId28" Type="http://schemas.openxmlformats.org/officeDocument/2006/relationships/comments" Target="../comments13.xml"/><Relationship Id="rId10" Type="http://schemas.openxmlformats.org/officeDocument/2006/relationships/hyperlink" Target="https://www.whkpulse.com.au/browse/folder.asp?d=59455970585F505343797C0904030905" TargetMode="External"/><Relationship Id="rId19" Type="http://schemas.openxmlformats.org/officeDocument/2006/relationships/control" Target="../activeX/activeX22.xml"/><Relationship Id="rId4" Type="http://schemas.openxmlformats.org/officeDocument/2006/relationships/hyperlink" Target="https://www.whkpulse.com.au/browse/folder.asp?d=59455970585F505343797C0904030905" TargetMode="External"/><Relationship Id="rId9" Type="http://schemas.openxmlformats.org/officeDocument/2006/relationships/hyperlink" Target="https://www.whkpulse.com.au/browse/folder.asp?d=59455970585F505343797C0904030905" TargetMode="External"/><Relationship Id="rId14" Type="http://schemas.openxmlformats.org/officeDocument/2006/relationships/control" Target="../activeX/activeX18.xml"/><Relationship Id="rId22" Type="http://schemas.openxmlformats.org/officeDocument/2006/relationships/image" Target="../media/image20.emf"/><Relationship Id="rId27" Type="http://schemas.openxmlformats.org/officeDocument/2006/relationships/ctrlProp" Target="../ctrlProps/ctrlProp20.xml"/></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24.emf"/><Relationship Id="rId18" Type="http://schemas.openxmlformats.org/officeDocument/2006/relationships/control" Target="../activeX/activeX33.xml"/><Relationship Id="rId3" Type="http://schemas.openxmlformats.org/officeDocument/2006/relationships/printerSettings" Target="../printerSettings/printerSettings61.bin"/><Relationship Id="rId21" Type="http://schemas.openxmlformats.org/officeDocument/2006/relationships/ctrlProp" Target="../ctrlProps/ctrlProp22.xml"/><Relationship Id="rId7" Type="http://schemas.openxmlformats.org/officeDocument/2006/relationships/image" Target="../media/image18.emf"/><Relationship Id="rId12" Type="http://schemas.openxmlformats.org/officeDocument/2006/relationships/control" Target="../activeX/activeX30.xml"/><Relationship Id="rId17" Type="http://schemas.openxmlformats.org/officeDocument/2006/relationships/image" Target="../media/image26.emf"/><Relationship Id="rId2" Type="http://schemas.openxmlformats.org/officeDocument/2006/relationships/printerSettings" Target="../printerSettings/printerSettings60.bin"/><Relationship Id="rId16" Type="http://schemas.openxmlformats.org/officeDocument/2006/relationships/control" Target="../activeX/activeX32.xml"/><Relationship Id="rId20" Type="http://schemas.openxmlformats.org/officeDocument/2006/relationships/ctrlProp" Target="../ctrlProps/ctrlProp21.xml"/><Relationship Id="rId1" Type="http://schemas.openxmlformats.org/officeDocument/2006/relationships/printerSettings" Target="../printerSettings/printerSettings59.bin"/><Relationship Id="rId6" Type="http://schemas.openxmlformats.org/officeDocument/2006/relationships/control" Target="../activeX/activeX26.xml"/><Relationship Id="rId11" Type="http://schemas.openxmlformats.org/officeDocument/2006/relationships/image" Target="../media/image23.emf"/><Relationship Id="rId5" Type="http://schemas.openxmlformats.org/officeDocument/2006/relationships/vmlDrawing" Target="../drawings/vmlDrawing18.vml"/><Relationship Id="rId15" Type="http://schemas.openxmlformats.org/officeDocument/2006/relationships/image" Target="../media/image25.emf"/><Relationship Id="rId10" Type="http://schemas.openxmlformats.org/officeDocument/2006/relationships/control" Target="../activeX/activeX29.xml"/><Relationship Id="rId19" Type="http://schemas.openxmlformats.org/officeDocument/2006/relationships/image" Target="../media/image27.emf"/><Relationship Id="rId4" Type="http://schemas.openxmlformats.org/officeDocument/2006/relationships/drawing" Target="../drawings/drawing26.xml"/><Relationship Id="rId9" Type="http://schemas.openxmlformats.org/officeDocument/2006/relationships/control" Target="../activeX/activeX28.xml"/><Relationship Id="rId14" Type="http://schemas.openxmlformats.org/officeDocument/2006/relationships/control" Target="../activeX/activeX31.xml"/><Relationship Id="rId22"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4"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4"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70.bin"/><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comments" Target="../comments15.xml"/><Relationship Id="rId5" Type="http://schemas.openxmlformats.org/officeDocument/2006/relationships/vmlDrawing" Target="../drawings/vmlDrawing19.vml"/><Relationship Id="rId4"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73.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4"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76.bin"/><Relationship Id="rId2" Type="http://schemas.openxmlformats.org/officeDocument/2006/relationships/printerSettings" Target="../printerSettings/printerSettings75.bin"/><Relationship Id="rId1" Type="http://schemas.openxmlformats.org/officeDocument/2006/relationships/printerSettings" Target="../printerSettings/printerSettings74.bin"/><Relationship Id="rId6" Type="http://schemas.openxmlformats.org/officeDocument/2006/relationships/comments" Target="../comments16.xml"/><Relationship Id="rId5" Type="http://schemas.openxmlformats.org/officeDocument/2006/relationships/vmlDrawing" Target="../drawings/vmlDrawing20.vml"/><Relationship Id="rId4"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vmlDrawing" Target="../drawings/vmlDrawing21.vml"/><Relationship Id="rId7" Type="http://schemas.openxmlformats.org/officeDocument/2006/relationships/control" Target="../activeX/activeX36.xml"/><Relationship Id="rId2" Type="http://schemas.openxmlformats.org/officeDocument/2006/relationships/drawing" Target="../drawings/drawing32.xml"/><Relationship Id="rId1" Type="http://schemas.openxmlformats.org/officeDocument/2006/relationships/printerSettings" Target="../printerSettings/printerSettings77.bin"/><Relationship Id="rId6" Type="http://schemas.openxmlformats.org/officeDocument/2006/relationships/control" Target="../activeX/activeX35.xml"/><Relationship Id="rId11" Type="http://schemas.openxmlformats.org/officeDocument/2006/relationships/comments" Target="../comments17.xml"/><Relationship Id="rId5" Type="http://schemas.openxmlformats.org/officeDocument/2006/relationships/image" Target="../media/image28.emf"/><Relationship Id="rId10" Type="http://schemas.openxmlformats.org/officeDocument/2006/relationships/image" Target="../media/image30.emf"/><Relationship Id="rId4" Type="http://schemas.openxmlformats.org/officeDocument/2006/relationships/control" Target="../activeX/activeX34.xml"/><Relationship Id="rId9" Type="http://schemas.openxmlformats.org/officeDocument/2006/relationships/control" Target="../activeX/activeX37.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80.bin"/><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4"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83.bin"/><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 Id="rId4"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86.bin"/><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4"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3" Type="http://schemas.openxmlformats.org/officeDocument/2006/relationships/hyperlink" Target="http://law.ato.gov.au/atolaw/view.htm?Docid=PSR/PS200313/NAT/ATO/00001&amp;PiT=99991231235958" TargetMode="Externa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5" Type="http://schemas.openxmlformats.org/officeDocument/2006/relationships/drawing" Target="../drawings/drawing36.xml"/><Relationship Id="rId4" Type="http://schemas.openxmlformats.org/officeDocument/2006/relationships/printerSettings" Target="../printerSettings/printerSettings89.bin"/></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92.bin"/><Relationship Id="rId7" Type="http://schemas.openxmlformats.org/officeDocument/2006/relationships/comments" Target="../comments18.xml"/><Relationship Id="rId2" Type="http://schemas.openxmlformats.org/officeDocument/2006/relationships/printerSettings" Target="../printerSettings/printerSettings91.bin"/><Relationship Id="rId1" Type="http://schemas.openxmlformats.org/officeDocument/2006/relationships/printerSettings" Target="../printerSettings/printerSettings90.bin"/><Relationship Id="rId6" Type="http://schemas.openxmlformats.org/officeDocument/2006/relationships/ctrlProp" Target="../ctrlProps/ctrlProp23.xml"/><Relationship Id="rId5" Type="http://schemas.openxmlformats.org/officeDocument/2006/relationships/vmlDrawing" Target="../drawings/vmlDrawing22.vml"/><Relationship Id="rId4"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95.bin"/><Relationship Id="rId7" Type="http://schemas.openxmlformats.org/officeDocument/2006/relationships/comments" Target="../comments19.xml"/><Relationship Id="rId2" Type="http://schemas.openxmlformats.org/officeDocument/2006/relationships/printerSettings" Target="../printerSettings/printerSettings94.bin"/><Relationship Id="rId1" Type="http://schemas.openxmlformats.org/officeDocument/2006/relationships/printerSettings" Target="../printerSettings/printerSettings93.bin"/><Relationship Id="rId6" Type="http://schemas.openxmlformats.org/officeDocument/2006/relationships/ctrlProp" Target="../ctrlProps/ctrlProp24.xml"/><Relationship Id="rId5" Type="http://schemas.openxmlformats.org/officeDocument/2006/relationships/vmlDrawing" Target="../drawings/vmlDrawing23.vml"/><Relationship Id="rId4"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98.bin"/><Relationship Id="rId2" Type="http://schemas.openxmlformats.org/officeDocument/2006/relationships/printerSettings" Target="../printerSettings/printerSettings97.bin"/><Relationship Id="rId1" Type="http://schemas.openxmlformats.org/officeDocument/2006/relationships/printerSettings" Target="../printerSettings/printerSettings96.bin"/><Relationship Id="rId4"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101.bin"/><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 Id="rId4"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104.bin"/><Relationship Id="rId2" Type="http://schemas.openxmlformats.org/officeDocument/2006/relationships/printerSettings" Target="../printerSettings/printerSettings103.bin"/><Relationship Id="rId1" Type="http://schemas.openxmlformats.org/officeDocument/2006/relationships/printerSettings" Target="../printerSettings/printerSettings102.bin"/><Relationship Id="rId4"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107.bin"/><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4"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110.bin"/><Relationship Id="rId2" Type="http://schemas.openxmlformats.org/officeDocument/2006/relationships/printerSettings" Target="../printerSettings/printerSettings109.bin"/><Relationship Id="rId1" Type="http://schemas.openxmlformats.org/officeDocument/2006/relationships/printerSettings" Target="../printerSettings/printerSettings108.bin"/><Relationship Id="rId4"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printerSettings" Target="../printerSettings/printerSettings113.bin"/><Relationship Id="rId7" Type="http://schemas.openxmlformats.org/officeDocument/2006/relationships/ctrlProp" Target="../ctrlProps/ctrlProp26.xml"/><Relationship Id="rId2" Type="http://schemas.openxmlformats.org/officeDocument/2006/relationships/printerSettings" Target="../printerSettings/printerSettings112.bin"/><Relationship Id="rId1" Type="http://schemas.openxmlformats.org/officeDocument/2006/relationships/printerSettings" Target="../printerSettings/printerSettings111.bin"/><Relationship Id="rId6" Type="http://schemas.openxmlformats.org/officeDocument/2006/relationships/ctrlProp" Target="../ctrlProps/ctrlProp25.xml"/><Relationship Id="rId5" Type="http://schemas.openxmlformats.org/officeDocument/2006/relationships/vmlDrawing" Target="../drawings/vmlDrawing24.vml"/><Relationship Id="rId4" Type="http://schemas.openxmlformats.org/officeDocument/2006/relationships/drawing" Target="../drawings/drawing44.xml"/><Relationship Id="rId9" Type="http://schemas.openxmlformats.org/officeDocument/2006/relationships/comments" Target="../comments20.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116.bin"/><Relationship Id="rId2" Type="http://schemas.openxmlformats.org/officeDocument/2006/relationships/printerSettings" Target="../printerSettings/printerSettings115.bin"/><Relationship Id="rId1" Type="http://schemas.openxmlformats.org/officeDocument/2006/relationships/printerSettings" Target="../printerSettings/printerSettings114.bin"/><Relationship Id="rId6" Type="http://schemas.openxmlformats.org/officeDocument/2006/relationships/comments" Target="../comments21.xml"/><Relationship Id="rId5" Type="http://schemas.openxmlformats.org/officeDocument/2006/relationships/vmlDrawing" Target="../drawings/vmlDrawing25.vml"/><Relationship Id="rId4"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119.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comments" Target="../comments22.xml"/><Relationship Id="rId5" Type="http://schemas.openxmlformats.org/officeDocument/2006/relationships/vmlDrawing" Target="../drawings/vmlDrawing26.vml"/><Relationship Id="rId4"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122.bin"/><Relationship Id="rId7" Type="http://schemas.openxmlformats.org/officeDocument/2006/relationships/comments" Target="../comments23.xml"/><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ctrlProp" Target="../ctrlProps/ctrlProp28.xml"/><Relationship Id="rId5" Type="http://schemas.openxmlformats.org/officeDocument/2006/relationships/vmlDrawing" Target="../drawings/vmlDrawing27.vml"/><Relationship Id="rId4"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printerSettings" Target="../printerSettings/printerSettings125.bin"/><Relationship Id="rId7" Type="http://schemas.openxmlformats.org/officeDocument/2006/relationships/image" Target="../media/image31.emf"/><Relationship Id="rId2" Type="http://schemas.openxmlformats.org/officeDocument/2006/relationships/printerSettings" Target="../printerSettings/printerSettings124.bin"/><Relationship Id="rId1" Type="http://schemas.openxmlformats.org/officeDocument/2006/relationships/printerSettings" Target="../printerSettings/printerSettings123.bin"/><Relationship Id="rId6" Type="http://schemas.openxmlformats.org/officeDocument/2006/relationships/control" Target="../activeX/activeX38.xml"/><Relationship Id="rId11" Type="http://schemas.openxmlformats.org/officeDocument/2006/relationships/comments" Target="../comments24.xml"/><Relationship Id="rId5" Type="http://schemas.openxmlformats.org/officeDocument/2006/relationships/vmlDrawing" Target="../drawings/vmlDrawing28.vml"/><Relationship Id="rId10" Type="http://schemas.openxmlformats.org/officeDocument/2006/relationships/ctrlProp" Target="../ctrlProps/ctrlProp31.xml"/><Relationship Id="rId4" Type="http://schemas.openxmlformats.org/officeDocument/2006/relationships/drawing" Target="../drawings/drawing48.xml"/><Relationship Id="rId9" Type="http://schemas.openxmlformats.org/officeDocument/2006/relationships/ctrlProp" Target="../ctrlProps/ctrlProp30.xml"/></Relationships>
</file>

<file path=xl/worksheets/_rels/sheet50.xml.rels><?xml version="1.0" encoding="UTF-8" standalone="yes"?>
<Relationships xmlns="http://schemas.openxmlformats.org/package/2006/relationships"><Relationship Id="rId3" Type="http://schemas.openxmlformats.org/officeDocument/2006/relationships/printerSettings" Target="../printerSettings/printerSettings128.bin"/><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4" Type="http://schemas.openxmlformats.org/officeDocument/2006/relationships/drawing" Target="../drawings/drawing49.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131.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6" Type="http://schemas.openxmlformats.org/officeDocument/2006/relationships/comments" Target="../comments25.xml"/><Relationship Id="rId5" Type="http://schemas.openxmlformats.org/officeDocument/2006/relationships/vmlDrawing" Target="../drawings/vmlDrawing29.vml"/><Relationship Id="rId4" Type="http://schemas.openxmlformats.org/officeDocument/2006/relationships/drawing" Target="../drawings/drawing50.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hyperlink" Target="https://www.whkpulse.com.au/browse/folder.asp?d=59455970585F505343797C0904030905" TargetMode="External"/><Relationship Id="rId7" Type="http://schemas.openxmlformats.org/officeDocument/2006/relationships/ctrlProp" Target="../ctrlProps/ctrlProp32.xml"/><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6" Type="http://schemas.openxmlformats.org/officeDocument/2006/relationships/vmlDrawing" Target="../drawings/vmlDrawing30.vml"/><Relationship Id="rId5" Type="http://schemas.openxmlformats.org/officeDocument/2006/relationships/drawing" Target="../drawings/drawing51.xml"/><Relationship Id="rId4" Type="http://schemas.openxmlformats.org/officeDocument/2006/relationships/printerSettings" Target="../printerSettings/printerSettings134.bin"/><Relationship Id="rId9" Type="http://schemas.openxmlformats.org/officeDocument/2006/relationships/ctrlProp" Target="../ctrlProps/ctrlProp34.xml"/></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137.bin"/><Relationship Id="rId2" Type="http://schemas.openxmlformats.org/officeDocument/2006/relationships/printerSettings" Target="../printerSettings/printerSettings136.bin"/><Relationship Id="rId1" Type="http://schemas.openxmlformats.org/officeDocument/2006/relationships/printerSettings" Target="../printerSettings/printerSettings135.bin"/><Relationship Id="rId4" Type="http://schemas.openxmlformats.org/officeDocument/2006/relationships/drawing" Target="../drawings/drawing52.xml"/></Relationships>
</file>

<file path=xl/worksheets/_rels/sheet54.xml.rels><?xml version="1.0" encoding="UTF-8" standalone="yes"?>
<Relationships xmlns="http://schemas.openxmlformats.org/package/2006/relationships"><Relationship Id="rId3" Type="http://schemas.openxmlformats.org/officeDocument/2006/relationships/printerSettings" Target="../printerSettings/printerSettings140.bin"/><Relationship Id="rId2" Type="http://schemas.openxmlformats.org/officeDocument/2006/relationships/printerSettings" Target="../printerSettings/printerSettings139.bin"/><Relationship Id="rId1" Type="http://schemas.openxmlformats.org/officeDocument/2006/relationships/printerSettings" Target="../printerSettings/printerSettings138.bin"/><Relationship Id="rId6" Type="http://schemas.openxmlformats.org/officeDocument/2006/relationships/ctrlProp" Target="../ctrlProps/ctrlProp35.xml"/><Relationship Id="rId5" Type="http://schemas.openxmlformats.org/officeDocument/2006/relationships/vmlDrawing" Target="../drawings/vmlDrawing31.vml"/><Relationship Id="rId4" Type="http://schemas.openxmlformats.org/officeDocument/2006/relationships/drawing" Target="../drawings/drawing53.xml"/></Relationships>
</file>

<file path=xl/worksheets/_rels/sheet55.xml.rels><?xml version="1.0" encoding="UTF-8" standalone="yes"?>
<Relationships xmlns="http://schemas.openxmlformats.org/package/2006/relationships"><Relationship Id="rId3" Type="http://schemas.openxmlformats.org/officeDocument/2006/relationships/printerSettings" Target="../printerSettings/printerSettings143.bin"/><Relationship Id="rId2" Type="http://schemas.openxmlformats.org/officeDocument/2006/relationships/printerSettings" Target="../printerSettings/printerSettings142.bin"/><Relationship Id="rId1" Type="http://schemas.openxmlformats.org/officeDocument/2006/relationships/printerSettings" Target="../printerSettings/printerSettings141.bin"/><Relationship Id="rId4" Type="http://schemas.openxmlformats.org/officeDocument/2006/relationships/drawing" Target="../drawings/drawing54.xml"/></Relationships>
</file>

<file path=xl/worksheets/_rels/sheet5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hyperlink" Target="http://www.rba.gov.au/statistics/tables/index.html" TargetMode="External"/><Relationship Id="rId7" Type="http://schemas.openxmlformats.org/officeDocument/2006/relationships/ctrlProp" Target="../ctrlProps/ctrlProp36.xml"/><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6" Type="http://schemas.openxmlformats.org/officeDocument/2006/relationships/vmlDrawing" Target="../drawings/vmlDrawing32.vml"/><Relationship Id="rId5" Type="http://schemas.openxmlformats.org/officeDocument/2006/relationships/drawing" Target="../drawings/drawing55.xml"/><Relationship Id="rId4" Type="http://schemas.openxmlformats.org/officeDocument/2006/relationships/printerSettings" Target="../printerSettings/printerSettings146.bin"/></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149.bin"/><Relationship Id="rId2" Type="http://schemas.openxmlformats.org/officeDocument/2006/relationships/printerSettings" Target="../printerSettings/printerSettings148.bin"/><Relationship Id="rId1" Type="http://schemas.openxmlformats.org/officeDocument/2006/relationships/printerSettings" Target="../printerSettings/printerSettings147.bin"/><Relationship Id="rId4" Type="http://schemas.openxmlformats.org/officeDocument/2006/relationships/drawing" Target="../drawings/drawing56.xm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152.bin"/><Relationship Id="rId7" Type="http://schemas.openxmlformats.org/officeDocument/2006/relationships/image" Target="../media/image32.emf"/><Relationship Id="rId2" Type="http://schemas.openxmlformats.org/officeDocument/2006/relationships/printerSettings" Target="../printerSettings/printerSettings151.bin"/><Relationship Id="rId1" Type="http://schemas.openxmlformats.org/officeDocument/2006/relationships/printerSettings" Target="../printerSettings/printerSettings150.bin"/><Relationship Id="rId6" Type="http://schemas.openxmlformats.org/officeDocument/2006/relationships/control" Target="../activeX/activeX39.xml"/><Relationship Id="rId5" Type="http://schemas.openxmlformats.org/officeDocument/2006/relationships/vmlDrawing" Target="../drawings/vmlDrawing33.vml"/><Relationship Id="rId4" Type="http://schemas.openxmlformats.org/officeDocument/2006/relationships/drawing" Target="../drawings/drawing57.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155.bin"/><Relationship Id="rId7" Type="http://schemas.openxmlformats.org/officeDocument/2006/relationships/comments" Target="../comments27.xml"/><Relationship Id="rId2" Type="http://schemas.openxmlformats.org/officeDocument/2006/relationships/printerSettings" Target="../printerSettings/printerSettings154.bin"/><Relationship Id="rId1" Type="http://schemas.openxmlformats.org/officeDocument/2006/relationships/printerSettings" Target="../printerSettings/printerSettings153.bin"/><Relationship Id="rId6" Type="http://schemas.openxmlformats.org/officeDocument/2006/relationships/ctrlProp" Target="../ctrlProps/ctrlProp37.xml"/><Relationship Id="rId5" Type="http://schemas.openxmlformats.org/officeDocument/2006/relationships/vmlDrawing" Target="../drawings/vmlDrawing34.vml"/><Relationship Id="rId4" Type="http://schemas.openxmlformats.org/officeDocument/2006/relationships/drawing" Target="../drawings/drawing58.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158.bin"/><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ctrlProp" Target="../ctrlProps/ctrlProp38.xml"/><Relationship Id="rId5" Type="http://schemas.openxmlformats.org/officeDocument/2006/relationships/vmlDrawing" Target="../drawings/vmlDrawing35.vml"/><Relationship Id="rId4" Type="http://schemas.openxmlformats.org/officeDocument/2006/relationships/drawing" Target="../drawings/drawing59.xml"/></Relationships>
</file>

<file path=xl/worksheets/_rels/sheet61.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161.bin"/><Relationship Id="rId7" Type="http://schemas.openxmlformats.org/officeDocument/2006/relationships/image" Target="../media/image33.emf"/><Relationship Id="rId2" Type="http://schemas.openxmlformats.org/officeDocument/2006/relationships/printerSettings" Target="../printerSettings/printerSettings160.bin"/><Relationship Id="rId1" Type="http://schemas.openxmlformats.org/officeDocument/2006/relationships/printerSettings" Target="../printerSettings/printerSettings159.bin"/><Relationship Id="rId6" Type="http://schemas.openxmlformats.org/officeDocument/2006/relationships/control" Target="../activeX/activeX40.xml"/><Relationship Id="rId5" Type="http://schemas.openxmlformats.org/officeDocument/2006/relationships/vmlDrawing" Target="../drawings/vmlDrawing36.vml"/><Relationship Id="rId4" Type="http://schemas.openxmlformats.org/officeDocument/2006/relationships/drawing" Target="../drawings/drawing60.xml"/></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164.bin"/><Relationship Id="rId2" Type="http://schemas.openxmlformats.org/officeDocument/2006/relationships/printerSettings" Target="../printerSettings/printerSettings163.bin"/><Relationship Id="rId1" Type="http://schemas.openxmlformats.org/officeDocument/2006/relationships/printerSettings" Target="../printerSettings/printerSettings162.bin"/><Relationship Id="rId6" Type="http://schemas.openxmlformats.org/officeDocument/2006/relationships/comments" Target="../comments29.xml"/><Relationship Id="rId5" Type="http://schemas.openxmlformats.org/officeDocument/2006/relationships/vmlDrawing" Target="../drawings/vmlDrawing37.vml"/><Relationship Id="rId4" Type="http://schemas.openxmlformats.org/officeDocument/2006/relationships/drawing" Target="../drawings/drawing61.xml"/></Relationships>
</file>

<file path=xl/worksheets/_rels/sheet63.xml.rels><?xml version="1.0" encoding="UTF-8" standalone="yes"?>
<Relationships xmlns="http://schemas.openxmlformats.org/package/2006/relationships"><Relationship Id="rId8" Type="http://schemas.openxmlformats.org/officeDocument/2006/relationships/comments" Target="../comments30.xml"/><Relationship Id="rId3" Type="http://schemas.openxmlformats.org/officeDocument/2006/relationships/printerSettings" Target="../printerSettings/printerSettings167.bin"/><Relationship Id="rId7" Type="http://schemas.openxmlformats.org/officeDocument/2006/relationships/ctrlProp" Target="../ctrlProps/ctrlProp40.xml"/><Relationship Id="rId2" Type="http://schemas.openxmlformats.org/officeDocument/2006/relationships/printerSettings" Target="../printerSettings/printerSettings166.bin"/><Relationship Id="rId1" Type="http://schemas.openxmlformats.org/officeDocument/2006/relationships/printerSettings" Target="../printerSettings/printerSettings165.bin"/><Relationship Id="rId6" Type="http://schemas.openxmlformats.org/officeDocument/2006/relationships/ctrlProp" Target="../ctrlProps/ctrlProp39.xml"/><Relationship Id="rId5" Type="http://schemas.openxmlformats.org/officeDocument/2006/relationships/vmlDrawing" Target="../drawings/vmlDrawing38.vml"/><Relationship Id="rId4" Type="http://schemas.openxmlformats.org/officeDocument/2006/relationships/drawing" Target="../drawings/drawing62.x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170.bin"/><Relationship Id="rId2" Type="http://schemas.openxmlformats.org/officeDocument/2006/relationships/printerSettings" Target="../printerSettings/printerSettings169.bin"/><Relationship Id="rId1" Type="http://schemas.openxmlformats.org/officeDocument/2006/relationships/printerSettings" Target="../printerSettings/printerSettings168.bin"/><Relationship Id="rId6" Type="http://schemas.openxmlformats.org/officeDocument/2006/relationships/comments" Target="../comments31.xml"/><Relationship Id="rId5" Type="http://schemas.openxmlformats.org/officeDocument/2006/relationships/vmlDrawing" Target="../drawings/vmlDrawing39.vml"/><Relationship Id="rId4" Type="http://schemas.openxmlformats.org/officeDocument/2006/relationships/drawing" Target="../drawings/drawing63.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173.bin"/><Relationship Id="rId7" Type="http://schemas.openxmlformats.org/officeDocument/2006/relationships/comments" Target="../comments32.xml"/><Relationship Id="rId2" Type="http://schemas.openxmlformats.org/officeDocument/2006/relationships/printerSettings" Target="../printerSettings/printerSettings172.bin"/><Relationship Id="rId1" Type="http://schemas.openxmlformats.org/officeDocument/2006/relationships/printerSettings" Target="../printerSettings/printerSettings171.bin"/><Relationship Id="rId6" Type="http://schemas.openxmlformats.org/officeDocument/2006/relationships/ctrlProp" Target="../ctrlProps/ctrlProp41.xml"/><Relationship Id="rId5" Type="http://schemas.openxmlformats.org/officeDocument/2006/relationships/vmlDrawing" Target="../drawings/vmlDrawing40.vml"/><Relationship Id="rId4" Type="http://schemas.openxmlformats.org/officeDocument/2006/relationships/drawing" Target="../drawings/drawing64.xml"/></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176.bin"/><Relationship Id="rId2" Type="http://schemas.openxmlformats.org/officeDocument/2006/relationships/printerSettings" Target="../printerSettings/printerSettings175.bin"/><Relationship Id="rId1" Type="http://schemas.openxmlformats.org/officeDocument/2006/relationships/printerSettings" Target="../printerSettings/printerSettings174.bin"/><Relationship Id="rId4" Type="http://schemas.openxmlformats.org/officeDocument/2006/relationships/drawing" Target="../drawings/drawing65.xml"/></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179.bin"/><Relationship Id="rId2" Type="http://schemas.openxmlformats.org/officeDocument/2006/relationships/printerSettings" Target="../printerSettings/printerSettings178.bin"/><Relationship Id="rId1" Type="http://schemas.openxmlformats.org/officeDocument/2006/relationships/printerSettings" Target="../printerSettings/printerSettings177.bin"/><Relationship Id="rId4" Type="http://schemas.openxmlformats.org/officeDocument/2006/relationships/drawing" Target="../drawings/drawing66.xml"/></Relationships>
</file>

<file path=xl/worksheets/_rels/sheet68.xml.rels><?xml version="1.0" encoding="UTF-8" standalone="yes"?>
<Relationships xmlns="http://schemas.openxmlformats.org/package/2006/relationships"><Relationship Id="rId3" Type="http://schemas.openxmlformats.org/officeDocument/2006/relationships/printerSettings" Target="../printerSettings/printerSettings182.bin"/><Relationship Id="rId2" Type="http://schemas.openxmlformats.org/officeDocument/2006/relationships/printerSettings" Target="../printerSettings/printerSettings181.bin"/><Relationship Id="rId1" Type="http://schemas.openxmlformats.org/officeDocument/2006/relationships/printerSettings" Target="../printerSettings/printerSettings180.bin"/><Relationship Id="rId4" Type="http://schemas.openxmlformats.org/officeDocument/2006/relationships/drawing" Target="../drawings/drawing67.xml"/></Relationships>
</file>

<file path=xl/worksheets/_rels/sheet69.xml.rels><?xml version="1.0" encoding="UTF-8" standalone="yes"?>
<Relationships xmlns="http://schemas.openxmlformats.org/package/2006/relationships"><Relationship Id="rId3" Type="http://schemas.openxmlformats.org/officeDocument/2006/relationships/hyperlink" Target="https://www.ato.gov.au/Business/Small-business-benchmarks/" TargetMode="External"/><Relationship Id="rId2" Type="http://schemas.openxmlformats.org/officeDocument/2006/relationships/printerSettings" Target="../printerSettings/printerSettings184.bin"/><Relationship Id="rId1" Type="http://schemas.openxmlformats.org/officeDocument/2006/relationships/printerSettings" Target="../printerSettings/printerSettings183.bin"/><Relationship Id="rId5" Type="http://schemas.openxmlformats.org/officeDocument/2006/relationships/drawing" Target="../drawings/drawing68.xml"/><Relationship Id="rId4" Type="http://schemas.openxmlformats.org/officeDocument/2006/relationships/printerSettings" Target="../printerSettings/printerSettings185.bin"/></Relationships>
</file>

<file path=xl/worksheets/_rels/sheet70.xml.rels><?xml version="1.0" encoding="UTF-8" standalone="yes"?>
<Relationships xmlns="http://schemas.openxmlformats.org/package/2006/relationships"><Relationship Id="rId3" Type="http://schemas.openxmlformats.org/officeDocument/2006/relationships/printerSettings" Target="../printerSettings/printerSettings188.bin"/><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comments" Target="../comments33.xml"/><Relationship Id="rId5" Type="http://schemas.openxmlformats.org/officeDocument/2006/relationships/vmlDrawing" Target="../drawings/vmlDrawing41.vml"/><Relationship Id="rId4" Type="http://schemas.openxmlformats.org/officeDocument/2006/relationships/drawing" Target="../drawings/drawing69.xml"/></Relationships>
</file>

<file path=xl/worksheets/_rels/sheet71.xml.rels><?xml version="1.0" encoding="UTF-8" standalone="yes"?>
<Relationships xmlns="http://schemas.openxmlformats.org/package/2006/relationships"><Relationship Id="rId3" Type="http://schemas.openxmlformats.org/officeDocument/2006/relationships/printerSettings" Target="../printerSettings/printerSettings191.bin"/><Relationship Id="rId2" Type="http://schemas.openxmlformats.org/officeDocument/2006/relationships/printerSettings" Target="../printerSettings/printerSettings190.bin"/><Relationship Id="rId1" Type="http://schemas.openxmlformats.org/officeDocument/2006/relationships/printerSettings" Target="../printerSettings/printerSettings189.bin"/><Relationship Id="rId4" Type="http://schemas.openxmlformats.org/officeDocument/2006/relationships/drawing" Target="../drawings/drawing70.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71.xml"/><Relationship Id="rId1" Type="http://schemas.openxmlformats.org/officeDocument/2006/relationships/printerSettings" Target="../printerSettings/printerSettings192.bin"/><Relationship Id="rId4" Type="http://schemas.openxmlformats.org/officeDocument/2006/relationships/comments" Target="../comments34.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comments" Target="../comments35.xml"/><Relationship Id="rId2" Type="http://schemas.openxmlformats.org/officeDocument/2006/relationships/drawing" Target="../drawings/drawing72.xml"/><Relationship Id="rId1" Type="http://schemas.openxmlformats.org/officeDocument/2006/relationships/printerSettings" Target="../printerSettings/printerSettings193.bin"/><Relationship Id="rId6" Type="http://schemas.openxmlformats.org/officeDocument/2006/relationships/ctrlProp" Target="../ctrlProps/ctrlProp42.xml"/><Relationship Id="rId5" Type="http://schemas.openxmlformats.org/officeDocument/2006/relationships/image" Target="../media/image34.emf"/><Relationship Id="rId4" Type="http://schemas.openxmlformats.org/officeDocument/2006/relationships/control" Target="../activeX/activeX41.xml"/></Relationships>
</file>

<file path=xl/worksheets/_rels/sheet74.xml.rels><?xml version="1.0" encoding="UTF-8" standalone="yes"?>
<Relationships xmlns="http://schemas.openxmlformats.org/package/2006/relationships"><Relationship Id="rId8" Type="http://schemas.openxmlformats.org/officeDocument/2006/relationships/drawing" Target="../drawings/drawing73.xml"/><Relationship Id="rId3" Type="http://schemas.openxmlformats.org/officeDocument/2006/relationships/hyperlink" Target="https://www.ato.gov.au/Individuals/Income-and-deductions/Deductions-you-can-claim/Working-from-home-expenses/Actual-cost-method/" TargetMode="External"/><Relationship Id="rId7" Type="http://schemas.openxmlformats.org/officeDocument/2006/relationships/printerSettings" Target="../printerSettings/printerSettings194.bin"/><Relationship Id="rId2" Type="http://schemas.openxmlformats.org/officeDocument/2006/relationships/hyperlink" Target="https://www.ato.gov.au/individuals/income-and-deductions/deductions-you-can-claim/working-from-home-expenses/fixed-rate-method---52-cents/" TargetMode="External"/><Relationship Id="rId1" Type="http://schemas.openxmlformats.org/officeDocument/2006/relationships/hyperlink" Target="https://www.ato.gov.au/law/view/document?DocID=TXR/TR9330/NAT/ATO/00001&amp;PiT=99991231235958" TargetMode="External"/><Relationship Id="rId6" Type="http://schemas.openxmlformats.org/officeDocument/2006/relationships/hyperlink" Target="https://www.ato.gov.au/law/view/document?DocID=COG/PCG20231/NAT/ATO/00001" TargetMode="External"/><Relationship Id="rId5" Type="http://schemas.openxmlformats.org/officeDocument/2006/relationships/hyperlink" Target="https://www.ato.gov.au/individuals/income-and-deductions/deductions-you-can-claim/working-from-home-expenses/fixed-rate-method---67-cents/" TargetMode="External"/><Relationship Id="rId4" Type="http://schemas.openxmlformats.org/officeDocument/2006/relationships/hyperlink" Target="https://www.ato.gov.au/Individuals/Income-and-deductions/Deductions-you-can-claim/Working-from-home-expenses/Shortcut-method/" TargetMode="External"/></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197.bin"/><Relationship Id="rId2" Type="http://schemas.openxmlformats.org/officeDocument/2006/relationships/printerSettings" Target="../printerSettings/printerSettings196.bin"/><Relationship Id="rId1" Type="http://schemas.openxmlformats.org/officeDocument/2006/relationships/printerSettings" Target="../printerSettings/printerSettings195.bin"/><Relationship Id="rId4" Type="http://schemas.openxmlformats.org/officeDocument/2006/relationships/drawing" Target="../drawings/drawing74.xml"/></Relationships>
</file>

<file path=xl/worksheets/_rels/sheet76.xml.rels><?xml version="1.0" encoding="UTF-8" standalone="yes"?>
<Relationships xmlns="http://schemas.openxmlformats.org/package/2006/relationships"><Relationship Id="rId3" Type="http://schemas.openxmlformats.org/officeDocument/2006/relationships/printerSettings" Target="../printerSettings/printerSettings200.bin"/><Relationship Id="rId2" Type="http://schemas.openxmlformats.org/officeDocument/2006/relationships/printerSettings" Target="../printerSettings/printerSettings199.bin"/><Relationship Id="rId1" Type="http://schemas.openxmlformats.org/officeDocument/2006/relationships/printerSettings" Target="../printerSettings/printerSettings19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InfoSheet">
    <tabColor theme="8" tint="0.79998168889431442"/>
  </sheetPr>
  <dimension ref="A1:V33"/>
  <sheetViews>
    <sheetView zoomScaleNormal="100" workbookViewId="0">
      <selection activeCell="Q25" sqref="Q25"/>
    </sheetView>
  </sheetViews>
  <sheetFormatPr defaultColWidth="9.140625" defaultRowHeight="12.75"/>
  <cols>
    <col min="1" max="1" width="8.5703125" style="1" customWidth="1"/>
    <col min="2" max="2" width="13.140625" style="1" customWidth="1"/>
    <col min="3" max="3" width="12.7109375" style="1" customWidth="1"/>
    <col min="4" max="4" width="18.5703125" style="1" customWidth="1"/>
    <col min="5" max="5" width="16.5703125" style="1" customWidth="1"/>
    <col min="6" max="6" width="12.140625" style="1" customWidth="1"/>
    <col min="7" max="7" width="7.85546875" style="1" hidden="1" customWidth="1"/>
    <col min="8" max="8" width="2" style="1" hidden="1" customWidth="1"/>
    <col min="9" max="9" width="5.42578125" style="1" hidden="1" customWidth="1"/>
    <col min="10" max="10" width="2" style="1" hidden="1" customWidth="1"/>
    <col min="11" max="11" width="23.5703125" style="1" hidden="1" customWidth="1"/>
    <col min="12" max="12" width="4.85546875" style="1" hidden="1" customWidth="1"/>
    <col min="13" max="13" width="3.5703125" style="1" hidden="1" customWidth="1"/>
    <col min="14" max="14" width="8.42578125" style="1" hidden="1" customWidth="1"/>
    <col min="15" max="15" width="25.140625" style="1" hidden="1" customWidth="1"/>
    <col min="16" max="16" width="17.28515625" style="932" hidden="1" customWidth="1"/>
    <col min="17" max="17" width="10.140625" style="1" bestFit="1" customWidth="1"/>
    <col min="18" max="16384" width="9.140625" style="1"/>
  </cols>
  <sheetData>
    <row r="1" spans="1:21" s="668" customFormat="1" ht="16.5" customHeight="1">
      <c r="A1" s="3697" t="s">
        <v>2545</v>
      </c>
      <c r="B1" s="3698"/>
      <c r="C1" s="3698"/>
      <c r="D1" s="3698"/>
      <c r="E1" s="3698"/>
      <c r="F1" s="3699"/>
      <c r="G1" s="3690" t="s">
        <v>918</v>
      </c>
      <c r="H1" s="3691"/>
      <c r="I1" s="3691"/>
      <c r="J1" s="3691"/>
      <c r="K1" s="3691"/>
      <c r="L1" s="3691"/>
      <c r="M1" s="3691"/>
      <c r="N1" s="3691"/>
      <c r="O1" s="3691"/>
      <c r="P1" s="3692"/>
    </row>
    <row r="2" spans="1:21">
      <c r="G2" s="1090"/>
      <c r="H2" s="1091"/>
      <c r="I2" s="1091"/>
      <c r="J2" s="1091"/>
      <c r="K2" s="1091"/>
      <c r="L2" s="1091"/>
      <c r="M2" s="1091"/>
      <c r="N2" s="1091" t="s">
        <v>18</v>
      </c>
      <c r="O2" s="1091" t="s">
        <v>932</v>
      </c>
      <c r="P2" s="1092" t="s">
        <v>933</v>
      </c>
      <c r="Q2" s="668"/>
      <c r="R2" s="668"/>
    </row>
    <row r="3" spans="1:21">
      <c r="A3" s="2" t="s">
        <v>2449</v>
      </c>
      <c r="B3" s="2"/>
      <c r="C3" s="2"/>
      <c r="G3" s="1088" t="s">
        <v>1128</v>
      </c>
      <c r="H3" s="10"/>
      <c r="I3" s="10"/>
      <c r="J3" s="10"/>
      <c r="K3" s="10"/>
      <c r="L3" s="10"/>
      <c r="M3" s="10"/>
      <c r="N3" s="932"/>
      <c r="O3" s="932">
        <v>3</v>
      </c>
      <c r="P3" s="932">
        <v>2</v>
      </c>
    </row>
    <row r="4" spans="1:21">
      <c r="A4" s="3700"/>
      <c r="B4" s="3700"/>
      <c r="C4" s="3700"/>
      <c r="G4" s="1088"/>
      <c r="H4" s="10"/>
      <c r="I4" s="10"/>
      <c r="J4" s="10"/>
      <c r="K4" s="10"/>
      <c r="L4" s="10"/>
      <c r="M4" s="10"/>
      <c r="N4" s="1200" t="s">
        <v>19</v>
      </c>
      <c r="O4" s="216" t="s">
        <v>1186</v>
      </c>
      <c r="P4" s="932" t="s">
        <v>934</v>
      </c>
    </row>
    <row r="5" spans="1:21">
      <c r="G5" s="1088" t="s">
        <v>1538</v>
      </c>
      <c r="H5" s="10">
        <v>1</v>
      </c>
      <c r="I5" s="932" t="s">
        <v>1312</v>
      </c>
      <c r="J5" s="932">
        <v>1</v>
      </c>
      <c r="K5" s="932" t="s">
        <v>1198</v>
      </c>
      <c r="L5" s="932" t="s">
        <v>464</v>
      </c>
      <c r="M5" s="932" t="s">
        <v>1401</v>
      </c>
      <c r="N5" s="1933" t="s">
        <v>2026</v>
      </c>
      <c r="O5" s="216" t="s">
        <v>1187</v>
      </c>
      <c r="P5" s="932" t="s">
        <v>935</v>
      </c>
    </row>
    <row r="6" spans="1:21" ht="15.75" customHeight="1">
      <c r="A6" s="3" t="s">
        <v>950</v>
      </c>
      <c r="B6" s="3"/>
      <c r="C6" s="2641" t="s">
        <v>2834</v>
      </c>
      <c r="D6" s="2642"/>
      <c r="E6" s="2642"/>
      <c r="F6" s="2643"/>
      <c r="G6" s="1088"/>
      <c r="H6" s="10">
        <v>2</v>
      </c>
      <c r="I6" s="10" t="s">
        <v>1313</v>
      </c>
      <c r="J6" s="10">
        <v>2</v>
      </c>
      <c r="K6" s="10" t="s">
        <v>1199</v>
      </c>
      <c r="L6" s="10" t="s">
        <v>551</v>
      </c>
      <c r="M6" s="10" t="s">
        <v>547</v>
      </c>
      <c r="O6" s="216" t="s">
        <v>919</v>
      </c>
    </row>
    <row r="7" spans="1:21" ht="15.75" customHeight="1">
      <c r="A7" s="3" t="s">
        <v>948</v>
      </c>
      <c r="B7" s="3"/>
      <c r="C7" s="3694">
        <v>99999</v>
      </c>
      <c r="D7" s="3695"/>
      <c r="E7" s="3695"/>
      <c r="F7" s="3696"/>
      <c r="G7" s="1088"/>
      <c r="H7" s="10">
        <v>3</v>
      </c>
      <c r="I7" s="10" t="s">
        <v>1314</v>
      </c>
      <c r="J7" s="10">
        <v>3</v>
      </c>
      <c r="K7" s="10" t="s">
        <v>1200</v>
      </c>
      <c r="L7" s="10"/>
      <c r="M7" s="10" t="s">
        <v>229</v>
      </c>
      <c r="N7" s="1200" t="s">
        <v>20</v>
      </c>
      <c r="O7" s="10"/>
    </row>
    <row r="8" spans="1:21" ht="15.75" customHeight="1">
      <c r="A8" s="3" t="s">
        <v>952</v>
      </c>
      <c r="B8" s="3"/>
      <c r="C8" s="2646">
        <f>DATE(YEAR(F8)-1,MONTH(F8)+1,1)</f>
        <v>45108</v>
      </c>
      <c r="E8" s="5" t="s">
        <v>953</v>
      </c>
      <c r="F8" s="2647">
        <v>45473</v>
      </c>
      <c r="G8" s="1088"/>
      <c r="H8" s="10">
        <v>4</v>
      </c>
      <c r="I8" s="27" t="s">
        <v>1318</v>
      </c>
      <c r="J8" s="27">
        <v>4</v>
      </c>
      <c r="K8" s="10" t="s">
        <v>1201</v>
      </c>
      <c r="L8" s="10"/>
      <c r="M8" s="10" t="s">
        <v>176</v>
      </c>
      <c r="N8" s="1934" t="s">
        <v>2026</v>
      </c>
      <c r="O8" s="10"/>
      <c r="Q8" s="49"/>
    </row>
    <row r="9" spans="1:21" ht="15.75" customHeight="1">
      <c r="A9" s="3" t="s">
        <v>1854</v>
      </c>
      <c r="B9" s="3"/>
      <c r="C9" s="1" t="str">
        <f>Input_Firm_Name</f>
        <v>FINDEX</v>
      </c>
      <c r="E9" s="5" t="s">
        <v>231</v>
      </c>
      <c r="F9" s="213">
        <f>(F8-C8)+1</f>
        <v>366</v>
      </c>
      <c r="G9" s="1088"/>
      <c r="H9" s="10">
        <v>5</v>
      </c>
      <c r="I9" s="27" t="s">
        <v>1315</v>
      </c>
      <c r="J9" s="27">
        <v>5</v>
      </c>
      <c r="K9" s="10" t="s">
        <v>230</v>
      </c>
      <c r="L9" s="10"/>
      <c r="M9" s="10"/>
      <c r="N9" s="1935" t="s">
        <v>2026</v>
      </c>
      <c r="O9" s="10"/>
    </row>
    <row r="10" spans="1:21" ht="15.75" customHeight="1">
      <c r="A10" s="3" t="s">
        <v>931</v>
      </c>
      <c r="B10" s="3"/>
      <c r="C10" s="3"/>
      <c r="D10" s="3"/>
      <c r="E10" s="3"/>
      <c r="F10" s="3"/>
      <c r="G10" s="1088"/>
      <c r="H10" s="10">
        <v>6</v>
      </c>
      <c r="I10" s="27" t="s">
        <v>1316</v>
      </c>
      <c r="J10" s="27"/>
      <c r="K10" s="10"/>
      <c r="L10" s="10"/>
      <c r="M10" s="10"/>
      <c r="O10" s="10"/>
      <c r="U10" s="1479"/>
    </row>
    <row r="11" spans="1:21" ht="15.75" customHeight="1">
      <c r="A11" s="3" t="s">
        <v>1197</v>
      </c>
      <c r="B11" s="3"/>
      <c r="C11" s="669" t="str">
        <f>LOOKUP(P13,J5:J9,K5:K9)</f>
        <v>T - TRUST</v>
      </c>
      <c r="E11" s="5" t="s">
        <v>1284</v>
      </c>
      <c r="F11" s="2648"/>
      <c r="G11" s="1088"/>
      <c r="H11" s="10">
        <v>7</v>
      </c>
      <c r="I11" s="27" t="s">
        <v>1040</v>
      </c>
      <c r="J11" s="27"/>
      <c r="K11" s="10"/>
      <c r="L11" s="10"/>
      <c r="M11" s="10"/>
      <c r="O11" s="10"/>
      <c r="P11" s="932">
        <v>1</v>
      </c>
    </row>
    <row r="12" spans="1:21" ht="15.75" customHeight="1">
      <c r="A12" s="3" t="s">
        <v>1400</v>
      </c>
      <c r="B12" s="3"/>
      <c r="C12" s="669" t="str">
        <f>LOOKUP(P14,H5:H12,I5:I12)</f>
        <v>VIC</v>
      </c>
      <c r="D12" s="8" t="s">
        <v>1040</v>
      </c>
      <c r="E12" s="9" t="s">
        <v>1070</v>
      </c>
      <c r="F12" s="2648"/>
      <c r="G12" s="1088"/>
      <c r="H12" s="10">
        <v>8</v>
      </c>
      <c r="I12" s="27" t="s">
        <v>1317</v>
      </c>
      <c r="J12" s="27"/>
      <c r="K12" s="10"/>
      <c r="L12" s="10"/>
      <c r="M12" s="10"/>
      <c r="O12" s="10"/>
      <c r="P12" s="932">
        <v>1</v>
      </c>
    </row>
    <row r="13" spans="1:21" ht="15.75" customHeight="1">
      <c r="A13" s="3" t="s">
        <v>448</v>
      </c>
      <c r="B13" s="3"/>
      <c r="C13" s="8" t="str">
        <f>IF(P15=2,"NO","YES")</f>
        <v>NO</v>
      </c>
      <c r="D13" s="8"/>
      <c r="E13" s="5" t="s">
        <v>1804</v>
      </c>
      <c r="F13" s="2648" t="s">
        <v>440</v>
      </c>
      <c r="G13" s="1088"/>
      <c r="H13" s="10"/>
      <c r="I13" s="27"/>
      <c r="J13" s="27"/>
      <c r="K13" s="10"/>
      <c r="L13" s="10"/>
      <c r="M13" s="10"/>
      <c r="O13" s="10">
        <v>1</v>
      </c>
      <c r="P13" s="932">
        <v>2</v>
      </c>
    </row>
    <row r="14" spans="1:21" ht="15.75" customHeight="1">
      <c r="A14" s="79" t="s">
        <v>2013</v>
      </c>
      <c r="B14" s="79"/>
      <c r="C14" s="8" t="str">
        <f>IF(P16=2,"NO","YES")</f>
        <v>YES</v>
      </c>
      <c r="D14" s="8"/>
      <c r="G14" s="1088"/>
      <c r="H14" s="10"/>
      <c r="I14" s="27"/>
      <c r="J14" s="27"/>
      <c r="K14" s="10"/>
      <c r="L14" s="10"/>
      <c r="M14" s="10"/>
      <c r="O14" s="10"/>
      <c r="P14" s="932">
        <v>7</v>
      </c>
    </row>
    <row r="15" spans="1:21" ht="15.75" customHeight="1">
      <c r="A15" s="79" t="s">
        <v>1335</v>
      </c>
      <c r="B15" s="79"/>
      <c r="C15" s="8" t="str">
        <f>IF(P17=2,"NO","YES")</f>
        <v>YES</v>
      </c>
      <c r="D15" s="8"/>
      <c r="G15" s="1088"/>
      <c r="H15" s="1089"/>
      <c r="I15" s="27"/>
      <c r="J15" s="27"/>
      <c r="K15" s="10"/>
      <c r="L15" s="10"/>
      <c r="M15" s="10">
        <v>1</v>
      </c>
      <c r="N15" s="10"/>
      <c r="O15" s="10">
        <v>2</v>
      </c>
      <c r="P15" s="932">
        <v>2</v>
      </c>
    </row>
    <row r="16" spans="1:21" ht="15.75" customHeight="1">
      <c r="A16" s="3" t="s">
        <v>238</v>
      </c>
      <c r="B16" s="3"/>
      <c r="C16" s="8" t="str">
        <f>IF(P18=2,"NO","YES")</f>
        <v>NO</v>
      </c>
      <c r="D16" s="8" t="s">
        <v>1040</v>
      </c>
      <c r="G16" s="1088"/>
      <c r="H16" s="10"/>
      <c r="I16" s="10"/>
      <c r="J16" s="10"/>
      <c r="K16" s="10"/>
      <c r="L16" s="10"/>
      <c r="M16" s="10"/>
      <c r="O16" s="10">
        <v>1</v>
      </c>
      <c r="P16" s="932">
        <v>1</v>
      </c>
    </row>
    <row r="17" spans="1:17" ht="15.75" customHeight="1">
      <c r="A17" s="3" t="s">
        <v>1285</v>
      </c>
      <c r="B17" s="3"/>
      <c r="C17" s="8" t="str">
        <f>IF(P19=2,"NO","YES")</f>
        <v>NO</v>
      </c>
      <c r="D17" s="8" t="s">
        <v>1040</v>
      </c>
      <c r="G17" s="1088"/>
      <c r="H17" s="10"/>
      <c r="I17" s="10"/>
      <c r="J17" s="10"/>
      <c r="K17" s="10"/>
      <c r="L17" s="10"/>
      <c r="M17" s="10">
        <v>2</v>
      </c>
      <c r="O17" s="10">
        <v>1</v>
      </c>
      <c r="P17" s="932">
        <v>1</v>
      </c>
    </row>
    <row r="18" spans="1:17">
      <c r="F18" s="49"/>
      <c r="G18" s="1088"/>
      <c r="H18" s="10"/>
      <c r="I18" s="10"/>
      <c r="J18" s="10"/>
      <c r="K18" s="10"/>
      <c r="L18" s="10"/>
      <c r="M18" s="10">
        <v>1</v>
      </c>
      <c r="O18" s="10">
        <v>2</v>
      </c>
      <c r="P18" s="932">
        <v>2</v>
      </c>
      <c r="Q18" s="1479"/>
    </row>
    <row r="19" spans="1:17">
      <c r="C19" s="3693" t="s">
        <v>2527</v>
      </c>
      <c r="D19" s="3693"/>
      <c r="F19" s="708"/>
      <c r="G19" s="1088"/>
      <c r="H19" s="10"/>
      <c r="I19" s="10"/>
      <c r="J19" s="10"/>
      <c r="K19" s="10"/>
      <c r="L19" s="10"/>
      <c r="M19" s="10">
        <v>2</v>
      </c>
      <c r="N19" s="10"/>
      <c r="O19" s="10">
        <v>2</v>
      </c>
      <c r="P19" s="932">
        <v>2</v>
      </c>
    </row>
    <row r="20" spans="1:17">
      <c r="G20" s="10"/>
      <c r="H20" s="10"/>
      <c r="I20" s="10"/>
      <c r="J20" s="10"/>
      <c r="K20" s="10"/>
      <c r="L20" s="10"/>
      <c r="M20" s="10">
        <v>2</v>
      </c>
      <c r="N20" s="10"/>
      <c r="O20" s="10"/>
    </row>
    <row r="21" spans="1:17">
      <c r="A21" s="9" t="s">
        <v>2427</v>
      </c>
      <c r="B21" s="9"/>
      <c r="C21" s="3" t="s">
        <v>2804</v>
      </c>
      <c r="G21" s="10"/>
      <c r="H21" s="10"/>
      <c r="I21" s="10"/>
      <c r="J21" s="10"/>
      <c r="K21" s="10"/>
      <c r="L21" s="10"/>
      <c r="M21" s="10">
        <v>2</v>
      </c>
      <c r="N21" s="10"/>
      <c r="O21" s="10"/>
    </row>
    <row r="22" spans="1:17">
      <c r="A22" s="3076" t="s">
        <v>2428</v>
      </c>
      <c r="B22" s="3076"/>
      <c r="C22" s="3077" t="s">
        <v>2411</v>
      </c>
      <c r="G22" s="10"/>
      <c r="H22" s="10"/>
      <c r="I22" s="10"/>
      <c r="J22" s="10"/>
      <c r="K22" s="10"/>
      <c r="L22" s="10"/>
      <c r="M22" s="10"/>
      <c r="N22" s="10"/>
      <c r="O22" s="10"/>
    </row>
    <row r="24" spans="1:17">
      <c r="A24" s="1479" t="s">
        <v>2453</v>
      </c>
    </row>
    <row r="25" spans="1:17">
      <c r="A25" s="1598" t="s">
        <v>2410</v>
      </c>
    </row>
    <row r="27" spans="1:17">
      <c r="A27" s="1479" t="s">
        <v>2452</v>
      </c>
    </row>
    <row r="28" spans="1:17">
      <c r="A28" s="1598" t="s">
        <v>2462</v>
      </c>
    </row>
    <row r="30" spans="1:17">
      <c r="A30" s="1479"/>
    </row>
    <row r="31" spans="1:17">
      <c r="A31" s="1598"/>
    </row>
    <row r="33" spans="22:22">
      <c r="V33" s="1479"/>
    </row>
  </sheetData>
  <customSheetViews>
    <customSheetView guid="{BCBE45D4-3C45-4659-992E-5C5D3E9FD81C}" showPageBreaks="1" fitToPage="1" printArea="1" hiddenColumns="1">
      <selection activeCell="F26" sqref="F26"/>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printArea="1" hiddenColumns="1">
      <selection activeCell="F28" sqref="F28"/>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5">
    <mergeCell ref="G1:P1"/>
    <mergeCell ref="C19:D19"/>
    <mergeCell ref="C7:F7"/>
    <mergeCell ref="A1:F1"/>
    <mergeCell ref="A4:C4"/>
  </mergeCells>
  <phoneticPr fontId="26" type="noConversion"/>
  <dataValidations count="6">
    <dataValidation allowBlank="1" showInputMessage="1" showErrorMessage="1" promptTitle="Entity in STS" prompt="If the client is in the Simplified Tax System (STS), select &quot;YES&quot;.  If the client is not, select &quot;NO&quot;." sqref="C14:C17" xr:uid="{00000000-0002-0000-0000-000000000000}"/>
    <dataValidation allowBlank="1" showInputMessage="1" showErrorMessage="1" promptTitle="Enter entity's state" prompt="Enter the state of the entity for which you are doing the work, as this will be used to determine the rates required in some of the workpapers." sqref="C13 D12 D16:D17" xr:uid="{00000000-0002-0000-0000-000001000000}"/>
    <dataValidation showInputMessage="1" showErrorMessage="1" promptTitle="Entity Type" prompt="Select the type of entity from the list.  Your selection will automatically update the source column of this index to reflect only those workpapers and checklists relevant to the type of entity you have selected." sqref="C11:C12" xr:uid="{00000000-0002-0000-0000-000002000000}"/>
    <dataValidation allowBlank="1" showErrorMessage="1" promptTitle="Enter the state of the entity" prompt="Enter the state of the entity for which you are doing the work, as this will be used to determine the rates required in some of the workpapers." sqref="H7:H11 F3:F5" xr:uid="{00000000-0002-0000-0000-000003000000}"/>
    <dataValidation allowBlank="1" showErrorMessage="1" sqref="F2 H6" xr:uid="{00000000-0002-0000-0000-000004000000}"/>
    <dataValidation type="list" allowBlank="1" showInputMessage="1" showErrorMessage="1" sqref="F13" xr:uid="{00000000-0002-0000-0000-000005000000}">
      <formula1>YesNo</formula1>
    </dataValidation>
  </dataValidations>
  <hyperlinks>
    <hyperlink ref="C19" location="'File Index'!A1" display="Go to File Index" xr:uid="{00000000-0004-0000-0000-000000000000}"/>
    <hyperlink ref="C19:D19" location="'WPIndex'!A1" display="Go to File Index" xr:uid="{00000000-0004-0000-0000-000001000000}"/>
    <hyperlink ref="A25" r:id="rId3" xr:uid="{71B5200D-7C03-4248-BA38-780F6159F619}"/>
    <hyperlink ref="A28" r:id="rId4" xr:uid="{3377C770-EDF5-4F13-B2CF-90725A13544A}"/>
  </hyperlinks>
  <printOptions horizontalCentered="1"/>
  <pageMargins left="0.59055118110236227" right="0.43307086614173229" top="0.6692913385826772" bottom="0.94488188976377963" header="0.51181102362204722" footer="0.39370078740157483"/>
  <pageSetup paperSize="9" fitToHeight="999" orientation="portrait" r:id="rId5"/>
  <headerFooter alignWithMargins="0">
    <oddFooter>&amp;L&amp;8© Findex (Aust) Pty Ltd.  All rights reserved.&amp;R&amp;8&amp;P/&amp;N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112648" r:id="rId8" name="Drop Down 8">
              <controlPr defaultSize="0" autoLine="0" autoPict="0">
                <anchor moveWithCells="1">
                  <from>
                    <xdr:col>1</xdr:col>
                    <xdr:colOff>866775</xdr:colOff>
                    <xdr:row>15</xdr:row>
                    <xdr:rowOff>0</xdr:rowOff>
                  </from>
                  <to>
                    <xdr:col>3</xdr:col>
                    <xdr:colOff>1123950</xdr:colOff>
                    <xdr:row>16</xdr:row>
                    <xdr:rowOff>0</xdr:rowOff>
                  </to>
                </anchor>
              </controlPr>
            </control>
          </mc:Choice>
        </mc:AlternateContent>
        <mc:AlternateContent xmlns:mc="http://schemas.openxmlformats.org/markup-compatibility/2006">
          <mc:Choice Requires="x14">
            <control shapeId="112651" r:id="rId9" name="Drop Down 11">
              <controlPr defaultSize="0" autoLine="0" autoPict="0">
                <anchor moveWithCells="1">
                  <from>
                    <xdr:col>1</xdr:col>
                    <xdr:colOff>866775</xdr:colOff>
                    <xdr:row>16</xdr:row>
                    <xdr:rowOff>0</xdr:rowOff>
                  </from>
                  <to>
                    <xdr:col>3</xdr:col>
                    <xdr:colOff>1123950</xdr:colOff>
                    <xdr:row>17</xdr:row>
                    <xdr:rowOff>0</xdr:rowOff>
                  </to>
                </anchor>
              </controlPr>
            </control>
          </mc:Choice>
        </mc:AlternateContent>
        <mc:AlternateContent xmlns:mc="http://schemas.openxmlformats.org/markup-compatibility/2006">
          <mc:Choice Requires="x14">
            <control shapeId="112656" r:id="rId10" name="Drop Down 16">
              <controlPr defaultSize="0" autoLine="0" autoPict="0" macro="[0]!PurposeChanged">
                <anchor moveWithCells="1">
                  <from>
                    <xdr:col>1</xdr:col>
                    <xdr:colOff>866775</xdr:colOff>
                    <xdr:row>9</xdr:row>
                    <xdr:rowOff>0</xdr:rowOff>
                  </from>
                  <to>
                    <xdr:col>3</xdr:col>
                    <xdr:colOff>1123950</xdr:colOff>
                    <xdr:row>10</xdr:row>
                    <xdr:rowOff>0</xdr:rowOff>
                  </to>
                </anchor>
              </controlPr>
            </control>
          </mc:Choice>
        </mc:AlternateContent>
        <mc:AlternateContent xmlns:mc="http://schemas.openxmlformats.org/markup-compatibility/2006">
          <mc:Choice Requires="x14">
            <control shapeId="112643" r:id="rId11" name="Drop Down 3">
              <controlPr defaultSize="0" autoLine="0" autoPict="0" macro="[0]!RefreshVisibleSheets">
                <anchor moveWithCells="1">
                  <from>
                    <xdr:col>1</xdr:col>
                    <xdr:colOff>866775</xdr:colOff>
                    <xdr:row>10</xdr:row>
                    <xdr:rowOff>0</xdr:rowOff>
                  </from>
                  <to>
                    <xdr:col>3</xdr:col>
                    <xdr:colOff>1123950</xdr:colOff>
                    <xdr:row>11</xdr:row>
                    <xdr:rowOff>0</xdr:rowOff>
                  </to>
                </anchor>
              </controlPr>
            </control>
          </mc:Choice>
        </mc:AlternateContent>
        <mc:AlternateContent xmlns:mc="http://schemas.openxmlformats.org/markup-compatibility/2006">
          <mc:Choice Requires="x14">
            <control shapeId="112644" r:id="rId12" name="Drop Down 4">
              <controlPr defaultSize="0" autoLine="0" autoPict="0">
                <anchor moveWithCells="1">
                  <from>
                    <xdr:col>1</xdr:col>
                    <xdr:colOff>866775</xdr:colOff>
                    <xdr:row>11</xdr:row>
                    <xdr:rowOff>0</xdr:rowOff>
                  </from>
                  <to>
                    <xdr:col>3</xdr:col>
                    <xdr:colOff>1123950</xdr:colOff>
                    <xdr:row>12</xdr:row>
                    <xdr:rowOff>0</xdr:rowOff>
                  </to>
                </anchor>
              </controlPr>
            </control>
          </mc:Choice>
        </mc:AlternateContent>
        <mc:AlternateContent xmlns:mc="http://schemas.openxmlformats.org/markup-compatibility/2006">
          <mc:Choice Requires="x14">
            <control shapeId="112645" r:id="rId13" name="Drop Down 5">
              <controlPr defaultSize="0" autoLine="0" autoPict="0" macro="[0]!RefreshVisibleSheets">
                <anchor moveWithCells="1">
                  <from>
                    <xdr:col>1</xdr:col>
                    <xdr:colOff>866775</xdr:colOff>
                    <xdr:row>11</xdr:row>
                    <xdr:rowOff>190500</xdr:rowOff>
                  </from>
                  <to>
                    <xdr:col>3</xdr:col>
                    <xdr:colOff>1123950</xdr:colOff>
                    <xdr:row>12</xdr:row>
                    <xdr:rowOff>190500</xdr:rowOff>
                  </to>
                </anchor>
              </controlPr>
            </control>
          </mc:Choice>
        </mc:AlternateContent>
        <mc:AlternateContent xmlns:mc="http://schemas.openxmlformats.org/markup-compatibility/2006">
          <mc:Choice Requires="x14">
            <control shapeId="112646" r:id="rId14" name="Drop Down 6">
              <controlPr defaultSize="0" autoLine="0" autoPict="0" macro="[0]!RefreshVisibleSheets">
                <anchor moveWithCells="1">
                  <from>
                    <xdr:col>1</xdr:col>
                    <xdr:colOff>866775</xdr:colOff>
                    <xdr:row>12</xdr:row>
                    <xdr:rowOff>190500</xdr:rowOff>
                  </from>
                  <to>
                    <xdr:col>3</xdr:col>
                    <xdr:colOff>1123950</xdr:colOff>
                    <xdr:row>13</xdr:row>
                    <xdr:rowOff>190500</xdr:rowOff>
                  </to>
                </anchor>
              </controlPr>
            </control>
          </mc:Choice>
        </mc:AlternateContent>
        <mc:AlternateContent xmlns:mc="http://schemas.openxmlformats.org/markup-compatibility/2006">
          <mc:Choice Requires="x14">
            <control shapeId="112647" r:id="rId15" name="Drop Down 7">
              <controlPr defaultSize="0" autoLine="0" autoPict="0" macro="[0]!RefreshVisibleSheets">
                <anchor moveWithCells="1">
                  <from>
                    <xdr:col>1</xdr:col>
                    <xdr:colOff>866775</xdr:colOff>
                    <xdr:row>13</xdr:row>
                    <xdr:rowOff>190500</xdr:rowOff>
                  </from>
                  <to>
                    <xdr:col>3</xdr:col>
                    <xdr:colOff>1123950</xdr:colOff>
                    <xdr:row>14</xdr:row>
                    <xdr:rowOff>190500</xdr:rowOff>
                  </to>
                </anchor>
              </controlPr>
            </control>
          </mc:Choice>
        </mc:AlternateContent>
        <mc:AlternateContent xmlns:mc="http://schemas.openxmlformats.org/markup-compatibility/2006">
          <mc:Choice Requires="x14">
            <control shapeId="112650" r:id="rId16" name="Drop Down 10">
              <controlPr defaultSize="0" autoLine="0" autoPict="0" macro="[0]!GST_Entity_Tailoring">
                <anchor moveWithCells="1">
                  <from>
                    <xdr:col>1</xdr:col>
                    <xdr:colOff>866775</xdr:colOff>
                    <xdr:row>14</xdr:row>
                    <xdr:rowOff>190500</xdr:rowOff>
                  </from>
                  <to>
                    <xdr:col>3</xdr:col>
                    <xdr:colOff>1123950</xdr:colOff>
                    <xdr:row>15</xdr:row>
                    <xdr:rowOff>190500</xdr:rowOff>
                  </to>
                </anchor>
              </controlPr>
            </control>
          </mc:Choice>
        </mc:AlternateContent>
        <mc:AlternateContent xmlns:mc="http://schemas.openxmlformats.org/markup-compatibility/2006">
          <mc:Choice Requires="x14">
            <control shapeId="112652" r:id="rId17" name="Drop Down 12">
              <controlPr defaultSize="0" autoLine="0" autoPict="0" macro="[0]!ToggleShowRefColumns">
                <anchor moveWithCells="1">
                  <from>
                    <xdr:col>1</xdr:col>
                    <xdr:colOff>866775</xdr:colOff>
                    <xdr:row>15</xdr:row>
                    <xdr:rowOff>190500</xdr:rowOff>
                  </from>
                  <to>
                    <xdr:col>3</xdr:col>
                    <xdr:colOff>1123950</xdr:colOff>
                    <xdr:row>16</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A3B92-4C18-46EB-B93E-BBB50AFD1FFE}">
  <sheetPr codeName="WPIndexNew">
    <tabColor theme="8" tint="0.79998168889431442"/>
    <pageSetUpPr fitToPage="1"/>
  </sheetPr>
  <dimension ref="A1:G95"/>
  <sheetViews>
    <sheetView topLeftCell="A41" zoomScaleNormal="100" workbookViewId="0">
      <selection sqref="A1:F1"/>
    </sheetView>
  </sheetViews>
  <sheetFormatPr defaultColWidth="9.140625" defaultRowHeight="12.75"/>
  <cols>
    <col min="1" max="1" width="9.140625" style="3197"/>
    <col min="2" max="2" width="55.7109375" style="3197" bestFit="1" customWidth="1"/>
    <col min="3" max="3" width="9.5703125" style="3197" bestFit="1" customWidth="1"/>
    <col min="4" max="16384" width="9.140625" style="3197"/>
  </cols>
  <sheetData>
    <row r="1" spans="1:7">
      <c r="A1" s="2710"/>
      <c r="B1" s="1619"/>
      <c r="C1" s="1619"/>
      <c r="D1" s="3099" t="s">
        <v>2425</v>
      </c>
      <c r="E1" s="3571" t="s">
        <v>2758</v>
      </c>
      <c r="G1" s="3204"/>
    </row>
    <row r="2" spans="1:7">
      <c r="A2" s="2710"/>
      <c r="B2" s="2711"/>
      <c r="C2" s="2711"/>
      <c r="D2" s="3198"/>
      <c r="E2" s="3199"/>
      <c r="G2" s="3204"/>
    </row>
    <row r="3" spans="1:7">
      <c r="A3" s="2710"/>
      <c r="B3" s="2711"/>
      <c r="C3" s="2711"/>
      <c r="D3" s="2711"/>
      <c r="E3" s="2710"/>
    </row>
    <row r="4" spans="1:7">
      <c r="A4" s="2710"/>
      <c r="B4" s="2710"/>
      <c r="C4" s="2710"/>
      <c r="D4" s="2712"/>
      <c r="E4" s="2712"/>
    </row>
    <row r="5" spans="1:7">
      <c r="A5" s="2710"/>
      <c r="B5" s="2710"/>
      <c r="C5" s="2710"/>
      <c r="D5" s="3200"/>
      <c r="E5" s="3201"/>
    </row>
    <row r="6" spans="1:7" ht="15.75">
      <c r="A6" s="3701" t="s">
        <v>492</v>
      </c>
      <c r="B6" s="3702"/>
      <c r="C6" s="3702"/>
      <c r="D6" s="3702"/>
      <c r="E6" s="3703"/>
    </row>
    <row r="7" spans="1:7">
      <c r="A7" s="2710"/>
      <c r="B7" s="1619"/>
      <c r="C7" s="1619"/>
      <c r="D7" s="1619"/>
      <c r="E7" s="3202"/>
    </row>
    <row r="8" spans="1:7" ht="38.25">
      <c r="A8" s="3203" t="s">
        <v>2515</v>
      </c>
      <c r="C8" s="3211" t="s">
        <v>2524</v>
      </c>
    </row>
    <row r="9" spans="1:7">
      <c r="B9" s="3207" t="s">
        <v>2479</v>
      </c>
    </row>
    <row r="10" spans="1:7">
      <c r="B10" s="3207" t="s">
        <v>923</v>
      </c>
      <c r="C10" s="3196"/>
    </row>
    <row r="11" spans="1:7">
      <c r="C11" s="3205"/>
    </row>
    <row r="12" spans="1:7" ht="15">
      <c r="A12" s="3203" t="s">
        <v>2480</v>
      </c>
      <c r="C12" s="3205"/>
    </row>
    <row r="13" spans="1:7">
      <c r="B13" s="3207" t="s">
        <v>2481</v>
      </c>
      <c r="C13" s="3196"/>
    </row>
    <row r="14" spans="1:7">
      <c r="B14" s="3207" t="s">
        <v>2800</v>
      </c>
      <c r="C14" s="3661"/>
    </row>
    <row r="15" spans="1:7">
      <c r="B15" s="3212" t="s">
        <v>2632</v>
      </c>
      <c r="C15" s="3472"/>
    </row>
    <row r="16" spans="1:7">
      <c r="B16" s="3207" t="s">
        <v>842</v>
      </c>
      <c r="C16" s="3196"/>
    </row>
    <row r="17" spans="1:3">
      <c r="B17" s="3207" t="s">
        <v>2482</v>
      </c>
      <c r="C17" s="3196"/>
    </row>
    <row r="18" spans="1:3">
      <c r="B18" s="3207" t="s">
        <v>2483</v>
      </c>
      <c r="C18" s="3196"/>
    </row>
    <row r="19" spans="1:3">
      <c r="B19" s="3207" t="s">
        <v>2484</v>
      </c>
      <c r="C19" s="3196"/>
    </row>
    <row r="20" spans="1:3">
      <c r="B20" s="3207" t="s">
        <v>2281</v>
      </c>
      <c r="C20" s="3196"/>
    </row>
    <row r="21" spans="1:3">
      <c r="B21" s="3207" t="s">
        <v>2485</v>
      </c>
      <c r="C21" s="3196"/>
    </row>
    <row r="22" spans="1:3">
      <c r="C22" s="3205"/>
    </row>
    <row r="23" spans="1:3" ht="15">
      <c r="A23" s="3203" t="s">
        <v>2486</v>
      </c>
      <c r="C23" s="3205"/>
    </row>
    <row r="24" spans="1:3">
      <c r="B24" s="3207" t="s">
        <v>317</v>
      </c>
      <c r="C24" s="3196"/>
    </row>
    <row r="25" spans="1:3">
      <c r="B25" s="3207" t="s">
        <v>930</v>
      </c>
      <c r="C25" s="3196"/>
    </row>
    <row r="26" spans="1:3">
      <c r="B26" s="3207" t="s">
        <v>1972</v>
      </c>
      <c r="C26" s="3196"/>
    </row>
    <row r="27" spans="1:3">
      <c r="B27" s="3207" t="s">
        <v>2587</v>
      </c>
      <c r="C27" s="3425"/>
    </row>
    <row r="28" spans="1:3">
      <c r="B28" s="3207" t="s">
        <v>1749</v>
      </c>
      <c r="C28" s="3196"/>
    </row>
    <row r="29" spans="1:3">
      <c r="B29" s="3207" t="s">
        <v>1986</v>
      </c>
      <c r="C29" s="3196"/>
    </row>
    <row r="30" spans="1:3">
      <c r="B30" s="3207" t="s">
        <v>2487</v>
      </c>
      <c r="C30" s="3196"/>
    </row>
    <row r="31" spans="1:3">
      <c r="A31" s="3603"/>
      <c r="B31" s="3207" t="s">
        <v>2547</v>
      </c>
      <c r="C31" s="3376"/>
    </row>
    <row r="32" spans="1:3">
      <c r="C32" s="3205"/>
    </row>
    <row r="33" spans="1:3" ht="15">
      <c r="A33" s="3203" t="s">
        <v>2488</v>
      </c>
      <c r="C33" s="3205"/>
    </row>
    <row r="34" spans="1:3">
      <c r="B34" s="3207" t="s">
        <v>2489</v>
      </c>
      <c r="C34" s="3196"/>
    </row>
    <row r="35" spans="1:3">
      <c r="B35" s="3207" t="s">
        <v>2492</v>
      </c>
      <c r="C35" s="3196"/>
    </row>
    <row r="36" spans="1:3">
      <c r="B36" s="3207" t="s">
        <v>2491</v>
      </c>
      <c r="C36" s="3196"/>
    </row>
    <row r="37" spans="1:3">
      <c r="C37" s="3205"/>
    </row>
    <row r="38" spans="1:3" ht="15">
      <c r="A38" s="3203" t="s">
        <v>1486</v>
      </c>
      <c r="C38" s="3205"/>
    </row>
    <row r="39" spans="1:3">
      <c r="B39" s="3207" t="s">
        <v>2493</v>
      </c>
      <c r="C39" s="3196"/>
    </row>
    <row r="40" spans="1:3">
      <c r="B40" s="3207" t="s">
        <v>2494</v>
      </c>
      <c r="C40" s="3196"/>
    </row>
    <row r="41" spans="1:3">
      <c r="B41" s="3207" t="s">
        <v>2533</v>
      </c>
      <c r="C41" s="3285"/>
    </row>
    <row r="42" spans="1:3">
      <c r="B42" s="3207" t="s">
        <v>2532</v>
      </c>
      <c r="C42" s="3285"/>
    </row>
    <row r="43" spans="1:3">
      <c r="B43" s="3207" t="s">
        <v>2534</v>
      </c>
      <c r="C43" s="3285"/>
    </row>
    <row r="44" spans="1:3">
      <c r="B44" s="3207" t="s">
        <v>2509</v>
      </c>
      <c r="C44" s="3196"/>
    </row>
    <row r="45" spans="1:3">
      <c r="B45" s="3207" t="s">
        <v>253</v>
      </c>
      <c r="C45" s="3196"/>
    </row>
    <row r="46" spans="1:3">
      <c r="B46" s="3207" t="s">
        <v>2496</v>
      </c>
      <c r="C46" s="3196"/>
    </row>
    <row r="47" spans="1:3">
      <c r="B47" s="3207" t="s">
        <v>561</v>
      </c>
      <c r="C47" s="3196"/>
    </row>
    <row r="48" spans="1:3">
      <c r="B48" s="3207" t="s">
        <v>2495</v>
      </c>
      <c r="C48" s="3196"/>
    </row>
    <row r="49" spans="1:3">
      <c r="C49" s="3205"/>
    </row>
    <row r="50" spans="1:3" ht="15">
      <c r="A50" s="3203" t="s">
        <v>1488</v>
      </c>
      <c r="C50" s="3205"/>
    </row>
    <row r="51" spans="1:3">
      <c r="B51" s="3207" t="s">
        <v>2497</v>
      </c>
      <c r="C51" s="3196"/>
    </row>
    <row r="52" spans="1:3">
      <c r="B52" s="3207" t="s">
        <v>308</v>
      </c>
      <c r="C52" s="3196"/>
    </row>
    <row r="53" spans="1:3">
      <c r="B53" s="3207" t="s">
        <v>1872</v>
      </c>
      <c r="C53" s="3196"/>
    </row>
    <row r="54" spans="1:3">
      <c r="B54" s="3207" t="s">
        <v>2517</v>
      </c>
      <c r="C54" s="3196"/>
    </row>
    <row r="55" spans="1:3">
      <c r="B55" s="3207" t="s">
        <v>2518</v>
      </c>
      <c r="C55" s="3196"/>
    </row>
    <row r="56" spans="1:3">
      <c r="B56" s="3207" t="s">
        <v>2499</v>
      </c>
      <c r="C56" s="3196"/>
    </row>
    <row r="57" spans="1:3">
      <c r="B57" s="3207" t="s">
        <v>2498</v>
      </c>
      <c r="C57" s="3196"/>
    </row>
    <row r="58" spans="1:3">
      <c r="B58" s="3207" t="s">
        <v>1372</v>
      </c>
      <c r="C58" s="3196"/>
    </row>
    <row r="59" spans="1:3">
      <c r="B59" s="3207" t="s">
        <v>433</v>
      </c>
      <c r="C59" s="3196"/>
    </row>
    <row r="60" spans="1:3">
      <c r="B60" s="3207" t="s">
        <v>2500</v>
      </c>
      <c r="C60" s="3196"/>
    </row>
    <row r="61" spans="1:3">
      <c r="C61" s="3205"/>
    </row>
    <row r="62" spans="1:3" ht="15">
      <c r="A62" s="3203" t="s">
        <v>2501</v>
      </c>
      <c r="C62" s="3205"/>
    </row>
    <row r="63" spans="1:3">
      <c r="A63" s="3206"/>
      <c r="B63" s="3207" t="s">
        <v>1063</v>
      </c>
      <c r="C63" s="3196"/>
    </row>
    <row r="64" spans="1:3">
      <c r="A64" s="3206"/>
      <c r="B64" s="3207" t="s">
        <v>1832</v>
      </c>
      <c r="C64" s="3196"/>
    </row>
    <row r="65" spans="1:3">
      <c r="B65" s="3207" t="s">
        <v>2506</v>
      </c>
      <c r="C65" s="3196"/>
    </row>
    <row r="66" spans="1:3">
      <c r="B66" s="3207" t="s">
        <v>2507</v>
      </c>
      <c r="C66" s="3196"/>
    </row>
    <row r="67" spans="1:3">
      <c r="B67" s="3207" t="s">
        <v>857</v>
      </c>
      <c r="C67" s="3196"/>
    </row>
    <row r="68" spans="1:3">
      <c r="B68" s="3207" t="s">
        <v>2502</v>
      </c>
      <c r="C68" s="3196"/>
    </row>
    <row r="69" spans="1:3">
      <c r="B69" s="3207" t="s">
        <v>2503</v>
      </c>
      <c r="C69" s="3196"/>
    </row>
    <row r="70" spans="1:3">
      <c r="B70" s="3207" t="s">
        <v>2505</v>
      </c>
      <c r="C70" s="3196"/>
    </row>
    <row r="71" spans="1:3">
      <c r="B71" s="3207" t="s">
        <v>2504</v>
      </c>
      <c r="C71" s="3196"/>
    </row>
    <row r="72" spans="1:3">
      <c r="C72" s="3205"/>
    </row>
    <row r="73" spans="1:3" ht="15">
      <c r="A73" s="3203" t="s">
        <v>2508</v>
      </c>
      <c r="C73" s="3205"/>
    </row>
    <row r="74" spans="1:3">
      <c r="B74" s="3207" t="s">
        <v>2511</v>
      </c>
      <c r="C74" s="3196"/>
    </row>
    <row r="75" spans="1:3">
      <c r="B75" s="3207" t="s">
        <v>2087</v>
      </c>
      <c r="C75" s="3196"/>
    </row>
    <row r="76" spans="1:3">
      <c r="B76" s="3207" t="s">
        <v>1239</v>
      </c>
      <c r="C76" s="3196"/>
    </row>
    <row r="77" spans="1:3">
      <c r="B77" s="3207" t="s">
        <v>1088</v>
      </c>
      <c r="C77" s="3196"/>
    </row>
    <row r="78" spans="1:3">
      <c r="B78" s="3207" t="s">
        <v>1131</v>
      </c>
      <c r="C78" s="3196"/>
    </row>
    <row r="79" spans="1:3">
      <c r="B79" s="3207" t="s">
        <v>2510</v>
      </c>
      <c r="C79" s="3196"/>
    </row>
    <row r="80" spans="1:3">
      <c r="B80" s="3212" t="s">
        <v>1075</v>
      </c>
      <c r="C80" s="3209"/>
    </row>
    <row r="81" spans="1:3">
      <c r="B81" s="3207" t="s">
        <v>285</v>
      </c>
      <c r="C81" s="3196"/>
    </row>
    <row r="82" spans="1:3">
      <c r="B82" s="3207" t="s">
        <v>2516</v>
      </c>
      <c r="C82" s="3196"/>
    </row>
    <row r="83" spans="1:3">
      <c r="C83" s="3205"/>
    </row>
    <row r="84" spans="1:3" ht="15">
      <c r="A84" s="3203" t="s">
        <v>2512</v>
      </c>
      <c r="C84" s="3205"/>
    </row>
    <row r="85" spans="1:3">
      <c r="B85" s="3207" t="s">
        <v>1639</v>
      </c>
      <c r="C85" s="3196"/>
    </row>
    <row r="86" spans="1:3">
      <c r="B86" s="3207" t="s">
        <v>2513</v>
      </c>
      <c r="C86" s="3196"/>
    </row>
    <row r="87" spans="1:3">
      <c r="B87" s="3207" t="s">
        <v>1483</v>
      </c>
      <c r="C87" s="3196"/>
    </row>
    <row r="88" spans="1:3">
      <c r="B88" s="3212" t="s">
        <v>2644</v>
      </c>
      <c r="C88" s="3507"/>
    </row>
    <row r="89" spans="1:3">
      <c r="B89" s="3207" t="s">
        <v>2514</v>
      </c>
      <c r="C89" s="3284"/>
    </row>
    <row r="90" spans="1:3">
      <c r="B90" s="3207" t="s">
        <v>2531</v>
      </c>
      <c r="C90" s="3196"/>
    </row>
    <row r="92" spans="1:3" ht="15">
      <c r="A92" s="3203" t="s">
        <v>2773</v>
      </c>
    </row>
    <row r="93" spans="1:3">
      <c r="B93" s="3207" t="s">
        <v>2073</v>
      </c>
      <c r="C93" s="3196"/>
    </row>
    <row r="94" spans="1:3">
      <c r="B94" s="3207" t="s">
        <v>2546</v>
      </c>
      <c r="C94" s="3376"/>
    </row>
    <row r="95" spans="1:3">
      <c r="B95" s="3207" t="s">
        <v>2490</v>
      </c>
      <c r="C95" s="3196"/>
    </row>
  </sheetData>
  <sortState xmlns:xlrd2="http://schemas.microsoft.com/office/spreadsheetml/2017/richdata2" ref="B85:C90">
    <sortCondition ref="B85:B90"/>
  </sortState>
  <mergeCells count="1">
    <mergeCell ref="A6:E6"/>
  </mergeCells>
  <dataValidations count="1">
    <dataValidation type="list" sqref="C74:C82 C34:C36 C51:C60 C63:C71 C10 C39:C48 C85:C90 C24:C31 C93:C95 C13:C21" xr:uid="{1511868A-5EE6-4C7A-898F-DD71EB3FEA61}">
      <formula1>"S,H"</formula1>
    </dataValidation>
  </dataValidations>
  <hyperlinks>
    <hyperlink ref="B9" location="'Input Info'!A1" display="Input Info" xr:uid="{C7D84D05-2407-43E3-9AA9-36E7F3D3F5A2}"/>
    <hyperlink ref="B10" location="'Standard Thresholds'!A1" display="Standard Thresholds" xr:uid="{F8360124-4C6D-4A9F-97F7-0BA784C3D98B}"/>
    <hyperlink ref="B13" location="'Tax Planning Summary'!A1" display="Tax Planning Summary" xr:uid="{9F6573BD-7827-461D-A4D0-867DBBB7B69C}"/>
    <hyperlink ref="B16" location="'Projected Income &amp; Expenses'!A1" display="Projected Income and Expenses" xr:uid="{A9F6D357-53ED-41E9-8CE1-B7230477FA86}"/>
    <hyperlink ref="B17" location="'Livestock Est'!A1" display="Livestock Estimate" xr:uid="{8A38AE43-F411-4861-B46D-BA9CDF49C040}"/>
    <hyperlink ref="B19" location="'Recommendations &amp; Ideas'!A1" display="Recommendations and Ideas" xr:uid="{7C4657D8-5B84-4B93-94DB-A356166B2F62}"/>
    <hyperlink ref="B20" location="'Meeting Agenda'!A1" display="Meeting Agenda" xr:uid="{438EACEF-53BE-48EF-90AC-EE9A125BC39A}"/>
    <hyperlink ref="B21" location="'Client Cover Sheet'!A1" display="Client Cover Sheet" xr:uid="{888E9910-4DFC-47C0-8D5A-8CCCFFE1984F}"/>
    <hyperlink ref="B24" location="'Tax Rec'!A1" display="Tax Reconciliation" xr:uid="{45CCFF81-A5FB-4217-8017-EBB74E38C428}"/>
    <hyperlink ref="B30" location="'Trust Streaming'!A1" display="Trust Streaming" xr:uid="{903E7F97-CE60-4315-9698-122068E12E98}"/>
    <hyperlink ref="B93" location="'Loss Carry Back'!A1" display="Loss Carry Back Tax Offset Calculator" xr:uid="{B7BF01D8-6FE8-464F-8E87-C3688AB8ABEA}"/>
    <hyperlink ref="B29" location="'Summary of Tax Position'!A1" display="Summary of Tax Position" xr:uid="{2CE5559E-9510-49E8-AF9B-AC33CBBD7E2A}"/>
    <hyperlink ref="B95" location="'Temp Full Expense Checklist'!A1" display="Temporary Full Expensing Checklist" xr:uid="{6B3B8EEC-1C84-4D44-97FB-C17B2F5E4D18}"/>
    <hyperlink ref="B36" location="'Low Value Pool'!A1" display="Low Value Pool Depreciation" xr:uid="{AFDCD8F1-C6AE-4BFC-B833-2666DF9DE6D0}"/>
    <hyperlink ref="B39" location="Debtors!A1" display="Trade Debtors" xr:uid="{5E596210-8833-439F-9AB4-4D8F3CB1875B}"/>
    <hyperlink ref="B40" location="'Bank Rec'!A1" display="Bank Reconciliation" xr:uid="{0F78CA34-549A-48E5-BE3C-824C38D0F4F2}"/>
    <hyperlink ref="B47" location="Prepayments!A1" display="Prepayments" xr:uid="{8310E29E-CE80-4C52-8F68-3A5E34745F65}"/>
    <hyperlink ref="B45" location="'Commercial Bill Pre'!A1" display="Commercial Bill Prepayments" xr:uid="{04F9389B-F4AF-466B-9000-45E4584D3E7A}"/>
    <hyperlink ref="B48" location="'Trading Stock'!A1" display="Trading Stock" xr:uid="{841FA76D-036F-4E20-B0D7-47FA02E38EC1}"/>
    <hyperlink ref="B46" location="'Div7A Loan'!A1" display="Division 7A Loan Calculator" xr:uid="{8412AA66-0029-4F41-A62E-7D8DA49E7DCF}"/>
    <hyperlink ref="B51" location="Creditors!A1" display="Trade Creditors" xr:uid="{80CF0E5D-6B56-426D-8828-F78E461C3ACD}"/>
    <hyperlink ref="B52" location="'GST Rec'!A1" display="GST Reconciliation" xr:uid="{9E719F4D-4A28-4D37-9B92-E62BA4051A7D}"/>
    <hyperlink ref="B53" location="'Superannuation Liability'!A1" display="Superannuation Liability" xr:uid="{A408C2BE-55E7-42FF-B5AB-12B7F84E11E7}"/>
    <hyperlink ref="B57" location="'Interest Calc'!A1" display="Interest Calculation (Irregular Payments)" xr:uid="{7C6241DF-7B26-4EA2-BBCC-3D14B0E13C8F}"/>
    <hyperlink ref="B58" location="'Interest Deduct'!A1" display="Interest Deductibility" xr:uid="{45AC7900-9799-4F3A-B775-D539D1AB4144}"/>
    <hyperlink ref="B55" location="'HP Summary'!A1" display="HP Loan Schedule" xr:uid="{6C89555F-3A75-461A-8212-2178F6D2B2DD}"/>
    <hyperlink ref="B56" location="'Inter Entity Loans'!A1" display="Inter-Entity Loan Matrix" xr:uid="{381098F3-D271-4023-96AA-6FB1777D34B3}"/>
    <hyperlink ref="B59" location="'Long Service Leave'!A1" display="Long Service Leave" xr:uid="{071B72BC-17C4-4B8A-99CD-5C872F6D43F4}"/>
    <hyperlink ref="B60" location="'Total Debt'!A1" display="Total Debt" xr:uid="{6C319B84-5A4F-4A40-8D12-E618800EB9BE}"/>
    <hyperlink ref="B63" location="Livestock!A1" display="Livestock" xr:uid="{15DBBA32-182C-41C8-95CF-B0009F1AB730}"/>
    <hyperlink ref="B64" location="'Averaging Calculator'!A1" display="Averaging Calculator" xr:uid="{A42834A5-29C7-4204-8B8C-F70E5D30280C}"/>
    <hyperlink ref="B68" location="'Drought Write-Off (s385-105)'!A1" display="Forced Disposal of Livestock (s 385-105)" xr:uid="{3A000ACA-E33F-46F8-829B-35111E2C9217}"/>
    <hyperlink ref="B69" location="'Drought Write-Off (s385-110)'!A1" display="Forced Disposal of Livestock (s 385-110)" xr:uid="{CCFB2E4F-2DC0-4E39-B5FD-493E328A7624}"/>
    <hyperlink ref="B71" location="'Water Improvements Write-Off'!A1" display="Water Improvements Write-Off" xr:uid="{F82C2463-7A8D-49CE-AE64-9F89FDFB6267}"/>
    <hyperlink ref="B70" location="'Mains Electricity Write-Off'!A1" display="Mains Electricity Write-Off" xr:uid="{6DD031FC-5503-4A69-93A8-2A53E82334B1}"/>
    <hyperlink ref="B65" location="'AWB Loans'!A1" display="AWB Loans" xr:uid="{65613BFA-B20D-42A6-95CF-706E2BDBE8CE}"/>
    <hyperlink ref="B66" location="'Farm Income Split'!A1" display="Farm Income - Split into PP and Non-PP Income" xr:uid="{793FD2F5-E26A-453C-8163-885E758D8C11}"/>
    <hyperlink ref="B67" location="'FMD''s'!A1" display="Farm Management Deposits" xr:uid="{218D12A7-15E8-40E2-8431-A58DBC529295}"/>
    <hyperlink ref="B44" location="'Cash Book'!A1" display="Cash Book Summary" xr:uid="{BF5AE79C-2BEB-4086-A093-EB1888D0A05F}"/>
    <hyperlink ref="B81" location="'Sale or Purch Business'!A1" display="Sale/Purchase of Business/Property" xr:uid="{DA5CF339-4DB0-4E3C-A241-31C4B5E9F05A}"/>
    <hyperlink ref="B76" location="'Inv Income'!A1" display="Investment Income" xr:uid="{1F746071-26EE-4616-A731-FC3F1101BAF7}"/>
    <hyperlink ref="B78" location="'Pvt Use'!A1" display="Private Use Adjustments" xr:uid="{B4777FD6-CDE2-49D4-8805-E4F1D19C620B}"/>
    <hyperlink ref="B74" location="'Car FBT'!A1" display="Car FBT" xr:uid="{3CB28F09-4544-4F46-9B0B-B4F5D6C4DF2F}"/>
    <hyperlink ref="B77" location="'Motor Vec WP'!A1" display="Motor Vehicle Substantiation Workpaper" xr:uid="{D200773A-7D2C-49A2-AFF4-679324B97D12}"/>
    <hyperlink ref="B75" location="'Home Office'!A1" display="Home Office Expense Calculator" xr:uid="{1454CE99-5383-44AB-83EA-69D6A9E631F3}"/>
    <hyperlink ref="B87" location="'Net Worth Calculator'!A1" display="Net Worth Calculation" xr:uid="{911F7B4F-DAD8-4891-A1FE-6F618374B7F7}"/>
    <hyperlink ref="B86" location="'How are we doing'!A1" display="How Are We Doing?" xr:uid="{62286E82-1843-4FCA-9F2F-A4C44DDDBA20}"/>
    <hyperlink ref="B90" location="APS!A1" display="APS" xr:uid="{A7C1198F-EA9A-48A2-BD82-51726801758A}"/>
    <hyperlink ref="B28" location="'ATO Benchmark'!A1" display="ATO Benchmarking" xr:uid="{000BB344-3732-41C7-A728-B7C13CD74517}"/>
    <hyperlink ref="B34" location="'SBE Worksheet'!A1" display="SBE Depreciation" xr:uid="{523F37FA-5EC2-40A1-B2D6-D92B32486986}"/>
    <hyperlink ref="B85" location="'TFN Register'!A1" display="Closely Held Trusts - TFN Reporting Register" xr:uid="{3516DD97-FEBE-4B3E-AFFC-7D5ACBAF0264}"/>
    <hyperlink ref="B18" location="'Planning Checklist'!A1" display="Year End Planning Checklist" xr:uid="{D0343142-D841-4286-861A-F565454B1FAD}"/>
    <hyperlink ref="B79" location="'Schedule B'!A1" display="Profession, Trade or Business Income &amp; Deduction Schedule" xr:uid="{EC3BA76C-7B71-4197-8077-527B55C88998}"/>
    <hyperlink ref="B35" location="'Building Write-Off'!A1" display="Capital Works Deductions" xr:uid="{E126BA5B-9E9A-47E1-971B-A9F73FC490A8}"/>
    <hyperlink ref="B25" location="'Tax Rec Report'!A1" display="Tax Reconciliation - Accounts" xr:uid="{12B7996A-D92B-49D2-A06A-09657EAC14CF}"/>
    <hyperlink ref="B26" location="'Comparative Tax Recn'!A1" display="Tax Reconciliation - Comparative" xr:uid="{BE310297-9B54-4933-B302-84D5A6118653}"/>
    <hyperlink ref="B82" location="'Wages Reconciliation'!A1" display="Wages Reconcilation" xr:uid="{D3B1E7AD-552C-4BBD-92EF-721D254916D0}"/>
    <hyperlink ref="B54" location="'Loan Schedule'!A1" display="Hire Purchase Loan Calculator" xr:uid="{CF1D5284-977C-49CC-8E6D-A0C139C26BD1}"/>
    <hyperlink ref="B80" location="'Rental Summary'!A1" display="Rental Property Summary" xr:uid="{BBB40803-A68D-40F5-948F-9C78B070F5DA}"/>
    <hyperlink ref="B89" location="'Template Workpaper'!A1" display="Template Workpaper" xr:uid="{897786BD-281F-4DED-B2D7-DD80431F5870}"/>
    <hyperlink ref="B42" location="'Borrowing Costs'!A1" display="Borrowing Costs" xr:uid="{0849CDA4-2936-4121-B018-726AD0781148}"/>
    <hyperlink ref="B41" location="'Blackhole Expenses'!A1" display="Blackhole Expenses" xr:uid="{FEF76DAB-480E-4710-B575-EF609AF15D00}"/>
    <hyperlink ref="B43" location="'Capital Asset Schedule'!A1" display="Capital Asset Schedule" xr:uid="{95B82159-12FC-4E9B-B049-A54AC1B76C0A}"/>
    <hyperlink ref="B31" location="'Skills Boost'!A1" display="Small Business Skills and Training Boost (20%)" xr:uid="{7251D4ED-0216-46E9-AB92-97EADC717CD8}"/>
    <hyperlink ref="B94" location="'Tech Boost'!A1" display="Small Business Technology Investment Boost (20%)" xr:uid="{8DA4CA7D-4C56-4D17-9823-1FCE7500B11F}"/>
    <hyperlink ref="B27" location="'S.100A Notification'!A1" display="S.100A Notifcation" xr:uid="{638D665A-1ACF-4E01-A0E7-C8F0FF8FFC3F}"/>
    <hyperlink ref="B15" location="'Stage 3 Tax Cuts'!A1" display="Stage 3 Tax Cuts" xr:uid="{EB42886E-88BE-4FC9-B624-E7B7DDF2CB3F}"/>
    <hyperlink ref="B88" location="'Household Budget'!A1" display="Household Budget" xr:uid="{C42C0181-058C-4E57-AA84-AC0E11AF4B59}"/>
    <hyperlink ref="B14" location="'Tax Timetable'!A1" display="Tax Timetable" xr:uid="{89D291DB-BB87-4FAE-A679-4C5E59CC9B3A}"/>
  </hyperlinks>
  <pageMargins left="0.70866141732283472" right="0.70866141732283472" top="0.74803149606299213" bottom="0.74803149606299213" header="0.31496062992125984" footer="0.31496062992125984"/>
  <pageSetup scale="58" orientation="portrait" r:id="rId1"/>
  <headerFooter>
    <oddFooter>&amp;L© Findex (Aust) Pty Ltd.  All rights reserved.</oddFooter>
  </headerFooter>
  <drawing r:id="rId2"/>
  <legacyDrawing r:id="rId3"/>
  <controls>
    <mc:AlternateContent xmlns:mc="http://schemas.openxmlformats.org/markup-compatibility/2006">
      <mc:Choice Requires="x14">
        <control shapeId="113668" r:id="rId4" name="ShowAllIndex">
          <controlPr defaultSize="0" autoLine="0" autoPict="0" r:id="rId5">
            <anchor moveWithCells="1">
              <from>
                <xdr:col>5</xdr:col>
                <xdr:colOff>447675</xdr:colOff>
                <xdr:row>5</xdr:row>
                <xdr:rowOff>104775</xdr:rowOff>
              </from>
              <to>
                <xdr:col>7</xdr:col>
                <xdr:colOff>333375</xdr:colOff>
                <xdr:row>7</xdr:row>
                <xdr:rowOff>123825</xdr:rowOff>
              </to>
            </anchor>
          </controlPr>
        </control>
      </mc:Choice>
      <mc:Fallback>
        <control shapeId="113668" r:id="rId4" name="ShowAllIndex"/>
      </mc:Fallback>
    </mc:AlternateContent>
    <mc:AlternateContent xmlns:mc="http://schemas.openxmlformats.org/markup-compatibility/2006">
      <mc:Choice Requires="x14">
        <control shapeId="113666" r:id="rId6" name="HideAllIndex">
          <controlPr defaultSize="0" autoLine="0" autoPict="0" r:id="rId7">
            <anchor moveWithCells="1">
              <from>
                <xdr:col>5</xdr:col>
                <xdr:colOff>447675</xdr:colOff>
                <xdr:row>2</xdr:row>
                <xdr:rowOff>133350</xdr:rowOff>
              </from>
              <to>
                <xdr:col>7</xdr:col>
                <xdr:colOff>333375</xdr:colOff>
                <xdr:row>5</xdr:row>
                <xdr:rowOff>57150</xdr:rowOff>
              </to>
            </anchor>
          </controlPr>
        </control>
      </mc:Choice>
      <mc:Fallback>
        <control shapeId="113666" r:id="rId6" name="HideAllIndex"/>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PIndexSheet"/>
  <dimension ref="A1:G82"/>
  <sheetViews>
    <sheetView showGridLines="0" zoomScaleNormal="100" workbookViewId="0">
      <selection sqref="A1:G1"/>
    </sheetView>
  </sheetViews>
  <sheetFormatPr defaultColWidth="9.140625" defaultRowHeight="12.75"/>
  <cols>
    <col min="1" max="1" width="2.28515625" style="979" customWidth="1"/>
    <col min="2" max="2" width="3.140625" style="979" customWidth="1"/>
    <col min="3" max="3" width="4.85546875" style="979" customWidth="1"/>
    <col min="4" max="4" width="12.28515625" style="979" customWidth="1"/>
    <col min="5" max="5" width="53.28515625" style="979" customWidth="1"/>
    <col min="6" max="6" width="16.7109375" style="979" customWidth="1"/>
    <col min="7" max="7" width="12.140625" style="979" customWidth="1"/>
    <col min="8" max="16384" width="9.140625" style="979"/>
  </cols>
  <sheetData>
    <row r="1" spans="1:7" ht="15.75">
      <c r="A1" s="3704" t="s">
        <v>492</v>
      </c>
      <c r="B1" s="3705"/>
      <c r="C1" s="3705"/>
      <c r="D1" s="3705"/>
      <c r="E1" s="3705"/>
      <c r="F1" s="3705"/>
      <c r="G1" s="3706"/>
    </row>
    <row r="3" spans="1:7" ht="15.75">
      <c r="A3" s="1099" t="s">
        <v>950</v>
      </c>
      <c r="B3" s="1099"/>
      <c r="C3" s="1099"/>
      <c r="E3" s="1126" t="str">
        <f>'Input Info'!C6</f>
        <v>Example Trust</v>
      </c>
    </row>
    <row r="4" spans="1:7">
      <c r="A4" s="1099" t="s">
        <v>948</v>
      </c>
      <c r="B4" s="1099"/>
      <c r="C4" s="1099"/>
      <c r="D4" s="1127"/>
      <c r="E4" s="1128">
        <f>IF('Input Info'!C7="","",'Input Info'!C7)</f>
        <v>99999</v>
      </c>
      <c r="F4" s="1116"/>
    </row>
    <row r="5" spans="1:7">
      <c r="A5" s="1099" t="s">
        <v>952</v>
      </c>
      <c r="B5" s="1099"/>
      <c r="C5" s="1099"/>
      <c r="E5" s="1129">
        <f>'Input Info'!C8</f>
        <v>45108</v>
      </c>
      <c r="F5" s="1130" t="s">
        <v>953</v>
      </c>
      <c r="G5" s="1131">
        <f>'Input Info'!F8</f>
        <v>45473</v>
      </c>
    </row>
    <row r="6" spans="1:7">
      <c r="A6" s="1115"/>
      <c r="B6" s="1115"/>
      <c r="C6" s="1115"/>
      <c r="D6" s="1132"/>
      <c r="E6" s="1125"/>
    </row>
    <row r="7" spans="1:7">
      <c r="B7" s="1133"/>
      <c r="C7" s="1134"/>
      <c r="D7" s="1135" t="s">
        <v>936</v>
      </c>
      <c r="F7" s="1136" t="s">
        <v>937</v>
      </c>
      <c r="G7" s="1135"/>
    </row>
    <row r="8" spans="1:7" ht="18" customHeight="1">
      <c r="B8" s="1133"/>
      <c r="C8" s="1134"/>
      <c r="D8" s="1137" t="s">
        <v>662</v>
      </c>
      <c r="E8" s="1101" t="s">
        <v>922</v>
      </c>
      <c r="F8" s="2644"/>
      <c r="G8" s="1135"/>
    </row>
    <row r="9" spans="1:7" ht="18" customHeight="1">
      <c r="B9" s="1133"/>
      <c r="C9" s="1134"/>
      <c r="D9" s="1137" t="s">
        <v>663</v>
      </c>
      <c r="E9" s="1101" t="s">
        <v>923</v>
      </c>
      <c r="F9" s="2644"/>
      <c r="G9" s="1135"/>
    </row>
    <row r="10" spans="1:7" ht="18" customHeight="1">
      <c r="B10" s="1133"/>
      <c r="C10" s="1134"/>
      <c r="D10" s="1115" t="s">
        <v>920</v>
      </c>
      <c r="F10" s="1136"/>
      <c r="G10" s="1135"/>
    </row>
    <row r="11" spans="1:7" ht="15.75" hidden="1" customHeight="1">
      <c r="B11" s="1133"/>
      <c r="C11" s="1134"/>
      <c r="D11" s="1137" t="s">
        <v>664</v>
      </c>
      <c r="E11" s="1101" t="s">
        <v>924</v>
      </c>
      <c r="F11" s="2644" t="s">
        <v>176</v>
      </c>
      <c r="G11" s="1135"/>
    </row>
    <row r="12" spans="1:7" ht="18" customHeight="1">
      <c r="B12" s="1133"/>
      <c r="C12" s="1134"/>
      <c r="D12" s="1115" t="s">
        <v>26</v>
      </c>
      <c r="F12" s="1136"/>
      <c r="G12" s="1135"/>
    </row>
    <row r="13" spans="1:7" ht="18" hidden="1" customHeight="1">
      <c r="B13" s="1133"/>
      <c r="C13" s="1134"/>
      <c r="D13" s="1137" t="s">
        <v>665</v>
      </c>
      <c r="E13" s="1101" t="s">
        <v>925</v>
      </c>
      <c r="F13" s="2644" t="s">
        <v>176</v>
      </c>
      <c r="G13" s="1135"/>
    </row>
    <row r="14" spans="1:7" ht="18" customHeight="1">
      <c r="B14" s="1133"/>
      <c r="C14" s="1134"/>
      <c r="D14" s="1137" t="s">
        <v>166</v>
      </c>
      <c r="E14" s="1103" t="s">
        <v>317</v>
      </c>
      <c r="F14" s="2644"/>
      <c r="G14" s="1135"/>
    </row>
    <row r="15" spans="1:7" ht="18" customHeight="1">
      <c r="B15" s="1133"/>
      <c r="C15" s="1134"/>
      <c r="D15" s="1137" t="s">
        <v>666</v>
      </c>
      <c r="E15" s="1103" t="s">
        <v>930</v>
      </c>
      <c r="F15" s="2644"/>
      <c r="G15" s="1135"/>
    </row>
    <row r="16" spans="1:7" ht="18" customHeight="1">
      <c r="B16" s="1133"/>
      <c r="C16" s="1134"/>
      <c r="D16" s="1137" t="s">
        <v>1730</v>
      </c>
      <c r="E16" s="1103" t="s">
        <v>1972</v>
      </c>
      <c r="F16" s="2644"/>
      <c r="G16" s="1729"/>
    </row>
    <row r="17" spans="2:7" ht="18" customHeight="1">
      <c r="B17" s="1130"/>
      <c r="C17" s="1130"/>
      <c r="D17" s="1137" t="s">
        <v>1971</v>
      </c>
      <c r="E17" s="1120" t="str">
        <f>'Trust Streaming'!A8</f>
        <v>Streaming Trust Distributions</v>
      </c>
      <c r="F17" s="2644"/>
      <c r="G17" s="1139"/>
    </row>
    <row r="18" spans="2:7" ht="18" customHeight="1">
      <c r="B18" s="1138"/>
      <c r="C18" s="1133"/>
      <c r="D18" s="1137" t="s">
        <v>667</v>
      </c>
      <c r="E18" s="1120" t="s">
        <v>1806</v>
      </c>
      <c r="F18" s="2644"/>
      <c r="G18" s="1139"/>
    </row>
    <row r="19" spans="2:7" ht="18" customHeight="1">
      <c r="B19" s="1130"/>
      <c r="C19" s="1130"/>
      <c r="D19" s="1137" t="s">
        <v>668</v>
      </c>
      <c r="E19" s="1120" t="s">
        <v>2465</v>
      </c>
      <c r="F19" s="2644"/>
      <c r="G19" s="1139"/>
    </row>
    <row r="20" spans="2:7" ht="18" customHeight="1">
      <c r="B20" s="1130"/>
      <c r="C20" s="1130"/>
      <c r="D20" s="1137" t="s">
        <v>669</v>
      </c>
      <c r="E20" s="1120" t="s">
        <v>1832</v>
      </c>
      <c r="F20" s="2644"/>
      <c r="G20" s="1139"/>
    </row>
    <row r="21" spans="2:7" ht="18" customHeight="1">
      <c r="B21" s="1130"/>
      <c r="C21" s="1130"/>
      <c r="D21" s="1137" t="s">
        <v>670</v>
      </c>
      <c r="E21" s="1140" t="s">
        <v>1399</v>
      </c>
      <c r="F21" s="2644"/>
      <c r="G21" s="1139"/>
    </row>
    <row r="22" spans="2:7" ht="18" hidden="1" customHeight="1">
      <c r="B22" s="1130"/>
      <c r="C22" s="1130"/>
      <c r="D22" s="1137" t="s">
        <v>671</v>
      </c>
      <c r="E22" s="1120" t="s">
        <v>1241</v>
      </c>
      <c r="F22" s="2644" t="s">
        <v>176</v>
      </c>
      <c r="G22" s="1139"/>
    </row>
    <row r="23" spans="2:7" ht="18" hidden="1" customHeight="1">
      <c r="B23" s="1130"/>
      <c r="C23" s="1130"/>
      <c r="D23" s="1137" t="s">
        <v>1873</v>
      </c>
      <c r="E23" s="1120" t="s">
        <v>478</v>
      </c>
      <c r="F23" s="2644" t="s">
        <v>176</v>
      </c>
      <c r="G23" s="1139"/>
    </row>
    <row r="24" spans="2:7" ht="18" hidden="1" customHeight="1">
      <c r="B24" s="1130"/>
      <c r="C24" s="1130"/>
      <c r="D24" s="1137" t="s">
        <v>1975</v>
      </c>
      <c r="E24" s="1120" t="s">
        <v>479</v>
      </c>
      <c r="F24" s="2644" t="s">
        <v>176</v>
      </c>
      <c r="G24" s="1139"/>
    </row>
    <row r="25" spans="2:7" ht="18" customHeight="1">
      <c r="B25" s="1130"/>
      <c r="C25" s="1130"/>
      <c r="D25" s="1137" t="s">
        <v>1976</v>
      </c>
      <c r="E25" s="1120" t="s">
        <v>1874</v>
      </c>
      <c r="F25" s="2644"/>
      <c r="G25" s="1139"/>
    </row>
    <row r="26" spans="2:7" ht="18" customHeight="1">
      <c r="B26" s="1141"/>
      <c r="C26" s="1142"/>
      <c r="D26" s="1115" t="s">
        <v>1398</v>
      </c>
      <c r="G26" s="1139"/>
    </row>
    <row r="27" spans="2:7" ht="18" customHeight="1">
      <c r="B27" s="1141"/>
      <c r="C27" s="1142"/>
      <c r="D27" s="1137" t="s">
        <v>672</v>
      </c>
      <c r="E27" s="979" t="s">
        <v>167</v>
      </c>
      <c r="F27" s="1139"/>
      <c r="G27" s="1139"/>
    </row>
    <row r="28" spans="2:7" ht="18" customHeight="1">
      <c r="B28" s="1138"/>
      <c r="C28" s="1133"/>
      <c r="D28" s="1138"/>
      <c r="E28" s="1128" t="s">
        <v>1062</v>
      </c>
      <c r="F28" s="1139"/>
      <c r="G28" s="1139"/>
    </row>
    <row r="29" spans="2:7" ht="18" customHeight="1">
      <c r="B29" s="1130"/>
      <c r="C29" s="1130"/>
      <c r="D29" s="1115"/>
      <c r="E29" s="1143" t="s">
        <v>954</v>
      </c>
      <c r="F29" s="2644"/>
      <c r="G29" s="1139"/>
    </row>
    <row r="30" spans="2:7" ht="18" customHeight="1">
      <c r="B30" s="1130"/>
      <c r="C30" s="1130"/>
      <c r="D30" s="1133"/>
      <c r="E30" s="1143" t="s">
        <v>955</v>
      </c>
      <c r="F30" s="2644"/>
      <c r="G30" s="1139"/>
    </row>
    <row r="31" spans="2:7" ht="18" customHeight="1">
      <c r="B31" s="1130"/>
      <c r="C31" s="1130"/>
      <c r="D31" s="1115"/>
      <c r="E31" s="1144" t="s">
        <v>561</v>
      </c>
      <c r="F31" s="2644"/>
      <c r="G31" s="1139"/>
    </row>
    <row r="32" spans="2:7" ht="18" hidden="1" customHeight="1">
      <c r="B32" s="1130"/>
      <c r="C32" s="1130"/>
      <c r="D32" s="1115"/>
      <c r="E32" s="1144" t="s">
        <v>1063</v>
      </c>
      <c r="F32" s="2644" t="s">
        <v>176</v>
      </c>
      <c r="G32" s="1139"/>
    </row>
    <row r="33" spans="2:7" ht="18" hidden="1" customHeight="1">
      <c r="B33" s="1130"/>
      <c r="C33" s="1130"/>
      <c r="D33" s="1115"/>
      <c r="E33" s="1143" t="s">
        <v>921</v>
      </c>
      <c r="F33" s="2644" t="s">
        <v>176</v>
      </c>
      <c r="G33" s="1139"/>
    </row>
    <row r="34" spans="2:7" ht="18" customHeight="1">
      <c r="B34" s="1130"/>
      <c r="C34" s="1130"/>
      <c r="D34" s="1115"/>
      <c r="E34" s="1144" t="s">
        <v>253</v>
      </c>
      <c r="F34" s="2644"/>
      <c r="G34" s="1139"/>
    </row>
    <row r="35" spans="2:7" ht="18" customHeight="1">
      <c r="B35" s="1130"/>
      <c r="C35" s="1130"/>
      <c r="D35" s="1115"/>
      <c r="E35" s="1143" t="s">
        <v>242</v>
      </c>
      <c r="F35" s="2644"/>
      <c r="G35" s="1139"/>
    </row>
    <row r="36" spans="2:7" ht="18" customHeight="1">
      <c r="B36" s="1138"/>
      <c r="C36" s="1133"/>
      <c r="D36" s="1138"/>
      <c r="E36" s="1128" t="s">
        <v>1065</v>
      </c>
      <c r="F36" s="1139"/>
      <c r="G36" s="1139"/>
    </row>
    <row r="37" spans="2:7" ht="18" customHeight="1">
      <c r="B37" s="1138"/>
      <c r="C37" s="1133"/>
      <c r="D37" s="1115"/>
      <c r="E37" s="1145" t="s">
        <v>465</v>
      </c>
      <c r="F37" s="2644"/>
      <c r="G37" s="1139"/>
    </row>
    <row r="38" spans="2:7" ht="12.75" hidden="1" customHeight="1">
      <c r="B38" s="1130"/>
      <c r="C38" s="1130"/>
      <c r="D38" s="1133"/>
      <c r="E38" s="1143" t="s">
        <v>1423</v>
      </c>
      <c r="F38" s="2644"/>
      <c r="G38" s="1139"/>
    </row>
    <row r="39" spans="2:7" ht="12.75" hidden="1" customHeight="1">
      <c r="B39" s="1130"/>
      <c r="C39" s="1130"/>
      <c r="D39" s="1133"/>
      <c r="E39" s="1144" t="s">
        <v>329</v>
      </c>
      <c r="F39" s="2644"/>
      <c r="G39" s="1139"/>
    </row>
    <row r="40" spans="2:7" ht="18" customHeight="1">
      <c r="B40" s="1130"/>
      <c r="C40" s="1130"/>
      <c r="D40" s="1115"/>
      <c r="E40" s="1144" t="s">
        <v>1319</v>
      </c>
      <c r="F40" s="2644"/>
      <c r="G40" s="1139"/>
    </row>
    <row r="41" spans="2:7" ht="18" hidden="1" customHeight="1">
      <c r="B41" s="1130"/>
      <c r="C41" s="1130"/>
      <c r="D41" s="1115"/>
      <c r="E41" s="1144" t="s">
        <v>1240</v>
      </c>
      <c r="F41" s="2644"/>
      <c r="G41" s="1139"/>
    </row>
    <row r="42" spans="2:7" ht="18" customHeight="1">
      <c r="B42" s="1130"/>
      <c r="C42" s="1130"/>
      <c r="D42" s="1115"/>
      <c r="E42" s="1143" t="s">
        <v>559</v>
      </c>
      <c r="F42" s="2644"/>
      <c r="G42" s="1139"/>
    </row>
    <row r="43" spans="2:7" ht="18" hidden="1" customHeight="1">
      <c r="B43" s="1130"/>
      <c r="C43" s="1130"/>
      <c r="D43" s="1115"/>
      <c r="E43" s="1144" t="s">
        <v>558</v>
      </c>
      <c r="F43" s="2644" t="s">
        <v>176</v>
      </c>
      <c r="G43" s="1139"/>
    </row>
    <row r="44" spans="2:7" ht="18" hidden="1" customHeight="1">
      <c r="B44" s="1130"/>
      <c r="C44" s="1130"/>
      <c r="D44" s="1115"/>
      <c r="E44" s="1144" t="s">
        <v>560</v>
      </c>
      <c r="F44" s="2644" t="s">
        <v>176</v>
      </c>
      <c r="G44" s="1139"/>
    </row>
    <row r="45" spans="2:7" ht="18" customHeight="1">
      <c r="B45" s="1130"/>
      <c r="C45" s="1130"/>
      <c r="D45" s="1115"/>
      <c r="E45" s="1143" t="s">
        <v>494</v>
      </c>
      <c r="F45" s="2644"/>
      <c r="G45" s="1139"/>
    </row>
    <row r="46" spans="2:7" ht="18" customHeight="1">
      <c r="B46" s="1130"/>
      <c r="C46" s="1130"/>
      <c r="D46" s="1133"/>
      <c r="E46" s="1144" t="s">
        <v>285</v>
      </c>
      <c r="F46" s="2644"/>
      <c r="G46" s="1139"/>
    </row>
    <row r="47" spans="2:7" ht="18" customHeight="1">
      <c r="B47" s="1138"/>
      <c r="C47" s="1133"/>
      <c r="D47" s="1138"/>
      <c r="E47" s="1128" t="s">
        <v>1066</v>
      </c>
      <c r="F47" s="1139"/>
      <c r="G47" s="1139"/>
    </row>
    <row r="48" spans="2:7" ht="18" customHeight="1">
      <c r="B48" s="1130"/>
      <c r="C48" s="1130"/>
      <c r="D48" s="1133"/>
      <c r="E48" s="1143" t="s">
        <v>1064</v>
      </c>
      <c r="F48" s="2644"/>
      <c r="G48" s="1139"/>
    </row>
    <row r="49" spans="2:7" ht="18" customHeight="1">
      <c r="B49" s="1130"/>
      <c r="C49" s="1130"/>
      <c r="D49" s="1133"/>
      <c r="E49" s="1144" t="s">
        <v>1320</v>
      </c>
      <c r="F49" s="2644"/>
      <c r="G49" s="1139"/>
    </row>
    <row r="50" spans="2:7" ht="18" customHeight="1">
      <c r="B50" s="1130"/>
      <c r="C50" s="1130"/>
      <c r="D50" s="1133"/>
      <c r="E50" s="1143" t="s">
        <v>308</v>
      </c>
      <c r="F50" s="2644"/>
      <c r="G50" s="1139"/>
    </row>
    <row r="51" spans="2:7" ht="18" customHeight="1">
      <c r="B51" s="1130"/>
      <c r="C51" s="1130"/>
      <c r="D51" s="1133"/>
      <c r="E51" s="1144" t="s">
        <v>1872</v>
      </c>
      <c r="F51" s="2644"/>
      <c r="G51" s="1139"/>
    </row>
    <row r="52" spans="2:7" ht="18" customHeight="1">
      <c r="B52" s="1138"/>
      <c r="C52" s="1133"/>
      <c r="D52" s="1138"/>
      <c r="E52" s="1128" t="s">
        <v>1067</v>
      </c>
      <c r="F52" s="1139"/>
      <c r="G52" s="1139"/>
    </row>
    <row r="53" spans="2:7" ht="18" customHeight="1">
      <c r="B53" s="1130"/>
      <c r="C53" s="1130"/>
      <c r="D53" s="1133"/>
      <c r="E53" s="1144" t="s">
        <v>1321</v>
      </c>
      <c r="F53" s="2644"/>
      <c r="G53" s="1139"/>
    </row>
    <row r="54" spans="2:7" ht="18" customHeight="1">
      <c r="B54" s="1130"/>
      <c r="C54" s="1130"/>
      <c r="D54" s="1133"/>
      <c r="E54" s="1143" t="s">
        <v>187</v>
      </c>
      <c r="F54" s="2644"/>
      <c r="G54" s="1139"/>
    </row>
    <row r="55" spans="2:7" ht="18" hidden="1" customHeight="1">
      <c r="B55" s="1130"/>
      <c r="C55" s="1130"/>
      <c r="D55" s="1133"/>
      <c r="E55" s="1144" t="s">
        <v>1541</v>
      </c>
      <c r="F55" s="2644"/>
      <c r="G55" s="1139"/>
    </row>
    <row r="56" spans="2:7" ht="18" customHeight="1">
      <c r="B56" s="1130"/>
      <c r="C56" s="1130"/>
      <c r="D56" s="1133"/>
      <c r="E56" s="1144" t="s">
        <v>259</v>
      </c>
      <c r="F56" s="2644"/>
      <c r="G56" s="1139"/>
    </row>
    <row r="57" spans="2:7" ht="18" customHeight="1">
      <c r="B57" s="1130"/>
      <c r="C57" s="1130"/>
      <c r="D57" s="1133"/>
      <c r="E57" s="1144" t="s">
        <v>1372</v>
      </c>
      <c r="F57" s="2644"/>
      <c r="G57" s="1139"/>
    </row>
    <row r="58" spans="2:7" ht="18" customHeight="1">
      <c r="B58" s="1130"/>
      <c r="C58" s="1130"/>
      <c r="D58" s="1133"/>
      <c r="E58" s="1144" t="s">
        <v>433</v>
      </c>
      <c r="F58" s="2644"/>
      <c r="G58" s="1139"/>
    </row>
    <row r="59" spans="2:7" ht="19.5" customHeight="1">
      <c r="B59" s="1138"/>
      <c r="C59" s="1133"/>
      <c r="D59" s="1138"/>
      <c r="E59" s="1128" t="s">
        <v>1068</v>
      </c>
      <c r="F59" s="1139"/>
      <c r="G59" s="1139"/>
    </row>
    <row r="60" spans="2:7" ht="18" hidden="1" customHeight="1">
      <c r="B60" s="1130"/>
      <c r="C60" s="1130"/>
      <c r="D60" s="1133"/>
      <c r="E60" s="1143" t="s">
        <v>956</v>
      </c>
      <c r="F60" s="2644" t="s">
        <v>176</v>
      </c>
      <c r="G60" s="1139"/>
    </row>
    <row r="61" spans="2:7" ht="18" customHeight="1">
      <c r="B61" s="1130"/>
      <c r="C61" s="1130"/>
      <c r="D61" s="1133"/>
      <c r="E61" s="1144" t="s">
        <v>1637</v>
      </c>
      <c r="F61" s="2644"/>
      <c r="G61" s="1139"/>
    </row>
    <row r="62" spans="2:7" ht="18" customHeight="1">
      <c r="B62" s="1130"/>
      <c r="C62" s="1130"/>
      <c r="D62" s="1133"/>
      <c r="E62" s="1144" t="s">
        <v>1239</v>
      </c>
      <c r="F62" s="2644"/>
      <c r="G62" s="1139"/>
    </row>
    <row r="63" spans="2:7" ht="18" hidden="1" customHeight="1">
      <c r="B63" s="1130"/>
      <c r="C63" s="1130"/>
      <c r="D63" s="1133"/>
      <c r="E63" s="1144" t="s">
        <v>982</v>
      </c>
      <c r="F63" s="2644"/>
      <c r="G63" s="1139"/>
    </row>
    <row r="64" spans="2:7" ht="18" customHeight="1">
      <c r="B64" s="1130"/>
      <c r="C64" s="1130"/>
      <c r="D64" s="1133"/>
      <c r="E64" s="1144" t="s">
        <v>1075</v>
      </c>
      <c r="F64" s="2644"/>
      <c r="G64" s="1139"/>
    </row>
    <row r="65" spans="2:7" ht="18" customHeight="1">
      <c r="B65" s="1130"/>
      <c r="C65" s="1130"/>
      <c r="D65" s="1133"/>
      <c r="E65" s="1144" t="s">
        <v>1131</v>
      </c>
      <c r="F65" s="2644"/>
      <c r="G65" s="1139"/>
    </row>
    <row r="66" spans="2:7" ht="18" customHeight="1">
      <c r="B66" s="1130"/>
      <c r="C66" s="1130"/>
      <c r="D66" s="1133"/>
      <c r="E66" s="1144" t="s">
        <v>1088</v>
      </c>
      <c r="F66" s="2644"/>
      <c r="G66" s="1139"/>
    </row>
    <row r="67" spans="2:7" ht="18" customHeight="1">
      <c r="B67" s="1130"/>
      <c r="C67" s="1130"/>
      <c r="D67" s="1133"/>
      <c r="E67" s="1143" t="s">
        <v>351</v>
      </c>
      <c r="F67" s="2644"/>
      <c r="G67" s="1139"/>
    </row>
    <row r="68" spans="2:7" ht="18" customHeight="1">
      <c r="B68" s="1130"/>
      <c r="C68" s="1130"/>
      <c r="D68" s="1133"/>
      <c r="E68" s="1144" t="s">
        <v>1141</v>
      </c>
      <c r="F68" s="2644"/>
      <c r="G68" s="1139"/>
    </row>
    <row r="69" spans="2:7" ht="18" customHeight="1">
      <c r="B69" s="1133"/>
      <c r="C69" s="1134"/>
      <c r="D69" s="1115" t="s">
        <v>1403</v>
      </c>
      <c r="F69" s="1136"/>
      <c r="G69" s="1135"/>
    </row>
    <row r="70" spans="2:7" ht="18" customHeight="1">
      <c r="B70" s="1130"/>
      <c r="C70" s="1130"/>
      <c r="D70" s="1137"/>
      <c r="E70" s="1144" t="s">
        <v>1639</v>
      </c>
      <c r="F70" s="2645"/>
      <c r="G70" s="1139"/>
    </row>
    <row r="71" spans="2:7" ht="18" customHeight="1">
      <c r="B71" s="1130"/>
      <c r="C71" s="1130"/>
      <c r="D71" s="1137"/>
      <c r="E71" s="1144" t="s">
        <v>1749</v>
      </c>
      <c r="F71" s="2644"/>
      <c r="G71" s="1139"/>
    </row>
    <row r="72" spans="2:7" ht="18" hidden="1" customHeight="1">
      <c r="B72" s="1130"/>
      <c r="C72" s="1130"/>
      <c r="D72" s="1137"/>
      <c r="E72" s="1143" t="s">
        <v>69</v>
      </c>
      <c r="F72" s="2644" t="s">
        <v>176</v>
      </c>
      <c r="G72" s="1139"/>
    </row>
    <row r="73" spans="2:7" ht="18" hidden="1" customHeight="1">
      <c r="B73" s="1130"/>
      <c r="C73" s="1130"/>
      <c r="D73" s="1137"/>
      <c r="E73" s="1144" t="s">
        <v>926</v>
      </c>
      <c r="F73" s="2644" t="s">
        <v>176</v>
      </c>
      <c r="G73" s="1139"/>
    </row>
    <row r="74" spans="2:7" ht="18" customHeight="1">
      <c r="B74" s="1130"/>
      <c r="C74" s="1130"/>
      <c r="D74" s="1137"/>
      <c r="E74" s="1064" t="s">
        <v>927</v>
      </c>
      <c r="F74" s="2644"/>
      <c r="G74" s="1139"/>
    </row>
    <row r="75" spans="2:7" ht="18" hidden="1" customHeight="1">
      <c r="B75" s="1130"/>
      <c r="C75" s="1130"/>
      <c r="D75" s="1137"/>
      <c r="E75" s="1143" t="s">
        <v>928</v>
      </c>
      <c r="F75" s="2644" t="s">
        <v>176</v>
      </c>
      <c r="G75" s="1139"/>
    </row>
    <row r="76" spans="2:7" ht="18" hidden="1" customHeight="1">
      <c r="B76" s="1130"/>
      <c r="C76" s="1130"/>
      <c r="D76" s="1137"/>
      <c r="E76" s="1143" t="s">
        <v>929</v>
      </c>
      <c r="F76" s="2644" t="s">
        <v>176</v>
      </c>
      <c r="G76" s="1139"/>
    </row>
    <row r="77" spans="2:7" ht="18" customHeight="1">
      <c r="B77" s="1130"/>
      <c r="C77" s="1130"/>
      <c r="D77" s="1137"/>
      <c r="E77" s="1144" t="s">
        <v>2519</v>
      </c>
      <c r="F77" s="3208"/>
      <c r="G77" s="1139"/>
    </row>
    <row r="78" spans="2:7" ht="18" customHeight="1">
      <c r="B78" s="1130"/>
      <c r="C78" s="1130"/>
      <c r="D78" s="1137"/>
      <c r="E78" s="1144" t="s">
        <v>2520</v>
      </c>
      <c r="F78" s="3208"/>
      <c r="G78" s="1139"/>
    </row>
    <row r="79" spans="2:7" ht="18" customHeight="1">
      <c r="B79" s="1130"/>
      <c r="C79" s="1130"/>
      <c r="D79" s="1137"/>
      <c r="E79" s="1144" t="s">
        <v>2521</v>
      </c>
      <c r="F79" s="3208"/>
      <c r="G79" s="1139"/>
    </row>
    <row r="80" spans="2:7">
      <c r="D80" s="1137"/>
      <c r="E80" s="1144" t="s">
        <v>2154</v>
      </c>
      <c r="F80" s="3208"/>
    </row>
    <row r="81" spans="4:6">
      <c r="D81" s="1137"/>
      <c r="E81" s="3210" t="s">
        <v>2522</v>
      </c>
      <c r="F81" s="3208"/>
    </row>
    <row r="82" spans="4:6">
      <c r="D82" s="1137"/>
      <c r="E82" s="3210" t="s">
        <v>2523</v>
      </c>
      <c r="F82" s="3208"/>
    </row>
  </sheetData>
  <customSheetViews>
    <customSheetView guid="{BCBE45D4-3C45-4659-992E-5C5D3E9FD81C}" showGridLines="0" fitToPage="1" hiddenRows="1" topLeftCell="A18">
      <selection activeCell="E23" sqref="E23"/>
      <pageMargins left="0.59055118110236227" right="0.43307086614173229" top="0.6692913385826772" bottom="0.94488188976377963" header="0.51181102362204722" footer="0.39370078740157483"/>
      <printOptions horizontalCentered="1"/>
      <pageSetup paperSize="9" scale="8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Rows="1" topLeftCell="A36">
      <selection activeCell="E68" sqref="E68"/>
      <pageMargins left="0.59055118110236227" right="0.43307086614173229" top="0.6692913385826772" bottom="0.94488188976377963" header="0.51181102362204722" footer="0.39370078740157483"/>
      <printOptions horizontalCentered="1"/>
      <pageSetup paperSize="9" scale="89" fitToHeight="999" orientation="portrait" blackAndWhite="1" r:id="rId2"/>
      <headerFooter alignWithMargins="0">
        <oddFooter>&amp;L&amp;8Copyright Crowe Horwath (Aust) Pty Ltd 2016.  All rights reserved.
&amp;Z&amp;F[&amp;A]&amp;R&amp;8&amp;P/&amp;N</oddFooter>
      </headerFooter>
    </customSheetView>
  </customSheetViews>
  <mergeCells count="1">
    <mergeCell ref="A1:G1"/>
  </mergeCells>
  <phoneticPr fontId="26" type="noConversion"/>
  <dataValidations count="4">
    <dataValidation type="list" sqref="F37:F46 F48:F51 F53:F58 F29:F35 F60:F68 F13:F25 F8:F9 F11 F70:F82" xr:uid="{00000000-0002-0000-0100-000000000000}">
      <formula1>"H,D,NA"</formula1>
    </dataValidation>
    <dataValidation allowBlank="1" showErrorMessage="1" promptTitle="Enter the state of the entity" prompt="Enter the state of the entity for which you are doing the work, as this will be used to determine the rates required in some of the workpapers." sqref="F3:G4" xr:uid="{00000000-0002-0000-0100-000001000000}"/>
    <dataValidation allowBlank="1" showErrorMessage="1" sqref="G2" xr:uid="{00000000-0002-0000-0100-000002000000}"/>
    <dataValidation allowBlank="1" showInputMessage="1" showErrorMessage="1" promptTitle="GST Entity" prompt="If the client is a GST entity, select &quot;YES&quot;.  If the client is not a GST entity, select &quot;NO&quot;." sqref="E6" xr:uid="{00000000-0002-0000-0100-000003000000}"/>
  </dataValidations>
  <hyperlinks>
    <hyperlink ref="E30" location="'Bank Rec'!A1" display="Bank Rec" xr:uid="{00000000-0004-0000-0100-000000000000}"/>
    <hyperlink ref="E48" location="Creditors!A1" display="Creditors Summary" xr:uid="{00000000-0004-0000-0100-000001000000}"/>
    <hyperlink ref="E35" location="'Trading Stock'!A1" display="Trading Stock" xr:uid="{00000000-0004-0000-0100-000002000000}"/>
    <hyperlink ref="E64" location="'Rental Summary'!A1" display="Rental Property Summary" xr:uid="{00000000-0004-0000-0100-000003000000}"/>
    <hyperlink ref="E65" location="'Pvt Use'!A1" display="Private Use Adjustments" xr:uid="{00000000-0004-0000-0100-000004000000}"/>
    <hyperlink ref="E66" location="'Motor Vec WP'!A1" display="Motor Vehicle Substantiation Workpaper" xr:uid="{00000000-0004-0000-0100-000005000000}"/>
    <hyperlink ref="E50" location="'GST Rec'!A1" display="GST Reconciliation" xr:uid="{00000000-0004-0000-0100-000006000000}"/>
    <hyperlink ref="E38" location="'Borrowing Costs'!A1" display="Borrowing Costs" xr:uid="{00000000-0004-0000-0100-000007000000}"/>
    <hyperlink ref="E40" location="'Low Value Pool'!A1" display="Low Value Pool" xr:uid="{00000000-0004-0000-0100-000008000000}"/>
    <hyperlink ref="E53" location="'Interest Calc'!A1" display="Interest Calculation - Irregular Payments" xr:uid="{00000000-0004-0000-0100-000009000000}"/>
    <hyperlink ref="E41" location="'Capital Asset Schedule'!A1" display="Capital Asset Transaction Register" xr:uid="{00000000-0004-0000-0100-00000A000000}"/>
    <hyperlink ref="E21" location="'Total Debt'!A1" display="Total Debt" xr:uid="{00000000-0004-0000-0100-00000B000000}"/>
    <hyperlink ref="E22" location="'FMD''s'!A1" display="Farm Management Deposit Record" xr:uid="{00000000-0004-0000-0100-00000C000000}"/>
    <hyperlink ref="E42" location="'Building Write-Off'!A1" display="Building Write-Offs" xr:uid="{00000000-0004-0000-0100-00000D000000}"/>
    <hyperlink ref="E44" location="'Mains Electricity Write-Off'!A1" display="Mains Electricity Write-Off (farm)" xr:uid="{00000000-0004-0000-0100-00000E000000}"/>
    <hyperlink ref="E43" location="'Water Improvements Write-Off'!A1" display="Water Improvements Write-Off (farm)" xr:uid="{00000000-0004-0000-0100-00000F000000}"/>
    <hyperlink ref="E23" location="'Drought Write-Off (s385-105)'!A1" display="Drought Write-Off (section 385-105)" xr:uid="{00000000-0004-0000-0100-000010000000}"/>
    <hyperlink ref="E24" location="'Drought Write-Off (s385-110)'!A1" display="Drought Write-Off (section 385-110)" xr:uid="{00000000-0004-0000-0100-000011000000}"/>
    <hyperlink ref="E68" location="'Wages Reconciliation'!A1" display="Wages Reconciliation" xr:uid="{00000000-0004-0000-0100-000012000000}"/>
    <hyperlink ref="E29" location="Debtors!A1" display="Debtors Listing" xr:uid="{00000000-0004-0000-0100-000013000000}"/>
    <hyperlink ref="E45" location="'Div7A Loan'!A1" display="Division 7A Loan Account" xr:uid="{00000000-0004-0000-0100-000014000000}"/>
    <hyperlink ref="E49" location="'AWB Loans'!A1" display="AWB Loan" xr:uid="{00000000-0004-0000-0100-000015000000}"/>
    <hyperlink ref="E60" location="'Farm Income Split'!A1" display="Farm Income Split" xr:uid="{00000000-0004-0000-0100-000016000000}"/>
    <hyperlink ref="E62" location="'Inv Income'!A1" display="Investment Income" xr:uid="{00000000-0004-0000-0100-000017000000}"/>
    <hyperlink ref="E63" location="'Dividend Summary'!A1" display="Dividend Summary" xr:uid="{00000000-0004-0000-0100-000018000000}"/>
    <hyperlink ref="E57" location="'Interest Deduct'!A1" display="Interest Deductibility" xr:uid="{00000000-0004-0000-0100-000019000000}"/>
    <hyperlink ref="E54" location="'Loan Schedule'!A1" display="Loan Schedule" xr:uid="{00000000-0004-0000-0100-00001A000000}"/>
    <hyperlink ref="E31" location="Prepayments!A1" display="Prepayments" xr:uid="{00000000-0004-0000-0100-00001B000000}"/>
    <hyperlink ref="E32" location="Livestock!A1" display="Livestock" xr:uid="{00000000-0004-0000-0100-00001C000000}"/>
    <hyperlink ref="E19" location="'Tax Planning Summary'!A1" display="Tax Distribution - Non Averaging" xr:uid="{00000000-0004-0000-0100-00001D000000}"/>
    <hyperlink ref="E18" location="'SBE Worksheet'!A1" display="Small Business Entity Worksheet and Average Turnover" xr:uid="{00000000-0004-0000-0100-00001F000000}"/>
    <hyperlink ref="E34" location="'Commercial Bill Pre'!A1" display="Commercial Bill Prepayments" xr:uid="{00000000-0004-0000-0100-000020000000}"/>
    <hyperlink ref="E56" location="'Inter Entity Loans'!A1" display="Inter Entity Loan Matrix" xr:uid="{00000000-0004-0000-0100-000021000000}"/>
    <hyperlink ref="E46" location="'Sale or Purch Business'!A1" display="Sale/Purchase of Business/Property" xr:uid="{00000000-0004-0000-0100-000022000000}"/>
    <hyperlink ref="E39" location="'Blackhole Expenses'!A1" display="Blackhole Expenses and Intangibles" xr:uid="{00000000-0004-0000-0100-000023000000}"/>
    <hyperlink ref="E67" location="'Car FBT'!A1" display="Car FBT" xr:uid="{00000000-0004-0000-0100-000024000000}"/>
    <hyperlink ref="E55" location="'HP Summary'!A1" display="Hire Purchase Summary" xr:uid="{00000000-0004-0000-0100-000025000000}"/>
    <hyperlink ref="E58" location="'Long Service Leave'!A1" display="Long Service Leave" xr:uid="{00000000-0004-0000-0100-000026000000}"/>
    <hyperlink ref="E11" location="'Planning Checklist'!A1" display="YEAR END PLANNING CHECKLIST" xr:uid="{00000000-0004-0000-0100-000027000000}"/>
    <hyperlink ref="E13" location="'Projected Income &amp; Expenses'!A1" display="Tax Reconciliation" xr:uid="{00000000-0004-0000-0100-000028000000}"/>
    <hyperlink ref="E9" location="'Standard Thresholds'!A1" display="STANDARD THRESHOLDS" xr:uid="{00000000-0004-0000-0100-000029000000}"/>
    <hyperlink ref="E8" location="'Standard Rates'!A1" display="STANDARD RATES" xr:uid="{00000000-0004-0000-0100-00002A000000}"/>
    <hyperlink ref="E33" location="'Livestock Est'!A1" display="Livestock" xr:uid="{00000000-0004-0000-0100-00002B000000}"/>
    <hyperlink ref="E73" location="'Recommendations &amp; Ideas'!A1" display="Recommendations &amp; Ideas" xr:uid="{00000000-0004-0000-0100-00002C000000}"/>
    <hyperlink ref="E75" location="'How are we doing'!A1" display="HOW ARE WE DOING? CLIENT FEEDBACK" xr:uid="{00000000-0004-0000-0100-00002D000000}"/>
    <hyperlink ref="E76" location="'Client Cover Sheet'!A1" display="CLIENT COVER SHEET" xr:uid="{00000000-0004-0000-0100-00002E000000}"/>
    <hyperlink ref="E15" location="'Tax Rec Report'!A1" display="Tax Reconciliation - Accounts" xr:uid="{00000000-0004-0000-0100-000030000000}"/>
    <hyperlink ref="E3" location="ClientName" display="ClientName" xr:uid="{00000000-0004-0000-0100-000031000000}"/>
    <hyperlink ref="E14" location="'Tax Rec'!A1" display="Tax Reconciliation" xr:uid="{00000000-0004-0000-0100-000032000000}"/>
    <hyperlink ref="E72" location="'Net Worth Calculator'!A1" display="Net wealth calculation" xr:uid="{00000000-0004-0000-0100-000033000000}"/>
    <hyperlink ref="E61" location="'Schedule B'!A1" display="Profession, Trade or Business Income &amp; Deduction Sch." xr:uid="{00000000-0004-0000-0100-000034000000}"/>
    <hyperlink ref="E70" location="'TFN Register'!A1" display="Closely Held Trusts - TFN Reporting Register" xr:uid="{00000000-0004-0000-0100-000035000000}"/>
    <hyperlink ref="E17" location="'Trust Streaming'!A1" display="'Trust Streaming'!A1" xr:uid="{00000000-0004-0000-0100-000036000000}"/>
    <hyperlink ref="E71" location="'ATO Benchmark'!A1" display="ATO Benchmarking" xr:uid="{00000000-0004-0000-0100-000037000000}"/>
    <hyperlink ref="E51" location="'Superannuation Liability'!A1" display="Superannuation Liability" xr:uid="{00000000-0004-0000-0100-000038000000}"/>
    <hyperlink ref="E25" location="'Summary of Tax Position'!A1" display="Summary of Group Tax Position" xr:uid="{00000000-0004-0000-0100-000039000000}"/>
    <hyperlink ref="E16" location="'Comparative Tax Recn'!A1" display="Tax Reconciliation - Comparative" xr:uid="{00000000-0004-0000-0100-00003A000000}"/>
    <hyperlink ref="E20" location="'Averaging Calculator'!A1" display="Averaging Calculator" xr:uid="{00000000-0004-0000-0100-00003B000000}"/>
    <hyperlink ref="E77" location="'Meeting Agenda'!A1" display="Meeting agenda" xr:uid="{81CAC33D-D0DF-480B-9D4E-CB0D259588FB}"/>
    <hyperlink ref="E78" location="'Loss Carry Back'!A1" display="Loss Carry Back" xr:uid="{07AC79BB-F381-4092-869D-D6AFD5C95202}"/>
    <hyperlink ref="E79" location="'Temp Full Expense Checklist'!A1" display="Temp Full Expense Checklist" xr:uid="{9886BE18-FC03-4595-9F40-C2C2ED325BDC}"/>
    <hyperlink ref="E80" location="'Cash Book'!A1" display="Cash book" xr:uid="{D63A9F45-43B4-4990-A328-69B84B8516FC}"/>
    <hyperlink ref="E81" location="'Home Office'!A1" display="Home office" xr:uid="{C3A7E004-9B7D-47A1-8D98-3B9922E732F0}"/>
    <hyperlink ref="E82" location="'Template Workpaper'!A1" display="Template workpaper" xr:uid="{337185A3-49F3-4A41-BDA9-9ACE485C411E}"/>
  </hyperlinks>
  <printOptions horizontalCentered="1"/>
  <pageMargins left="0.59055118110236227" right="0.43307086614173229" top="0.6692913385826772" bottom="0.94488188976377963" header="0.51181102362204722" footer="0.39370078740157483"/>
  <pageSetup paperSize="9" fitToHeight="999"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9683" r:id="rId6" name="Button 227">
              <controlPr defaultSize="0" print="0" autoFill="0" autoPict="0" macro="[0]!Hide_All_Worksheets">
                <anchor moveWithCells="1">
                  <from>
                    <xdr:col>8</xdr:col>
                    <xdr:colOff>0</xdr:colOff>
                    <xdr:row>7</xdr:row>
                    <xdr:rowOff>0</xdr:rowOff>
                  </from>
                  <to>
                    <xdr:col>9</xdr:col>
                    <xdr:colOff>228600</xdr:colOff>
                    <xdr:row>8</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andard_Rates_Sheet"/>
  <dimension ref="A1:J41"/>
  <sheetViews>
    <sheetView showGridLines="0" zoomScaleNormal="100" workbookViewId="0">
      <selection sqref="A1:I1"/>
    </sheetView>
  </sheetViews>
  <sheetFormatPr defaultColWidth="9.140625" defaultRowHeight="15.75" customHeight="1"/>
  <cols>
    <col min="1" max="1" width="49.42578125" style="1093" customWidth="1"/>
    <col min="2" max="4" width="11.140625" style="1095" customWidth="1"/>
    <col min="5" max="8" width="11.140625" style="1093" customWidth="1"/>
    <col min="9" max="9" width="12.28515625" style="1093" customWidth="1"/>
    <col min="10" max="16384" width="9.140625" style="1093"/>
  </cols>
  <sheetData>
    <row r="1" spans="1:10" ht="15.75" customHeight="1">
      <c r="A1" s="3708" t="s">
        <v>493</v>
      </c>
      <c r="B1" s="3709"/>
      <c r="C1" s="3709"/>
      <c r="D1" s="3709"/>
      <c r="E1" s="3709"/>
      <c r="F1" s="3709"/>
      <c r="G1" s="3709"/>
      <c r="H1" s="3709"/>
      <c r="I1" s="3710"/>
    </row>
    <row r="2" spans="1:10" ht="15.75" customHeight="1">
      <c r="A2" s="1094"/>
      <c r="H2" s="3711" t="s">
        <v>1039</v>
      </c>
      <c r="I2" s="3711"/>
    </row>
    <row r="3" spans="1:10" ht="15.75" customHeight="1">
      <c r="A3" s="221" t="str">
        <f>"CLIENT NAME:   "&amp;IF(ClientName="[ENTER CLIENT NAME]","",ClientName)</f>
        <v>CLIENT NAME:   Example Trust</v>
      </c>
    </row>
    <row r="4" spans="1:10" ht="15.75" customHeight="1">
      <c r="A4" s="1096" t="str">
        <f>"CLIENT CODE:   "&amp;'WP Index'!E4</f>
        <v>CLIENT CODE:   99999</v>
      </c>
      <c r="G4" s="1097"/>
      <c r="H4" s="1097" t="s">
        <v>951</v>
      </c>
      <c r="I4" s="1098">
        <f>'WP Index'!G5</f>
        <v>45473</v>
      </c>
    </row>
    <row r="5" spans="1:10" ht="15.75" customHeight="1">
      <c r="A5" s="1099" t="str">
        <f>"RATES FOR STATE:     "&amp;'Input Info'!Entity_State</f>
        <v>RATES FOR STATE:     VIC</v>
      </c>
    </row>
    <row r="6" spans="1:10" ht="15.75" customHeight="1">
      <c r="A6" s="1100"/>
    </row>
    <row r="7" spans="1:10" ht="15.75" customHeight="1">
      <c r="A7" s="1103"/>
      <c r="I7" s="1102"/>
    </row>
    <row r="8" spans="1:10" ht="15.75" customHeight="1">
      <c r="B8" s="3707"/>
      <c r="C8" s="3707"/>
      <c r="D8" s="3707"/>
      <c r="E8" s="3707"/>
      <c r="F8" s="3707"/>
      <c r="G8" s="3707"/>
      <c r="H8" s="3707"/>
      <c r="I8" s="1095"/>
    </row>
    <row r="12" spans="1:10" ht="15.75" customHeight="1">
      <c r="J12" s="1104"/>
    </row>
    <row r="26" spans="4:4" ht="15.75" customHeight="1">
      <c r="D26" s="1105"/>
    </row>
    <row r="27" spans="4:4" ht="15.75" customHeight="1">
      <c r="D27" s="1105"/>
    </row>
    <row r="28" spans="4:4" ht="15.75" customHeight="1">
      <c r="D28" s="1105"/>
    </row>
    <row r="29" spans="4:4" ht="15.75" customHeight="1">
      <c r="D29" s="1105"/>
    </row>
    <row r="30" spans="4:4" ht="15.75" customHeight="1">
      <c r="D30" s="1105"/>
    </row>
    <row r="33" spans="2:4" ht="15.75" customHeight="1">
      <c r="D33" s="1904"/>
    </row>
    <row r="34" spans="2:4" ht="15.75" customHeight="1">
      <c r="B34" s="3213"/>
      <c r="C34" s="3213"/>
      <c r="D34" s="3213"/>
    </row>
    <row r="35" spans="2:4" ht="15.75" customHeight="1">
      <c r="B35" s="3213"/>
      <c r="C35" s="3213"/>
      <c r="D35" s="3213"/>
    </row>
    <row r="36" spans="2:4" ht="15.75" customHeight="1">
      <c r="B36" s="3213"/>
      <c r="C36" s="3213"/>
      <c r="D36" s="3213"/>
    </row>
    <row r="37" spans="2:4" ht="15.75" customHeight="1">
      <c r="B37" s="3213"/>
      <c r="C37" s="3213"/>
      <c r="D37" s="3213"/>
    </row>
    <row r="38" spans="2:4" ht="15.75" customHeight="1">
      <c r="B38" s="3213"/>
      <c r="C38" s="3213"/>
      <c r="D38" s="3213"/>
    </row>
    <row r="39" spans="2:4" ht="15.75" customHeight="1">
      <c r="B39" s="3213"/>
      <c r="C39" s="3213"/>
      <c r="D39" s="3213"/>
    </row>
    <row r="40" spans="2:4" ht="15.75" customHeight="1">
      <c r="B40" s="3213"/>
      <c r="C40" s="3213"/>
      <c r="D40" s="3213"/>
    </row>
    <row r="41" spans="2:4" ht="15.75" customHeight="1">
      <c r="B41" s="3213"/>
      <c r="C41" s="3213"/>
      <c r="D41" s="3213"/>
    </row>
  </sheetData>
  <customSheetViews>
    <customSheetView guid="{BCBE45D4-3C45-4659-992E-5C5D3E9FD81C}" showPageBreaks="1" showGridLines="0" fitToPage="1" hiddenRows="1">
      <selection activeCell="G31" sqref="G31"/>
      <pageMargins left="0.59055118110236227" right="0.43307086614173229" top="0.6692913385826772" bottom="0.74" header="0.51181102362204722" footer="0.39370078740157483"/>
      <printOptions horizontalCentered="1"/>
      <pageSetup paperSize="9" scale="67" fitToHeight="3" orientation="portrait" blackAndWhite="1" r:id="rId1"/>
      <headerFooter alignWithMargins="0">
        <oddFooter>&amp;L&amp;8Copyright WHK Group Limited 2006.  All rights reserved.
&amp;Z&amp;F[&amp;A]&amp;R&amp;8&amp;P/&amp;N</oddFooter>
      </headerFooter>
    </customSheetView>
    <customSheetView guid="{C24F3A9E-A8AA-4925-82D2-3EFABA416C15}" showPageBreaks="1" showGridLines="0" fitToPage="1" hiddenRows="1">
      <selection activeCell="C44" sqref="C44"/>
      <pageMargins left="0.59055118110236227" right="0.43307086614173229" top="0.6692913385826772" bottom="0.74" header="0.51181102362204722" footer="0.39370078740157483"/>
      <printOptions horizontalCentered="1"/>
      <pageSetup paperSize="9" scale="67" fitToHeight="3" orientation="portrait" blackAndWhite="1" r:id="rId2"/>
      <headerFooter alignWithMargins="0">
        <oddFooter>&amp;L&amp;8Copyright WHK Group Limited 2006.  All rights reserved.
&amp;Z&amp;F[&amp;A]&amp;R&amp;8&amp;P/&amp;N</oddFooter>
      </headerFooter>
    </customSheetView>
  </customSheetViews>
  <mergeCells count="3">
    <mergeCell ref="B8:H8"/>
    <mergeCell ref="A1:I1"/>
    <mergeCell ref="H2:I2"/>
  </mergeCells>
  <phoneticPr fontId="26" type="noConversion"/>
  <hyperlinks>
    <hyperlink ref="H2" location="'WP Index'!A1" display="Back to Workpaper Index" xr:uid="{00000000-0004-0000-0200-000000000000}"/>
  </hyperlinks>
  <printOptions horizontalCentered="1"/>
  <pageMargins left="0.59055118110236227" right="0.43307086614173229" top="0.6692913385826772" bottom="0.94488188976377963" header="0.51181102362204722" footer="0.39370078740157483"/>
  <pageSetup paperSize="9" fitToHeight="3" orientation="portrait" blackAndWhite="1" r:id="rId3"/>
  <headerFooter alignWithMargins="0">
    <oddFooter>&amp;L&amp;8© Findex (Aust) Pty Ltd.  All rights reserved.&amp;R&amp;8&amp;P/&amp;N</oddFooter>
  </headerFooter>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andard_Thresholds_Sheet">
    <tabColor theme="8" tint="0.79998168889431442"/>
    <pageSetUpPr fitToPage="1"/>
  </sheetPr>
  <dimension ref="A1:L225"/>
  <sheetViews>
    <sheetView showGridLines="0" zoomScaleNormal="100" workbookViewId="0">
      <selection sqref="A1:F1"/>
    </sheetView>
  </sheetViews>
  <sheetFormatPr defaultColWidth="9.140625" defaultRowHeight="15.75" customHeight="1"/>
  <cols>
    <col min="1" max="1" width="40.140625" style="2527" customWidth="1"/>
    <col min="2" max="4" width="24.28515625" style="2534" customWidth="1"/>
    <col min="5" max="5" width="24.28515625" style="2527" customWidth="1"/>
    <col min="6" max="6" width="27.42578125" style="2527" customWidth="1"/>
    <col min="7" max="7" width="29" style="2527" customWidth="1"/>
    <col min="8" max="14" width="24.28515625" style="2527" customWidth="1"/>
    <col min="15" max="15" width="10.28515625" style="2527" bestFit="1" customWidth="1"/>
    <col min="16" max="16384" width="9.140625" style="2527"/>
  </cols>
  <sheetData>
    <row r="1" spans="1:12" ht="15.75" customHeight="1">
      <c r="A1" s="3719" t="s">
        <v>1460</v>
      </c>
      <c r="B1" s="3720"/>
      <c r="C1" s="3720"/>
      <c r="D1" s="3720"/>
      <c r="E1" s="3720"/>
      <c r="F1" s="3721"/>
      <c r="G1" s="3080"/>
      <c r="H1" s="3080"/>
      <c r="I1" s="3080"/>
      <c r="L1" s="2519"/>
    </row>
    <row r="2" spans="1:12" ht="15.75" customHeight="1">
      <c r="A2" s="3081"/>
      <c r="E2" s="3711" t="s">
        <v>2526</v>
      </c>
      <c r="F2" s="3711"/>
      <c r="L2" s="2519">
        <v>1000000</v>
      </c>
    </row>
    <row r="3" spans="1:12" ht="15.75" customHeight="1">
      <c r="A3" s="221" t="str">
        <f>"CLIENT NAME:   "&amp;IF(ClientName="[ENTER CLIENT NAME]","",ClientName)</f>
        <v>CLIENT NAME:   Example Trust</v>
      </c>
      <c r="L3" s="2519"/>
    </row>
    <row r="4" spans="1:12" ht="15.75" customHeight="1">
      <c r="A4" s="3082" t="e">
        <v>#NAME?</v>
      </c>
      <c r="E4" s="3083" t="s">
        <v>951</v>
      </c>
      <c r="F4" s="3084">
        <f>Period_End</f>
        <v>45473</v>
      </c>
      <c r="G4" s="3083"/>
      <c r="L4" s="2519"/>
    </row>
    <row r="5" spans="1:12" ht="15.75" customHeight="1">
      <c r="A5" s="2535"/>
      <c r="F5" s="3085"/>
      <c r="L5" s="2519"/>
    </row>
    <row r="6" spans="1:12" ht="15.75" hidden="1" customHeight="1" thickBot="1">
      <c r="A6" s="2514" t="s">
        <v>2037</v>
      </c>
      <c r="B6" s="2515"/>
      <c r="C6" s="2515"/>
      <c r="D6" s="2058"/>
      <c r="G6" s="2054"/>
      <c r="L6" s="2519"/>
    </row>
    <row r="7" spans="1:12" ht="15.75" hidden="1" customHeight="1" thickBot="1">
      <c r="A7" s="1798" t="s">
        <v>1461</v>
      </c>
      <c r="B7" s="1799"/>
      <c r="C7" s="1800" t="s">
        <v>1462</v>
      </c>
      <c r="D7" s="1801" t="s">
        <v>1463</v>
      </c>
      <c r="F7" s="2508" t="s">
        <v>2212</v>
      </c>
      <c r="G7" s="2509" t="s">
        <v>2213</v>
      </c>
      <c r="H7" s="3086"/>
      <c r="L7" s="2519"/>
    </row>
    <row r="8" spans="1:12" ht="15.75" hidden="1" customHeight="1">
      <c r="A8" s="1802">
        <v>0</v>
      </c>
      <c r="B8" s="1803" t="s">
        <v>1464</v>
      </c>
      <c r="C8" s="1804">
        <v>0</v>
      </c>
      <c r="D8" s="1796">
        <v>0</v>
      </c>
      <c r="F8" s="2285">
        <v>43281</v>
      </c>
      <c r="G8" s="2510">
        <v>-2.5000000000000001E-2</v>
      </c>
      <c r="L8" s="2519"/>
    </row>
    <row r="9" spans="1:12" ht="15.75" hidden="1" customHeight="1">
      <c r="A9" s="1802">
        <v>18200</v>
      </c>
      <c r="B9" s="2148" t="s">
        <v>1464</v>
      </c>
      <c r="C9" s="1804">
        <v>0</v>
      </c>
      <c r="D9" s="1796">
        <v>0.19</v>
      </c>
      <c r="E9"/>
      <c r="F9" s="2286">
        <v>43646</v>
      </c>
      <c r="G9" s="2511">
        <v>-2.5000000000000001E-2</v>
      </c>
    </row>
    <row r="10" spans="1:12" ht="15.75" hidden="1" customHeight="1">
      <c r="A10" s="1802">
        <v>45000</v>
      </c>
      <c r="B10" s="1803" t="s">
        <v>1464</v>
      </c>
      <c r="C10" s="1804">
        <f>+(A10-A9)*D9+C9</f>
        <v>5092</v>
      </c>
      <c r="D10" s="1796">
        <v>0.32500000000000001</v>
      </c>
      <c r="E10"/>
      <c r="F10" s="2286">
        <v>44012</v>
      </c>
      <c r="G10" s="2511">
        <v>-2.5000000000000001E-2</v>
      </c>
    </row>
    <row r="11" spans="1:12" ht="15.75" hidden="1" customHeight="1">
      <c r="A11" s="1802">
        <v>120000</v>
      </c>
      <c r="B11" s="1803" t="s">
        <v>1464</v>
      </c>
      <c r="C11" s="1804">
        <f>+(A11-A10)*D10+C10</f>
        <v>29467</v>
      </c>
      <c r="D11" s="1796">
        <v>0.37</v>
      </c>
      <c r="E11"/>
      <c r="F11" s="2286">
        <v>44377</v>
      </c>
      <c r="G11" s="2511">
        <v>-0.04</v>
      </c>
    </row>
    <row r="12" spans="1:12" ht="15.75" hidden="1" customHeight="1">
      <c r="A12" s="1802">
        <v>180000</v>
      </c>
      <c r="B12" s="1803" t="s">
        <v>1464</v>
      </c>
      <c r="C12" s="1804">
        <f>+(A12-A11)*D11+C11</f>
        <v>51667</v>
      </c>
      <c r="D12" s="1796">
        <v>0.45</v>
      </c>
      <c r="E12" s="1809"/>
      <c r="F12" s="2286">
        <v>44742</v>
      </c>
      <c r="G12" s="2511">
        <v>-0.05</v>
      </c>
    </row>
    <row r="13" spans="1:12" ht="15.75" hidden="1" customHeight="1" thickBot="1">
      <c r="A13" s="1810" t="s">
        <v>1979</v>
      </c>
      <c r="B13" s="1803"/>
      <c r="C13" s="1805"/>
      <c r="D13" s="1796">
        <v>0.3</v>
      </c>
      <c r="E13"/>
      <c r="F13" s="2512">
        <v>45107</v>
      </c>
      <c r="G13" s="2513">
        <v>-0.05</v>
      </c>
    </row>
    <row r="14" spans="1:12" ht="15.75" hidden="1" customHeight="1">
      <c r="A14" s="1810" t="s">
        <v>2042</v>
      </c>
      <c r="B14" s="1811"/>
      <c r="C14" s="1812"/>
      <c r="D14" s="1813" t="e">
        <f>VLOOKUP(F4,F8:G13,2,FALSE)</f>
        <v>#N/A</v>
      </c>
      <c r="E14"/>
      <c r="F14"/>
    </row>
    <row r="15" spans="1:12" ht="15.75" hidden="1" customHeight="1">
      <c r="A15" s="2520" t="s">
        <v>1980</v>
      </c>
      <c r="B15" s="1811"/>
      <c r="C15" s="1812"/>
      <c r="D15" s="1813" t="e">
        <f>+IF(AND(SBE="YES", YEAR(Period_End)&gt;2015),COY_NORMAL_RATE+COY_SMALL_BUSINESS_RATE,COY_NORMAL_RATE)</f>
        <v>#N/A</v>
      </c>
      <c r="E15"/>
      <c r="F15"/>
    </row>
    <row r="16" spans="1:12" ht="15.75" hidden="1" customHeight="1" thickBot="1">
      <c r="A16" s="1806" t="s">
        <v>12</v>
      </c>
      <c r="B16" s="1807"/>
      <c r="C16" s="1808"/>
      <c r="D16" s="1797">
        <v>0.15</v>
      </c>
      <c r="E16" s="3087"/>
      <c r="F16"/>
    </row>
    <row r="17" spans="1:11" ht="15.75" hidden="1" customHeight="1">
      <c r="A17" s="3088"/>
      <c r="B17"/>
      <c r="C17" s="3089"/>
      <c r="D17" s="3090"/>
      <c r="E17"/>
      <c r="F17" s="3091"/>
    </row>
    <row r="18" spans="1:11" ht="15.75" customHeight="1" thickBot="1">
      <c r="A18" s="1077" t="s">
        <v>2463</v>
      </c>
    </row>
    <row r="19" spans="1:11" ht="15.75" customHeight="1" thickBot="1">
      <c r="A19" s="3722" t="s">
        <v>14</v>
      </c>
      <c r="B19" s="3723"/>
      <c r="C19" s="3723"/>
      <c r="D19" s="3724"/>
    </row>
    <row r="20" spans="1:11" ht="15.75" customHeight="1">
      <c r="A20" s="3725" t="s">
        <v>15</v>
      </c>
      <c r="B20" s="3726"/>
      <c r="C20" s="3727"/>
      <c r="D20" s="3092">
        <f>1/3</f>
        <v>0.33333333333333331</v>
      </c>
    </row>
    <row r="21" spans="1:11" ht="15.75" customHeight="1">
      <c r="A21" s="3731" t="s">
        <v>16</v>
      </c>
      <c r="B21" s="3732"/>
      <c r="C21" s="3733"/>
      <c r="D21" s="3093">
        <v>4</v>
      </c>
    </row>
    <row r="22" spans="1:11" ht="14.25" customHeight="1">
      <c r="A22" s="2149" t="s">
        <v>2008</v>
      </c>
      <c r="B22" s="2150"/>
      <c r="C22" s="1602">
        <v>43555</v>
      </c>
      <c r="D22" s="3095">
        <v>5.1999999999999998E-2</v>
      </c>
      <c r="E22" s="1618"/>
    </row>
    <row r="23" spans="1:11" ht="14.25" customHeight="1">
      <c r="A23" s="2149" t="s">
        <v>2008</v>
      </c>
      <c r="B23" s="2150"/>
      <c r="C23" s="1602">
        <v>43921</v>
      </c>
      <c r="D23" s="3095">
        <v>5.3699999999999998E-2</v>
      </c>
      <c r="E23" s="2086"/>
    </row>
    <row r="24" spans="1:11" ht="14.25" customHeight="1">
      <c r="A24" s="2521" t="s">
        <v>2008</v>
      </c>
      <c r="B24" s="2522"/>
      <c r="C24" s="2523">
        <v>44286</v>
      </c>
      <c r="D24" s="3096">
        <v>4.8000000000000001E-2</v>
      </c>
      <c r="E24" s="2086"/>
    </row>
    <row r="25" spans="1:11" ht="14.25" customHeight="1">
      <c r="A25" s="2521" t="s">
        <v>2008</v>
      </c>
      <c r="B25" s="2522"/>
      <c r="C25" s="2523">
        <v>44651</v>
      </c>
      <c r="D25" s="3096">
        <v>4.5199999999999997E-2</v>
      </c>
      <c r="E25" s="2086"/>
    </row>
    <row r="26" spans="1:11" ht="14.25" customHeight="1">
      <c r="A26" s="2521" t="s">
        <v>2008</v>
      </c>
      <c r="B26" s="2522"/>
      <c r="C26" s="2523">
        <v>45016</v>
      </c>
      <c r="D26" s="3519">
        <v>4.5199999999999997E-2</v>
      </c>
      <c r="E26" s="1606"/>
    </row>
    <row r="27" spans="1:11" ht="14.25" customHeight="1">
      <c r="A27" s="3117" t="s">
        <v>2008</v>
      </c>
      <c r="B27" s="3118"/>
      <c r="C27" s="3119">
        <v>45382</v>
      </c>
      <c r="D27" s="3120">
        <v>7.7700000000000005E-2</v>
      </c>
      <c r="E27" s="1606"/>
    </row>
    <row r="28" spans="1:11" ht="16.5" customHeight="1">
      <c r="A28" s="3728" t="s">
        <v>1990</v>
      </c>
      <c r="B28" s="3729"/>
      <c r="C28" s="3730"/>
      <c r="D28" s="3094">
        <v>0.22500000000000001</v>
      </c>
      <c r="E28" s="1606"/>
    </row>
    <row r="29" spans="1:11" ht="16.5" customHeight="1">
      <c r="A29" s="3712" t="s">
        <v>1989</v>
      </c>
      <c r="B29" s="3713"/>
      <c r="C29" s="3714"/>
      <c r="D29" s="3094">
        <v>0.1875</v>
      </c>
      <c r="H29" s="1606"/>
    </row>
    <row r="30" spans="1:11" ht="16.5" customHeight="1" thickBot="1">
      <c r="A30" s="3715" t="s">
        <v>412</v>
      </c>
      <c r="B30" s="3715"/>
      <c r="C30" s="3716"/>
      <c r="D30" s="3097">
        <v>0.25</v>
      </c>
      <c r="H30" s="1606"/>
    </row>
    <row r="31" spans="1:11" ht="18.75" customHeight="1" thickBot="1">
      <c r="A31" s="1609" t="s">
        <v>1831</v>
      </c>
      <c r="B31" s="3070"/>
      <c r="C31" s="3070"/>
      <c r="D31" s="3114">
        <v>45382</v>
      </c>
      <c r="E31" s="3516">
        <v>45016</v>
      </c>
      <c r="F31" s="3516">
        <v>44651</v>
      </c>
      <c r="G31" s="3516">
        <v>44286</v>
      </c>
      <c r="H31" s="3516">
        <v>43921</v>
      </c>
      <c r="I31" s="3516">
        <v>43555</v>
      </c>
      <c r="K31" s="1606"/>
    </row>
    <row r="32" spans="1:11" ht="15.75" customHeight="1" thickBot="1">
      <c r="A32" s="3717" t="s">
        <v>411</v>
      </c>
      <c r="B32" s="3718"/>
      <c r="C32" s="3718"/>
      <c r="D32" s="3115">
        <v>0.47</v>
      </c>
      <c r="E32" s="3517">
        <v>0.47</v>
      </c>
      <c r="F32" s="3517">
        <v>0.47</v>
      </c>
      <c r="G32" s="3517">
        <v>0.47</v>
      </c>
      <c r="H32" s="3517">
        <v>0.47</v>
      </c>
      <c r="I32" s="3517">
        <v>0.47</v>
      </c>
      <c r="K32" s="1605"/>
    </row>
    <row r="33" spans="1:11" ht="15.75" customHeight="1" thickBot="1">
      <c r="A33" s="2516" t="s">
        <v>361</v>
      </c>
      <c r="B33" s="2517" t="s">
        <v>1987</v>
      </c>
      <c r="C33" s="2103"/>
      <c r="D33" s="3116">
        <v>2.0802</v>
      </c>
      <c r="E33" s="3518">
        <v>2.0802</v>
      </c>
      <c r="F33" s="3518">
        <v>2.0802</v>
      </c>
      <c r="G33" s="3518">
        <v>2.0802</v>
      </c>
      <c r="H33" s="3518">
        <v>2.0802</v>
      </c>
      <c r="I33" s="3518">
        <v>2.0802</v>
      </c>
      <c r="K33" s="1606"/>
    </row>
    <row r="34" spans="1:11" ht="15.75" customHeight="1" thickBot="1">
      <c r="A34" s="1601"/>
      <c r="B34" s="2518" t="s">
        <v>1988</v>
      </c>
      <c r="C34" s="3098"/>
      <c r="D34" s="3116">
        <v>1.8868</v>
      </c>
      <c r="E34" s="3518">
        <v>1.8868</v>
      </c>
      <c r="F34" s="3518">
        <v>1.8868</v>
      </c>
      <c r="G34" s="3518">
        <v>1.8868</v>
      </c>
      <c r="H34" s="3518">
        <v>1.8868</v>
      </c>
      <c r="I34" s="3518">
        <v>1.8868</v>
      </c>
    </row>
    <row r="35" spans="1:11" ht="15.75" customHeight="1">
      <c r="E35" s="1607"/>
    </row>
    <row r="36" spans="1:11">
      <c r="A36" s="1077" t="s">
        <v>2643</v>
      </c>
      <c r="B36" s="1483"/>
      <c r="C36" s="1483"/>
      <c r="D36"/>
      <c r="E36"/>
      <c r="F36"/>
      <c r="G36"/>
      <c r="H36"/>
      <c r="I36"/>
      <c r="J36"/>
    </row>
    <row r="37" spans="1:11" ht="15">
      <c r="A37" s="2528" t="s">
        <v>2037</v>
      </c>
      <c r="B37" s="1483"/>
      <c r="C37" s="1483"/>
      <c r="D37"/>
      <c r="E37"/>
      <c r="F37"/>
      <c r="G37"/>
      <c r="H37"/>
      <c r="I37"/>
      <c r="J37"/>
    </row>
    <row r="38" spans="1:11" ht="12.75">
      <c r="A38" s="2529" t="s">
        <v>1958</v>
      </c>
      <c r="B38" s="2529" t="s">
        <v>379</v>
      </c>
      <c r="C38" s="2529" t="s">
        <v>2246</v>
      </c>
      <c r="D38" s="2527"/>
    </row>
    <row r="39" spans="1:11" ht="12.75">
      <c r="A39" s="3057">
        <v>0</v>
      </c>
      <c r="B39" s="3058">
        <v>0</v>
      </c>
      <c r="C39" s="3057">
        <v>0</v>
      </c>
      <c r="D39" s="2527"/>
    </row>
    <row r="40" spans="1:11" ht="12.75">
      <c r="A40" s="3057">
        <v>18200</v>
      </c>
      <c r="B40" s="3058">
        <v>0.19</v>
      </c>
      <c r="C40" s="3057">
        <v>0</v>
      </c>
      <c r="D40" s="2527"/>
    </row>
    <row r="41" spans="1:11" ht="12.75">
      <c r="A41" s="3057">
        <v>45000</v>
      </c>
      <c r="B41" s="3059">
        <v>0.32500000000000001</v>
      </c>
      <c r="C41" s="3057">
        <v>5092</v>
      </c>
      <c r="D41" s="2527"/>
    </row>
    <row r="42" spans="1:11" ht="12.75">
      <c r="A42" s="3057">
        <v>120000</v>
      </c>
      <c r="B42" s="3058">
        <v>0.37</v>
      </c>
      <c r="C42" s="3057">
        <v>29467</v>
      </c>
      <c r="D42" s="2527"/>
    </row>
    <row r="43" spans="1:11" ht="12.75">
      <c r="A43" s="3057">
        <v>180000</v>
      </c>
      <c r="B43" s="3058">
        <v>0.45</v>
      </c>
      <c r="C43" s="3057">
        <v>51667</v>
      </c>
      <c r="D43" s="2527"/>
    </row>
    <row r="44" spans="1:11" ht="12.75">
      <c r="B44" s="2527"/>
      <c r="C44" s="2527"/>
      <c r="D44" s="2527"/>
    </row>
    <row r="45" spans="1:11" ht="15">
      <c r="A45" s="2530" t="s">
        <v>2038</v>
      </c>
      <c r="B45" s="2527"/>
      <c r="C45" s="2527"/>
      <c r="D45" s="2527"/>
    </row>
    <row r="46" spans="1:11" ht="12.75">
      <c r="A46" s="2529" t="s">
        <v>1958</v>
      </c>
      <c r="B46" s="2529" t="s">
        <v>379</v>
      </c>
      <c r="C46" s="2529" t="s">
        <v>2246</v>
      </c>
      <c r="D46" s="2527"/>
    </row>
    <row r="47" spans="1:11" ht="12.75">
      <c r="A47" s="3057">
        <v>0</v>
      </c>
      <c r="B47" s="3059">
        <v>0.32500000000000001</v>
      </c>
      <c r="C47" s="3057">
        <v>0</v>
      </c>
      <c r="D47" s="2527"/>
    </row>
    <row r="48" spans="1:11" ht="12.75">
      <c r="A48" s="3057">
        <v>120000</v>
      </c>
      <c r="B48" s="3058">
        <v>0.37</v>
      </c>
      <c r="C48" s="3057">
        <v>39000</v>
      </c>
      <c r="D48" s="2527"/>
    </row>
    <row r="49" spans="1:4" ht="12.75">
      <c r="A49" s="3057">
        <v>180000</v>
      </c>
      <c r="B49" s="3058">
        <v>0.45</v>
      </c>
      <c r="C49" s="3057">
        <v>61200</v>
      </c>
      <c r="D49" s="2527"/>
    </row>
    <row r="50" spans="1:4" ht="12.75">
      <c r="B50" s="2527"/>
      <c r="C50" s="2527"/>
      <c r="D50" s="2527"/>
    </row>
    <row r="51" spans="1:4" ht="15">
      <c r="A51" s="2530" t="s">
        <v>2247</v>
      </c>
      <c r="B51" s="2527"/>
      <c r="C51" s="2527"/>
      <c r="D51" s="2527"/>
    </row>
    <row r="52" spans="1:4" ht="12.75">
      <c r="A52" s="2529" t="s">
        <v>1958</v>
      </c>
      <c r="B52" s="2529" t="s">
        <v>379</v>
      </c>
      <c r="C52" s="2529" t="s">
        <v>2246</v>
      </c>
      <c r="D52" s="2527"/>
    </row>
    <row r="53" spans="1:4" ht="12.75">
      <c r="A53" s="3057">
        <v>0</v>
      </c>
      <c r="B53" s="3058">
        <v>0.15</v>
      </c>
      <c r="C53" s="3057">
        <v>0</v>
      </c>
      <c r="D53" s="2527"/>
    </row>
    <row r="54" spans="1:4" ht="12.75">
      <c r="A54" s="3057">
        <v>45000</v>
      </c>
      <c r="B54" s="3059">
        <v>0.32500000000000001</v>
      </c>
      <c r="C54" s="3057">
        <v>6750</v>
      </c>
      <c r="D54" s="2527"/>
    </row>
    <row r="55" spans="1:4" ht="12.75">
      <c r="A55" s="3057">
        <v>120000</v>
      </c>
      <c r="B55" s="3058">
        <v>0.37</v>
      </c>
      <c r="C55" s="3057">
        <v>31125</v>
      </c>
      <c r="D55" s="2527"/>
    </row>
    <row r="56" spans="1:4" ht="12.75">
      <c r="A56" s="3057">
        <v>180000</v>
      </c>
      <c r="B56" s="3058">
        <v>0.45</v>
      </c>
      <c r="C56" s="3057">
        <v>53325</v>
      </c>
      <c r="D56" s="2527"/>
    </row>
    <row r="57" spans="1:4" ht="12.75">
      <c r="B57" s="2527"/>
      <c r="C57" s="2527"/>
      <c r="D57" s="2527"/>
    </row>
    <row r="58" spans="1:4" ht="15">
      <c r="A58" s="2530" t="s">
        <v>2248</v>
      </c>
      <c r="B58" s="2527"/>
      <c r="C58" s="2527"/>
      <c r="D58" s="2527"/>
    </row>
    <row r="59" spans="1:4" ht="12.75">
      <c r="A59" s="2529" t="s">
        <v>1958</v>
      </c>
      <c r="B59" s="2529" t="s">
        <v>379</v>
      </c>
      <c r="C59" s="2529" t="s">
        <v>2246</v>
      </c>
      <c r="D59" s="2527"/>
    </row>
    <row r="60" spans="1:4" ht="12.75">
      <c r="A60" s="3057">
        <v>0</v>
      </c>
      <c r="B60" s="3058">
        <v>0</v>
      </c>
      <c r="C60" s="3106">
        <v>0</v>
      </c>
      <c r="D60" s="2527"/>
    </row>
    <row r="61" spans="1:4" ht="12.75">
      <c r="A61" s="3057">
        <v>416</v>
      </c>
      <c r="B61" s="3058">
        <v>0.66</v>
      </c>
      <c r="C61" s="3106">
        <v>0</v>
      </c>
      <c r="D61" s="2527"/>
    </row>
    <row r="62" spans="1:4" ht="12.75">
      <c r="A62" s="3057">
        <v>1307</v>
      </c>
      <c r="B62" s="3107">
        <v>0.45</v>
      </c>
      <c r="C62" s="3106">
        <v>0</v>
      </c>
      <c r="D62" s="2527"/>
    </row>
    <row r="63" spans="1:4" ht="12.75">
      <c r="B63" s="2527"/>
      <c r="C63" s="2527"/>
      <c r="D63" s="2527"/>
    </row>
    <row r="64" spans="1:4" ht="15">
      <c r="A64" s="2530" t="s">
        <v>2249</v>
      </c>
      <c r="B64" s="2527"/>
      <c r="C64" s="2527"/>
      <c r="D64" s="2527"/>
    </row>
    <row r="65" spans="1:4" ht="12.75">
      <c r="A65" s="2529" t="s">
        <v>1958</v>
      </c>
      <c r="B65" s="2529" t="s">
        <v>379</v>
      </c>
      <c r="C65" s="2529" t="s">
        <v>2246</v>
      </c>
      <c r="D65" s="2527"/>
    </row>
    <row r="66" spans="1:4" ht="12.75">
      <c r="A66" s="3057">
        <v>0</v>
      </c>
      <c r="B66" s="3058">
        <v>0.32500000000000001</v>
      </c>
      <c r="C66" s="3106">
        <v>0</v>
      </c>
      <c r="D66" s="2527"/>
    </row>
    <row r="67" spans="1:4" ht="12.75">
      <c r="A67" s="3057">
        <v>416</v>
      </c>
      <c r="B67" s="3058">
        <v>0.66</v>
      </c>
      <c r="C67" s="3106">
        <v>135.19999999999999</v>
      </c>
      <c r="D67" s="2527"/>
    </row>
    <row r="68" spans="1:4" ht="12.75">
      <c r="A68" s="3057">
        <v>663</v>
      </c>
      <c r="B68" s="3107">
        <v>0.45</v>
      </c>
      <c r="C68" s="3106">
        <v>0</v>
      </c>
      <c r="D68" s="2527"/>
    </row>
    <row r="69" spans="1:4" ht="12.75">
      <c r="B69" s="2527"/>
      <c r="C69" s="2527"/>
      <c r="D69" s="2527"/>
    </row>
    <row r="70" spans="1:4" ht="15">
      <c r="A70" s="2530" t="s">
        <v>460</v>
      </c>
      <c r="B70" s="2527"/>
      <c r="C70" s="2527"/>
      <c r="D70" s="2527"/>
    </row>
    <row r="71" spans="1:4" ht="12.75">
      <c r="A71" s="3067" t="s">
        <v>2250</v>
      </c>
      <c r="B71" s="3058">
        <v>0.25</v>
      </c>
      <c r="C71" s="3149" t="s">
        <v>2468</v>
      </c>
      <c r="D71" s="3150">
        <f>IF(SBE="YES",$B$71,$B$72)</f>
        <v>0.25</v>
      </c>
    </row>
    <row r="72" spans="1:4" ht="12.75">
      <c r="A72" s="3067" t="s">
        <v>1274</v>
      </c>
      <c r="B72" s="3058">
        <v>0.3</v>
      </c>
      <c r="C72" s="2527"/>
      <c r="D72" s="2527"/>
    </row>
    <row r="73" spans="1:4" ht="12.75">
      <c r="B73" s="2527"/>
      <c r="C73" s="2527"/>
      <c r="D73" s="2527"/>
    </row>
    <row r="74" spans="1:4" ht="15">
      <c r="A74" s="2530" t="s">
        <v>12</v>
      </c>
      <c r="B74" s="2531"/>
      <c r="C74" s="2527"/>
      <c r="D74" s="2527"/>
    </row>
    <row r="75" spans="1:4" ht="12.75">
      <c r="A75" s="3068" t="s">
        <v>2251</v>
      </c>
      <c r="B75" s="3058">
        <v>0.15</v>
      </c>
      <c r="C75" s="2527"/>
      <c r="D75" s="2527"/>
    </row>
    <row r="76" spans="1:4" ht="12.75">
      <c r="B76" s="2527"/>
      <c r="C76" s="2527"/>
      <c r="D76" s="2527"/>
    </row>
    <row r="77" spans="1:4">
      <c r="A77" s="2533" t="s">
        <v>2752</v>
      </c>
      <c r="B77" s="2527"/>
      <c r="C77" s="2527"/>
      <c r="D77" s="2527"/>
    </row>
    <row r="78" spans="1:4" ht="12.75">
      <c r="A78" s="2529" t="s">
        <v>2252</v>
      </c>
      <c r="B78" s="2529" t="s">
        <v>2253</v>
      </c>
      <c r="C78" s="2527"/>
      <c r="D78" s="2527"/>
    </row>
    <row r="79" spans="1:4" ht="12.75">
      <c r="A79" s="3563">
        <v>0</v>
      </c>
      <c r="B79" s="3059">
        <v>0</v>
      </c>
      <c r="C79" s="3063"/>
      <c r="D79" s="3065"/>
    </row>
    <row r="80" spans="1:4" ht="12.75">
      <c r="A80" s="3563">
        <v>51550</v>
      </c>
      <c r="B80" s="3059">
        <v>0.01</v>
      </c>
      <c r="C80" s="3063"/>
      <c r="D80" s="3065"/>
    </row>
    <row r="81" spans="1:4" ht="12.75">
      <c r="A81" s="3563">
        <v>59519</v>
      </c>
      <c r="B81" s="3059">
        <v>0.02</v>
      </c>
      <c r="C81" s="3063"/>
      <c r="D81" s="3065"/>
    </row>
    <row r="82" spans="1:4" ht="12.75">
      <c r="A82" s="3563">
        <v>63090</v>
      </c>
      <c r="B82" s="3059">
        <v>2.5000000000000001E-2</v>
      </c>
      <c r="C82" s="3063"/>
      <c r="D82" s="3065"/>
    </row>
    <row r="83" spans="1:4" ht="12.75">
      <c r="A83" s="3563">
        <v>66876</v>
      </c>
      <c r="B83" s="3059">
        <v>0.03</v>
      </c>
      <c r="C83" s="3063"/>
      <c r="D83" s="3065"/>
    </row>
    <row r="84" spans="1:4" ht="12.75">
      <c r="A84" s="3563">
        <v>70889</v>
      </c>
      <c r="B84" s="3059">
        <v>3.5000000000000003E-2</v>
      </c>
      <c r="C84" s="3063"/>
      <c r="D84" s="3065"/>
    </row>
    <row r="85" spans="1:4" ht="12.75">
      <c r="A85" s="3563">
        <v>75141</v>
      </c>
      <c r="B85" s="3059">
        <v>0.04</v>
      </c>
      <c r="C85" s="3063"/>
      <c r="D85" s="3065"/>
    </row>
    <row r="86" spans="1:4" ht="12.75">
      <c r="A86" s="3563">
        <v>79650</v>
      </c>
      <c r="B86" s="3059">
        <v>4.4999999999999998E-2</v>
      </c>
      <c r="C86" s="3063"/>
      <c r="D86" s="3065"/>
    </row>
    <row r="87" spans="1:4" ht="12.75">
      <c r="A87" s="3563">
        <v>84430</v>
      </c>
      <c r="B87" s="3059">
        <v>0.05</v>
      </c>
      <c r="C87" s="3063"/>
      <c r="D87" s="3065"/>
    </row>
    <row r="88" spans="1:4" ht="12.75">
      <c r="A88" s="3563">
        <v>89495</v>
      </c>
      <c r="B88" s="3059">
        <v>5.5E-2</v>
      </c>
      <c r="C88" s="3064"/>
      <c r="D88" s="3066"/>
    </row>
    <row r="89" spans="1:4" ht="12.75">
      <c r="A89" s="3563">
        <v>94866</v>
      </c>
      <c r="B89" s="3059">
        <v>0.06</v>
      </c>
      <c r="C89" s="3064"/>
      <c r="D89" s="3066"/>
    </row>
    <row r="90" spans="1:4" ht="12.75">
      <c r="A90" s="3563">
        <v>100558</v>
      </c>
      <c r="B90" s="3059">
        <v>6.5000000000000002E-2</v>
      </c>
      <c r="C90" s="3064"/>
      <c r="D90" s="3066"/>
    </row>
    <row r="91" spans="1:4" ht="12.75">
      <c r="A91" s="3563">
        <v>106591</v>
      </c>
      <c r="B91" s="3059">
        <v>7.0000000000000007E-2</v>
      </c>
      <c r="C91" s="3064"/>
      <c r="D91" s="3066"/>
    </row>
    <row r="92" spans="1:4" ht="12.75">
      <c r="A92" s="3563">
        <v>112986</v>
      </c>
      <c r="B92" s="3059">
        <v>7.4999999999999997E-2</v>
      </c>
      <c r="C92" s="3064"/>
      <c r="D92" s="3066"/>
    </row>
    <row r="93" spans="1:4" ht="12.75">
      <c r="A93" s="3563">
        <v>119765</v>
      </c>
      <c r="B93" s="3059">
        <v>0.08</v>
      </c>
      <c r="C93" s="3064"/>
      <c r="D93" s="3066"/>
    </row>
    <row r="94" spans="1:4" ht="12.75">
      <c r="A94" s="3563">
        <v>126951</v>
      </c>
      <c r="B94" s="3059">
        <v>8.5000000000000006E-2</v>
      </c>
      <c r="C94" s="3064"/>
      <c r="D94" s="3066"/>
    </row>
    <row r="95" spans="1:4" ht="12.75">
      <c r="A95" s="3563">
        <v>134569</v>
      </c>
      <c r="B95" s="3059">
        <v>0.09</v>
      </c>
    </row>
    <row r="96" spans="1:4" ht="12.75">
      <c r="A96" s="3563">
        <v>142643</v>
      </c>
      <c r="B96" s="3059">
        <v>9.5000000000000001E-2</v>
      </c>
    </row>
    <row r="97" spans="1:7" ht="12.75">
      <c r="A97" s="3563">
        <v>151201</v>
      </c>
      <c r="B97" s="3059">
        <v>0.1</v>
      </c>
    </row>
    <row r="98" spans="1:7" ht="12.75"/>
    <row r="99" spans="1:7">
      <c r="A99" s="2533" t="s">
        <v>2753</v>
      </c>
    </row>
    <row r="100" spans="1:7" ht="12.75">
      <c r="A100" s="3067" t="s">
        <v>2254</v>
      </c>
      <c r="B100" s="3059">
        <v>0.02</v>
      </c>
      <c r="C100" s="2527"/>
      <c r="D100" s="2527"/>
    </row>
    <row r="101" spans="1:7" ht="12.75">
      <c r="A101" s="3067" t="s">
        <v>2255</v>
      </c>
      <c r="B101" s="3059">
        <v>0.1</v>
      </c>
      <c r="C101" s="3565"/>
      <c r="D101" s="2527"/>
    </row>
    <row r="102" spans="1:7" ht="12.75">
      <c r="A102" s="3067" t="s">
        <v>2256</v>
      </c>
      <c r="B102" s="3059">
        <v>0.08</v>
      </c>
      <c r="C102" s="3565"/>
      <c r="D102" s="2527"/>
    </row>
    <row r="103" spans="1:7" ht="12.75">
      <c r="B103" s="2527"/>
      <c r="C103" s="2527"/>
      <c r="D103" s="2527"/>
    </row>
    <row r="104" spans="1:7" ht="12.75">
      <c r="A104" s="2535" t="s">
        <v>2467</v>
      </c>
      <c r="B104" s="2527"/>
      <c r="C104" s="2527"/>
      <c r="D104" s="2527"/>
    </row>
    <row r="105" spans="1:7" ht="12.75">
      <c r="A105" s="2529" t="s">
        <v>1771</v>
      </c>
      <c r="B105" s="2529" t="s">
        <v>2257</v>
      </c>
      <c r="C105" s="2536"/>
      <c r="D105" s="2529" t="s">
        <v>1776</v>
      </c>
      <c r="E105" s="2532"/>
    </row>
    <row r="106" spans="1:7" ht="12.75">
      <c r="A106" s="3067"/>
      <c r="B106" s="3067" t="s">
        <v>2258</v>
      </c>
      <c r="C106" s="3067" t="s">
        <v>2259</v>
      </c>
      <c r="D106" s="3067" t="s">
        <v>2258</v>
      </c>
      <c r="E106" s="3067" t="s">
        <v>2259</v>
      </c>
    </row>
    <row r="107" spans="1:7" ht="12.75">
      <c r="A107" s="3068"/>
      <c r="B107" s="3566">
        <v>26000</v>
      </c>
      <c r="C107" s="3566">
        <v>32501</v>
      </c>
      <c r="D107" s="3566">
        <v>41089</v>
      </c>
      <c r="E107" s="3566">
        <v>51362</v>
      </c>
    </row>
    <row r="108" spans="1:7" ht="12.75">
      <c r="B108" s="2527"/>
      <c r="C108" s="2527"/>
      <c r="D108" s="2527"/>
    </row>
    <row r="109" spans="1:7" ht="12.75">
      <c r="A109" s="2529" t="s">
        <v>2260</v>
      </c>
      <c r="B109" s="2529" t="s">
        <v>2257</v>
      </c>
      <c r="C109" s="2536"/>
      <c r="D109" s="2529" t="s">
        <v>1776</v>
      </c>
      <c r="E109" s="2532"/>
    </row>
    <row r="110" spans="1:7" ht="12.75">
      <c r="A110" s="2532"/>
      <c r="B110" s="2529" t="s">
        <v>2258</v>
      </c>
      <c r="C110" s="2529" t="s">
        <v>2259</v>
      </c>
      <c r="D110" s="2529" t="s">
        <v>2258</v>
      </c>
      <c r="E110" s="2529" t="s">
        <v>2259</v>
      </c>
    </row>
    <row r="111" spans="1:7" ht="12.75">
      <c r="A111" s="3068" t="s">
        <v>2261</v>
      </c>
      <c r="B111" s="3567">
        <v>43846</v>
      </c>
      <c r="C111" s="3567">
        <v>54808</v>
      </c>
      <c r="D111" s="3567">
        <v>57198</v>
      </c>
      <c r="E111" s="3567">
        <v>71498</v>
      </c>
      <c r="F111" s="2537"/>
      <c r="G111" s="2537"/>
    </row>
    <row r="112" spans="1:7" ht="12.75">
      <c r="A112" s="3068" t="s">
        <v>2240</v>
      </c>
      <c r="B112" s="3569">
        <v>4027</v>
      </c>
      <c r="C112" s="3569">
        <v>5034</v>
      </c>
      <c r="D112" s="3569">
        <v>4027</v>
      </c>
      <c r="E112" s="3569">
        <v>5034</v>
      </c>
      <c r="F112" s="3568"/>
      <c r="G112" s="3578"/>
    </row>
    <row r="113" spans="1:5" ht="12.75">
      <c r="B113" s="2527"/>
      <c r="C113" s="2527"/>
      <c r="D113" s="2527"/>
    </row>
    <row r="114" spans="1:5">
      <c r="A114" s="2533" t="s">
        <v>2754</v>
      </c>
      <c r="B114" s="2527"/>
      <c r="C114" s="2527"/>
      <c r="D114" s="2527"/>
    </row>
    <row r="115" spans="1:5" ht="12.75">
      <c r="A115" s="2535" t="s">
        <v>2262</v>
      </c>
      <c r="B115" s="2527"/>
      <c r="C115" s="2527"/>
      <c r="D115" s="2527"/>
    </row>
    <row r="116" spans="1:5" ht="12.75">
      <c r="A116" s="3068" t="s">
        <v>1771</v>
      </c>
      <c r="B116" s="3569">
        <v>93000</v>
      </c>
      <c r="C116" s="2527"/>
      <c r="D116" s="2527"/>
    </row>
    <row r="117" spans="1:5" ht="12.75">
      <c r="A117" s="3068" t="s">
        <v>2260</v>
      </c>
      <c r="B117" s="3569">
        <v>186000</v>
      </c>
      <c r="C117" s="2527"/>
      <c r="D117" s="2527"/>
    </row>
    <row r="118" spans="1:5" ht="12.75">
      <c r="A118" s="3068" t="s">
        <v>2240</v>
      </c>
      <c r="B118" s="3569">
        <v>1500</v>
      </c>
      <c r="C118" s="2527"/>
      <c r="D118" s="2527"/>
    </row>
    <row r="119" spans="1:5" ht="12.75">
      <c r="A119" s="3068" t="s">
        <v>2263</v>
      </c>
      <c r="B119" s="3569">
        <v>43846</v>
      </c>
      <c r="C119" s="2527"/>
      <c r="D119" s="2527"/>
    </row>
    <row r="120" spans="1:5" ht="12.75">
      <c r="B120" s="2527"/>
      <c r="C120" s="2527"/>
      <c r="D120" s="2527"/>
    </row>
    <row r="121" spans="1:5" ht="12.75">
      <c r="A121" s="2529" t="s">
        <v>1771</v>
      </c>
      <c r="B121" s="2532"/>
      <c r="C121" s="2529" t="s">
        <v>2260</v>
      </c>
      <c r="D121" s="2532"/>
      <c r="E121" s="2532"/>
    </row>
    <row r="122" spans="1:5" ht="12.75">
      <c r="A122" s="2529" t="s">
        <v>2264</v>
      </c>
      <c r="B122" s="2529" t="s">
        <v>379</v>
      </c>
      <c r="C122" s="2529" t="s">
        <v>2264</v>
      </c>
      <c r="D122" s="2529" t="s">
        <v>379</v>
      </c>
      <c r="E122" s="2529" t="s">
        <v>2265</v>
      </c>
    </row>
    <row r="123" spans="1:5" ht="12.75">
      <c r="A123" s="3062">
        <v>0</v>
      </c>
      <c r="B123" s="3060">
        <v>0</v>
      </c>
      <c r="C123" s="3062">
        <v>0</v>
      </c>
      <c r="D123" s="3060">
        <v>0</v>
      </c>
      <c r="E123" s="3068" t="s">
        <v>2266</v>
      </c>
    </row>
    <row r="124" spans="1:5" ht="12.75">
      <c r="A124" s="3062">
        <v>93001</v>
      </c>
      <c r="B124" s="3060">
        <v>0.01</v>
      </c>
      <c r="C124" s="3062">
        <v>186001</v>
      </c>
      <c r="D124" s="3060">
        <v>0.01</v>
      </c>
      <c r="E124" s="3068" t="s">
        <v>2031</v>
      </c>
    </row>
    <row r="125" spans="1:5" ht="12.75">
      <c r="A125" s="3062">
        <v>108001</v>
      </c>
      <c r="B125" s="3061">
        <v>1.2500000000000001E-2</v>
      </c>
      <c r="C125" s="3062">
        <v>216001</v>
      </c>
      <c r="D125" s="3061">
        <v>1.2500000000000001E-2</v>
      </c>
      <c r="E125" s="3068" t="s">
        <v>2032</v>
      </c>
    </row>
    <row r="126" spans="1:5" ht="12.75">
      <c r="A126" s="3062">
        <v>140001</v>
      </c>
      <c r="B126" s="3060">
        <v>1.4999999999999999E-2</v>
      </c>
      <c r="C126" s="3062">
        <v>288001</v>
      </c>
      <c r="D126" s="3060">
        <v>1.4999999999999999E-2</v>
      </c>
      <c r="E126" s="3068" t="s">
        <v>2033</v>
      </c>
    </row>
    <row r="127" spans="1:5" ht="12.75"/>
    <row r="128" spans="1:5">
      <c r="A128" s="2533" t="s">
        <v>2755</v>
      </c>
    </row>
    <row r="129" spans="1:5" ht="12.75">
      <c r="A129" s="2529" t="s">
        <v>1958</v>
      </c>
      <c r="B129" s="2538" t="s">
        <v>2267</v>
      </c>
      <c r="C129" s="2538" t="s">
        <v>1047</v>
      </c>
      <c r="D129" s="3570"/>
    </row>
    <row r="130" spans="1:5" ht="12.75">
      <c r="A130" s="3057">
        <v>0</v>
      </c>
      <c r="B130" s="3062">
        <v>700</v>
      </c>
      <c r="C130" s="3058">
        <v>0</v>
      </c>
    </row>
    <row r="131" spans="1:5" ht="12.75">
      <c r="A131" s="3057">
        <v>37500</v>
      </c>
      <c r="B131" s="3062">
        <v>700</v>
      </c>
      <c r="C131" s="3058">
        <v>-0.05</v>
      </c>
    </row>
    <row r="132" spans="1:5" ht="12.75">
      <c r="A132" s="3057">
        <v>45000</v>
      </c>
      <c r="B132" s="3062">
        <v>325</v>
      </c>
      <c r="C132" s="3059">
        <v>-1.4999999999999999E-2</v>
      </c>
    </row>
    <row r="133" spans="1:5" ht="12.75">
      <c r="A133" s="3057">
        <v>66667</v>
      </c>
      <c r="B133" s="3062">
        <v>0</v>
      </c>
      <c r="C133" s="3058">
        <v>0</v>
      </c>
    </row>
    <row r="134" spans="1:5" ht="12.75"/>
    <row r="135" spans="1:5">
      <c r="A135" s="2533" t="s">
        <v>2756</v>
      </c>
    </row>
    <row r="136" spans="1:5" ht="12.75">
      <c r="A136" s="3067" t="s">
        <v>2268</v>
      </c>
      <c r="B136" s="3579" t="s">
        <v>2269</v>
      </c>
      <c r="C136" s="3579" t="s">
        <v>2270</v>
      </c>
      <c r="D136" s="3579" t="s">
        <v>2271</v>
      </c>
      <c r="E136" s="3577"/>
    </row>
    <row r="137" spans="1:5" ht="12.75">
      <c r="A137" s="3575" t="s">
        <v>1771</v>
      </c>
      <c r="B137" s="3062">
        <v>2230</v>
      </c>
      <c r="C137" s="3062">
        <v>32279</v>
      </c>
      <c r="D137" s="3062">
        <v>50119</v>
      </c>
    </row>
    <row r="138" spans="1:5" ht="15.75" customHeight="1">
      <c r="A138" s="3575" t="s">
        <v>2272</v>
      </c>
      <c r="B138" s="3062">
        <v>1602</v>
      </c>
      <c r="C138" s="3062">
        <v>28974</v>
      </c>
      <c r="D138" s="3062">
        <v>41790</v>
      </c>
    </row>
    <row r="139" spans="1:5" ht="25.5">
      <c r="A139" s="3580" t="s">
        <v>2273</v>
      </c>
      <c r="B139" s="3062">
        <v>2040</v>
      </c>
      <c r="C139" s="3062">
        <v>31279</v>
      </c>
      <c r="D139" s="3062">
        <v>47599</v>
      </c>
    </row>
    <row r="140" spans="1:5" ht="12.75"/>
    <row r="141" spans="1:5" ht="12.75">
      <c r="A141" s="3575" t="s">
        <v>2274</v>
      </c>
      <c r="B141" s="3060">
        <v>0.125</v>
      </c>
    </row>
    <row r="142" spans="1:5" ht="12.75">
      <c r="A142" s="3068" t="s">
        <v>2275</v>
      </c>
      <c r="B142" s="3108">
        <f>$A$40</f>
        <v>18200</v>
      </c>
    </row>
    <row r="143" spans="1:5" ht="12.75">
      <c r="A143" s="3068" t="s">
        <v>2276</v>
      </c>
      <c r="B143" s="3108">
        <v>445</v>
      </c>
    </row>
    <row r="144" spans="1:5" ht="12.75">
      <c r="A144" s="3068" t="s">
        <v>2277</v>
      </c>
      <c r="B144" s="3058">
        <f>$B$40</f>
        <v>0.19</v>
      </c>
    </row>
    <row r="145" spans="1:10" ht="12.75">
      <c r="B145" s="2527"/>
    </row>
    <row r="146" spans="1:10">
      <c r="A146" s="2533" t="s">
        <v>2757</v>
      </c>
      <c r="B146" s="2527"/>
    </row>
    <row r="147" spans="1:10" ht="12.75">
      <c r="A147" s="3068" t="s">
        <v>2278</v>
      </c>
      <c r="B147" s="3058">
        <v>0.16</v>
      </c>
    </row>
    <row r="148" spans="1:10" ht="12.75">
      <c r="A148" s="3068" t="s">
        <v>2279</v>
      </c>
      <c r="B148" s="3057">
        <v>1000</v>
      </c>
    </row>
    <row r="149" spans="1:10" ht="12.75">
      <c r="B149" s="2527"/>
    </row>
    <row r="150" spans="1:10">
      <c r="A150" s="2533" t="s">
        <v>1099</v>
      </c>
      <c r="B150" s="2527"/>
    </row>
    <row r="151" spans="1:10" ht="12.75">
      <c r="A151" s="2532" t="s">
        <v>366</v>
      </c>
      <c r="B151" s="3058">
        <v>0.1</v>
      </c>
    </row>
    <row r="152" spans="1:10" ht="15.75" customHeight="1">
      <c r="A152"/>
      <c r="B152"/>
      <c r="C152"/>
      <c r="D152"/>
      <c r="E152"/>
      <c r="F152"/>
      <c r="G152"/>
      <c r="H152"/>
      <c r="I152"/>
      <c r="J152"/>
    </row>
    <row r="153" spans="1:10" ht="15.75" customHeight="1">
      <c r="A153" s="2533" t="s">
        <v>2443</v>
      </c>
      <c r="B153"/>
      <c r="C153"/>
      <c r="D153"/>
      <c r="E153"/>
      <c r="F153"/>
      <c r="G153"/>
      <c r="H153"/>
      <c r="I153"/>
      <c r="J153"/>
    </row>
    <row r="154" spans="1:10" ht="15.75" customHeight="1">
      <c r="A154" s="2532">
        <v>2013</v>
      </c>
      <c r="B154" s="3061">
        <v>0.09</v>
      </c>
      <c r="C154" s="2527"/>
      <c r="D154" s="2527"/>
    </row>
    <row r="155" spans="1:10" ht="15.75" customHeight="1">
      <c r="A155" s="2532">
        <v>2014</v>
      </c>
      <c r="B155" s="3061">
        <v>9.2499999999999999E-2</v>
      </c>
      <c r="C155" s="2527"/>
      <c r="D155" s="2527"/>
    </row>
    <row r="156" spans="1:10" ht="15.75" customHeight="1">
      <c r="A156" s="2532">
        <v>2015</v>
      </c>
      <c r="B156" s="3061">
        <v>9.5000000000000001E-2</v>
      </c>
      <c r="C156" s="2527"/>
      <c r="D156" s="2527"/>
    </row>
    <row r="157" spans="1:10" ht="15.75" customHeight="1">
      <c r="A157" s="2532">
        <v>2016</v>
      </c>
      <c r="B157" s="3061">
        <v>9.5000000000000001E-2</v>
      </c>
      <c r="C157" s="2527"/>
      <c r="D157" s="2527"/>
    </row>
    <row r="158" spans="1:10" ht="15.75" customHeight="1">
      <c r="A158" s="2532">
        <v>2017</v>
      </c>
      <c r="B158" s="3061">
        <v>9.5000000000000001E-2</v>
      </c>
      <c r="C158" s="2527"/>
      <c r="D158" s="2527"/>
    </row>
    <row r="159" spans="1:10" ht="15.75" customHeight="1">
      <c r="A159" s="2532">
        <v>2018</v>
      </c>
      <c r="B159" s="3061">
        <v>9.5000000000000001E-2</v>
      </c>
      <c r="C159" s="2527"/>
      <c r="D159" s="2527"/>
    </row>
    <row r="160" spans="1:10" ht="15.75" customHeight="1">
      <c r="A160" s="2532">
        <v>2019</v>
      </c>
      <c r="B160" s="3061">
        <v>9.5000000000000001E-2</v>
      </c>
      <c r="C160" s="2527"/>
      <c r="D160" s="2527"/>
    </row>
    <row r="161" spans="1:4" ht="15.75" customHeight="1">
      <c r="A161" s="2532">
        <v>2020</v>
      </c>
      <c r="B161" s="3061">
        <v>9.5000000000000001E-2</v>
      </c>
      <c r="C161" s="2527"/>
      <c r="D161" s="2527"/>
    </row>
    <row r="162" spans="1:4" ht="15.75" customHeight="1">
      <c r="A162" s="2532">
        <v>2021</v>
      </c>
      <c r="B162" s="3061">
        <v>9.5000000000000001E-2</v>
      </c>
      <c r="C162" s="2527"/>
      <c r="D162" s="2527"/>
    </row>
    <row r="163" spans="1:4" ht="15.75" customHeight="1">
      <c r="A163" s="2532">
        <v>2022</v>
      </c>
      <c r="B163" s="3061">
        <v>0.1</v>
      </c>
      <c r="C163" s="2527"/>
      <c r="D163" s="2527"/>
    </row>
    <row r="164" spans="1:4" ht="15.75" customHeight="1">
      <c r="A164" s="2532">
        <v>2023</v>
      </c>
      <c r="B164" s="3061">
        <v>0.105</v>
      </c>
      <c r="C164" s="2527"/>
      <c r="D164" s="2527"/>
    </row>
    <row r="165" spans="1:4" ht="15.75" customHeight="1">
      <c r="A165" s="2532">
        <v>2024</v>
      </c>
      <c r="B165" s="3061">
        <v>0.11</v>
      </c>
      <c r="C165" s="2527"/>
      <c r="D165" s="2527"/>
    </row>
    <row r="166" spans="1:4" ht="15.75" customHeight="1">
      <c r="A166" s="2532">
        <v>2025</v>
      </c>
      <c r="B166" s="3061">
        <v>0.115</v>
      </c>
      <c r="C166" s="2527"/>
      <c r="D166" s="2527"/>
    </row>
    <row r="167" spans="1:4" ht="15.75" customHeight="1">
      <c r="A167" s="2532">
        <v>2026</v>
      </c>
      <c r="B167" s="3061">
        <v>0.12</v>
      </c>
      <c r="C167" s="2527"/>
      <c r="D167" s="2527"/>
    </row>
    <row r="168" spans="1:4" ht="15.75" customHeight="1">
      <c r="B168" s="2527"/>
      <c r="C168" s="2527"/>
      <c r="D168" s="2527"/>
    </row>
    <row r="169" spans="1:4" ht="15.75" customHeight="1">
      <c r="A169" s="2533" t="s">
        <v>2444</v>
      </c>
      <c r="B169" s="2527"/>
      <c r="C169" s="2527"/>
      <c r="D169" s="2527"/>
    </row>
    <row r="170" spans="1:4" ht="15.75" customHeight="1">
      <c r="A170" s="2532">
        <v>2016</v>
      </c>
      <c r="B170" s="3068">
        <v>0.66</v>
      </c>
      <c r="C170" s="2527"/>
      <c r="D170" s="2527"/>
    </row>
    <row r="171" spans="1:4" ht="15.75" customHeight="1">
      <c r="A171" s="2532">
        <v>2017</v>
      </c>
      <c r="B171" s="3068">
        <v>0.66</v>
      </c>
      <c r="C171" s="2527"/>
      <c r="D171" s="2527"/>
    </row>
    <row r="172" spans="1:4" ht="15.75" customHeight="1">
      <c r="A172" s="2532">
        <v>2018</v>
      </c>
      <c r="B172" s="3068">
        <v>0.66</v>
      </c>
      <c r="C172" s="2527"/>
      <c r="D172" s="2527"/>
    </row>
    <row r="173" spans="1:4" ht="15.75" customHeight="1">
      <c r="A173" s="2532">
        <v>2019</v>
      </c>
      <c r="B173" s="3068">
        <v>0.68</v>
      </c>
      <c r="C173" s="2527"/>
      <c r="D173" s="2527"/>
    </row>
    <row r="174" spans="1:4" ht="15.75" customHeight="1">
      <c r="A174" s="2532">
        <v>2020</v>
      </c>
      <c r="B174" s="3068">
        <v>0.68</v>
      </c>
      <c r="C174" s="2527"/>
      <c r="D174" s="2527"/>
    </row>
    <row r="175" spans="1:4" ht="15.75" customHeight="1">
      <c r="A175" s="2532">
        <v>2021</v>
      </c>
      <c r="B175" s="3068">
        <v>0.72</v>
      </c>
      <c r="C175" s="2527"/>
      <c r="D175" s="2527"/>
    </row>
    <row r="176" spans="1:4" ht="15.75" customHeight="1">
      <c r="A176" s="2532">
        <v>2022</v>
      </c>
      <c r="B176" s="3068">
        <v>0.72</v>
      </c>
      <c r="C176" s="2527"/>
      <c r="D176" s="2527"/>
    </row>
    <row r="177" spans="1:4" s="3572" customFormat="1" ht="15.75" customHeight="1">
      <c r="A177" s="3573">
        <v>2023</v>
      </c>
      <c r="B177" s="3575">
        <v>0.78</v>
      </c>
    </row>
    <row r="178" spans="1:4" ht="15.75" customHeight="1">
      <c r="A178" s="2532">
        <v>2024</v>
      </c>
      <c r="B178" s="3068">
        <v>0.85</v>
      </c>
      <c r="C178" s="2527"/>
      <c r="D178" s="2527"/>
    </row>
    <row r="179" spans="1:4" ht="15.75" customHeight="1">
      <c r="B179" s="2527"/>
      <c r="C179" s="2527"/>
      <c r="D179" s="2527"/>
    </row>
    <row r="180" spans="1:4" ht="15.75" customHeight="1">
      <c r="A180" s="2533" t="s">
        <v>2445</v>
      </c>
      <c r="B180" s="2527"/>
      <c r="C180" s="2527"/>
      <c r="D180" s="2527"/>
    </row>
    <row r="181" spans="1:4" ht="15.75" customHeight="1">
      <c r="A181" s="2532" t="s">
        <v>49</v>
      </c>
      <c r="B181" s="3078">
        <v>27500</v>
      </c>
      <c r="C181" s="2527"/>
      <c r="D181" s="2527"/>
    </row>
    <row r="182" spans="1:4" ht="15.75" customHeight="1">
      <c r="A182" s="2532" t="s">
        <v>2446</v>
      </c>
      <c r="B182" s="3079">
        <v>110000</v>
      </c>
      <c r="C182" s="2527"/>
      <c r="D182" s="2527"/>
    </row>
    <row r="183" spans="1:4" ht="15.75" customHeight="1">
      <c r="A183" s="2532" t="s">
        <v>2047</v>
      </c>
      <c r="B183" s="3079">
        <v>330000</v>
      </c>
      <c r="C183" s="2527"/>
      <c r="D183" s="2527"/>
    </row>
    <row r="184" spans="1:4" ht="15.75" customHeight="1">
      <c r="A184" s="2532" t="s">
        <v>2241</v>
      </c>
      <c r="B184" s="3079">
        <v>1705000</v>
      </c>
      <c r="C184" s="2527"/>
      <c r="D184" s="2527"/>
    </row>
    <row r="185" spans="1:4" ht="15.75" customHeight="1">
      <c r="C185" s="2527"/>
      <c r="D185" s="2527"/>
    </row>
    <row r="186" spans="1:4" ht="15.75" customHeight="1">
      <c r="A186" s="2533" t="s">
        <v>2057</v>
      </c>
      <c r="B186" s="2527"/>
      <c r="C186" s="2527"/>
      <c r="D186" s="2527"/>
    </row>
    <row r="187" spans="1:4" ht="15.75" customHeight="1">
      <c r="A187" s="2532" t="s">
        <v>2264</v>
      </c>
      <c r="B187" s="3078">
        <v>250000</v>
      </c>
      <c r="C187" s="2527"/>
      <c r="D187" s="2527"/>
    </row>
    <row r="188" spans="1:4" ht="15.75" customHeight="1">
      <c r="A188" s="2532" t="s">
        <v>379</v>
      </c>
      <c r="B188" s="3105">
        <v>0.15</v>
      </c>
      <c r="C188" s="2527"/>
      <c r="D188" s="2527"/>
    </row>
    <row r="190" spans="1:4" ht="15.75" customHeight="1">
      <c r="A190" s="2533" t="s">
        <v>2525</v>
      </c>
    </row>
    <row r="191" spans="1:4" ht="15.75" customHeight="1">
      <c r="A191" s="1103" t="s">
        <v>1420</v>
      </c>
      <c r="B191" s="1095"/>
      <c r="C191" s="1095"/>
    </row>
    <row r="192" spans="1:4" ht="15.75" customHeight="1">
      <c r="A192" s="3245" t="s">
        <v>964</v>
      </c>
      <c r="B192" s="3246" t="s">
        <v>379</v>
      </c>
    </row>
    <row r="193" spans="1:2" ht="15.75" customHeight="1">
      <c r="A193" s="3242">
        <v>1999</v>
      </c>
      <c r="B193" s="3239">
        <v>6.7000000000000004E-2</v>
      </c>
    </row>
    <row r="194" spans="1:2" ht="15.75" customHeight="1">
      <c r="A194" s="3243">
        <v>2000</v>
      </c>
      <c r="B194" s="3240">
        <v>6.5000000000000002E-2</v>
      </c>
    </row>
    <row r="195" spans="1:2" ht="15.75" customHeight="1">
      <c r="A195" s="3243">
        <v>2001</v>
      </c>
      <c r="B195" s="3240">
        <v>7.8E-2</v>
      </c>
    </row>
    <row r="196" spans="1:2" ht="15.75" customHeight="1">
      <c r="A196" s="3243">
        <v>2002</v>
      </c>
      <c r="B196" s="3240">
        <v>6.8000000000000005E-2</v>
      </c>
    </row>
    <row r="197" spans="1:2" ht="15.75" customHeight="1">
      <c r="A197" s="3243">
        <v>2003</v>
      </c>
      <c r="B197" s="3240">
        <v>6.3E-2</v>
      </c>
    </row>
    <row r="198" spans="1:2" ht="15.75" customHeight="1">
      <c r="A198" s="3243">
        <v>2004</v>
      </c>
      <c r="B198" s="3240">
        <v>6.5500000000000003E-2</v>
      </c>
    </row>
    <row r="199" spans="1:2" ht="15.75" customHeight="1">
      <c r="A199" s="3243">
        <v>2005</v>
      </c>
      <c r="B199" s="3240">
        <v>7.0499999999999993E-2</v>
      </c>
    </row>
    <row r="200" spans="1:2" ht="15.75" customHeight="1">
      <c r="A200" s="3243">
        <v>2006</v>
      </c>
      <c r="B200" s="3240">
        <v>7.2999999999999995E-2</v>
      </c>
    </row>
    <row r="201" spans="1:2" ht="15.75" customHeight="1">
      <c r="A201" s="3243">
        <v>2007</v>
      </c>
      <c r="B201" s="3240">
        <v>7.5499999999999998E-2</v>
      </c>
    </row>
    <row r="202" spans="1:2" ht="15.75" customHeight="1">
      <c r="A202" s="3243">
        <v>2008</v>
      </c>
      <c r="B202" s="3240">
        <v>8.0500000000000002E-2</v>
      </c>
    </row>
    <row r="203" spans="1:2" ht="15.75" customHeight="1">
      <c r="A203" s="3243">
        <v>2009</v>
      </c>
      <c r="B203" s="3240">
        <v>9.4500000000000001E-2</v>
      </c>
    </row>
    <row r="204" spans="1:2" ht="15.75" customHeight="1">
      <c r="A204" s="3243">
        <v>2010</v>
      </c>
      <c r="B204" s="3240">
        <v>5.7500000000000002E-2</v>
      </c>
    </row>
    <row r="205" spans="1:2" ht="15.75" customHeight="1">
      <c r="A205" s="3243">
        <v>2011</v>
      </c>
      <c r="B205" s="3240">
        <v>7.3999999999999996E-2</v>
      </c>
    </row>
    <row r="206" spans="1:2" ht="15.75" customHeight="1">
      <c r="A206" s="3243">
        <v>2012</v>
      </c>
      <c r="B206" s="3240">
        <v>7.8E-2</v>
      </c>
    </row>
    <row r="207" spans="1:2" ht="15.75" customHeight="1">
      <c r="A207" s="3243">
        <v>2013</v>
      </c>
      <c r="B207" s="3240">
        <v>7.0499999999999993E-2</v>
      </c>
    </row>
    <row r="208" spans="1:2" ht="15.75" customHeight="1">
      <c r="A208" s="3243">
        <v>2014</v>
      </c>
      <c r="B208" s="3240">
        <v>6.2E-2</v>
      </c>
    </row>
    <row r="209" spans="1:9" ht="15.75" customHeight="1">
      <c r="A209" s="3244">
        <v>2015</v>
      </c>
      <c r="B209" s="3241">
        <v>5.9499999999999997E-2</v>
      </c>
    </row>
    <row r="210" spans="1:9" ht="15.75" customHeight="1">
      <c r="A210" s="3244">
        <v>2016</v>
      </c>
      <c r="B210" s="3241">
        <v>5.45E-2</v>
      </c>
    </row>
    <row r="211" spans="1:9" ht="15.75" customHeight="1">
      <c r="A211" s="3244">
        <v>2017</v>
      </c>
      <c r="B211" s="3241">
        <v>5.3999999999999999E-2</v>
      </c>
    </row>
    <row r="212" spans="1:9" ht="15.75" customHeight="1">
      <c r="A212" s="3244">
        <v>2018</v>
      </c>
      <c r="B212" s="3241">
        <v>5.2999999999999999E-2</v>
      </c>
    </row>
    <row r="213" spans="1:9" ht="15.75" customHeight="1">
      <c r="A213" s="3244">
        <v>2019</v>
      </c>
      <c r="B213" s="3241">
        <v>5.1999999999999998E-2</v>
      </c>
    </row>
    <row r="214" spans="1:9" ht="15.75" customHeight="1">
      <c r="A214" s="3244">
        <v>2020</v>
      </c>
      <c r="B214" s="3241">
        <v>5.3699999999999998E-2</v>
      </c>
    </row>
    <row r="215" spans="1:9" ht="15.75" customHeight="1">
      <c r="A215" s="3244">
        <v>2021</v>
      </c>
      <c r="B215" s="3241">
        <v>4.5199999999999997E-2</v>
      </c>
    </row>
    <row r="216" spans="1:9" ht="15.75" customHeight="1">
      <c r="A216" s="3244">
        <v>2022</v>
      </c>
      <c r="B216" s="3241">
        <v>4.5199999999999997E-2</v>
      </c>
    </row>
    <row r="217" spans="1:9" s="3572" customFormat="1" ht="15.75" customHeight="1">
      <c r="A217" s="3244">
        <v>2023</v>
      </c>
      <c r="B217" s="3241">
        <v>4.7699999999999999E-2</v>
      </c>
      <c r="C217" s="3574"/>
      <c r="D217" s="3574"/>
    </row>
    <row r="218" spans="1:9" s="1618" customFormat="1" ht="15.75" customHeight="1">
      <c r="A218" s="3564">
        <v>2024</v>
      </c>
      <c r="B218" s="3562">
        <v>8.2699999999999996E-2</v>
      </c>
      <c r="C218" s="3471"/>
      <c r="D218" s="3471"/>
    </row>
    <row r="220" spans="1:9" ht="15.75" customHeight="1">
      <c r="A220" s="2533" t="s">
        <v>430</v>
      </c>
    </row>
    <row r="221" spans="1:9" ht="15.75" customHeight="1">
      <c r="A221" s="3216" t="s">
        <v>491</v>
      </c>
      <c r="B221" s="3219" t="s">
        <v>1312</v>
      </c>
      <c r="C221" s="3219" t="s">
        <v>1313</v>
      </c>
      <c r="D221" s="3219" t="s">
        <v>1314</v>
      </c>
      <c r="E221" s="3219" t="s">
        <v>1318</v>
      </c>
      <c r="F221" s="3219" t="s">
        <v>1315</v>
      </c>
      <c r="G221" s="3219" t="s">
        <v>1316</v>
      </c>
      <c r="H221" s="3219" t="s">
        <v>1040</v>
      </c>
      <c r="I221" s="3219" t="s">
        <v>1317</v>
      </c>
    </row>
    <row r="222" spans="1:9" ht="15.75" customHeight="1">
      <c r="A222" s="3217" t="s">
        <v>1777</v>
      </c>
      <c r="B222" s="3220">
        <v>2000000</v>
      </c>
      <c r="C222" s="3220">
        <v>1200000</v>
      </c>
      <c r="D222" s="3220">
        <v>1500000</v>
      </c>
      <c r="E222" s="3220">
        <v>1300000</v>
      </c>
      <c r="F222" s="3220">
        <v>1500000</v>
      </c>
      <c r="G222" s="3220">
        <v>1250000</v>
      </c>
      <c r="H222" s="3220">
        <v>700000</v>
      </c>
      <c r="I222" s="3220">
        <v>1000000</v>
      </c>
    </row>
    <row r="223" spans="1:9" ht="15.75" customHeight="1">
      <c r="A223" s="3217" t="s">
        <v>1778</v>
      </c>
      <c r="B223" s="3220">
        <f t="shared" ref="B223:I223" si="0">ROUND(B222/12,0)</f>
        <v>166667</v>
      </c>
      <c r="C223" s="3220">
        <f t="shared" si="0"/>
        <v>100000</v>
      </c>
      <c r="D223" s="3220">
        <f t="shared" si="0"/>
        <v>125000</v>
      </c>
      <c r="E223" s="3220">
        <f t="shared" si="0"/>
        <v>108333</v>
      </c>
      <c r="F223" s="3220">
        <f t="shared" si="0"/>
        <v>125000</v>
      </c>
      <c r="G223" s="3220">
        <f t="shared" si="0"/>
        <v>104167</v>
      </c>
      <c r="H223" s="3220">
        <f t="shared" si="0"/>
        <v>58333</v>
      </c>
      <c r="I223" s="3220">
        <f t="shared" si="0"/>
        <v>83333</v>
      </c>
    </row>
    <row r="224" spans="1:9" ht="15.75" customHeight="1">
      <c r="A224" s="3217" t="s">
        <v>2034</v>
      </c>
      <c r="B224" s="3221">
        <v>6.8500000000000005E-2</v>
      </c>
      <c r="C224" s="3221">
        <v>5.45E-2</v>
      </c>
      <c r="D224" s="3221">
        <v>5.5E-2</v>
      </c>
      <c r="E224" s="3221">
        <v>4.7500000000000001E-2</v>
      </c>
      <c r="F224" s="3221">
        <v>4.9500000000000002E-2</v>
      </c>
      <c r="G224" s="3221">
        <v>6.0999999999999999E-2</v>
      </c>
      <c r="H224" s="3221">
        <v>4.8500000000000001E-2</v>
      </c>
      <c r="I224" s="3221">
        <v>5.5E-2</v>
      </c>
    </row>
    <row r="225" spans="1:9" ht="15.75" customHeight="1">
      <c r="A225" s="3218" t="s">
        <v>2035</v>
      </c>
      <c r="B225" s="3222"/>
      <c r="C225" s="3222"/>
      <c r="D225" s="3222"/>
      <c r="E225" s="3222">
        <v>3.7499999999999999E-2</v>
      </c>
      <c r="F225" s="3222"/>
      <c r="G225" s="3222"/>
      <c r="H225" s="3222">
        <v>1.21E-2</v>
      </c>
      <c r="I225" s="3222"/>
    </row>
  </sheetData>
  <customSheetViews>
    <customSheetView guid="{BCBE45D4-3C45-4659-992E-5C5D3E9FD81C}" showPageBreaks="1" showGridLines="0" fitToPage="1">
      <selection activeCell="D35" sqref="D35"/>
      <pageMargins left="0.59055118110236227" right="0.43307086614173229" top="0.6692913385826772" bottom="0.74" header="0.51181102362204722" footer="0.39370078740157483"/>
      <printOptions horizontalCentered="1"/>
      <pageSetup paperSize="9" scale="53" fitToHeight="999" orientation="portrait" blackAndWhite="1" r:id="rId1"/>
      <headerFooter alignWithMargins="0">
        <oddFooter>&amp;L&amp;8Copyright WHK Group Limited 2006.  All rights reserved.
&amp;Z&amp;F[&amp;A]&amp;R&amp;8&amp;P/&amp;N</oddFooter>
      </headerFooter>
    </customSheetView>
    <customSheetView guid="{C24F3A9E-A8AA-4925-82D2-3EFABA416C15}" showPageBreaks="1" showGridLines="0" fitToPage="1" topLeftCell="A49">
      <selection activeCell="D79" sqref="D79"/>
      <pageMargins left="0.59055118110236227" right="0.43307086614173229" top="0.6692913385826772" bottom="0.74" header="0.51181102362204722" footer="0.39370078740157483"/>
      <printOptions horizontalCentered="1"/>
      <pageSetup paperSize="9" scale="53" fitToHeight="999" orientation="portrait" blackAndWhite="1" r:id="rId2"/>
      <headerFooter alignWithMargins="0">
        <oddFooter>&amp;L&amp;8Copyright WHK Group Limited 2006.  All rights reserved.
&amp;Z&amp;F[&amp;A]&amp;R&amp;8&amp;P/&amp;N</oddFooter>
      </headerFooter>
    </customSheetView>
  </customSheetViews>
  <mergeCells count="9">
    <mergeCell ref="A29:C29"/>
    <mergeCell ref="A30:C30"/>
    <mergeCell ref="A32:C32"/>
    <mergeCell ref="A1:F1"/>
    <mergeCell ref="E2:F2"/>
    <mergeCell ref="A19:D19"/>
    <mergeCell ref="A20:C20"/>
    <mergeCell ref="A28:C28"/>
    <mergeCell ref="A21:C21"/>
  </mergeCells>
  <phoneticPr fontId="26" type="noConversion"/>
  <hyperlinks>
    <hyperlink ref="E2" location="'WP Index'!A1" display="Back to Workpaper Index" xr:uid="{E17D51F8-BE9B-410D-9346-94FCDF5737AF}"/>
    <hyperlink ref="A6:D6" r:id="rId3" display="2016 Individual Income Tax Rates" xr:uid="{2292D2C3-C7A0-4C0C-B776-478A44470AA3}"/>
    <hyperlink ref="A33" r:id="rId4" location="Gross_up_rates_for_fringe_benefits_tax" xr:uid="{CC77FE12-8CD9-436E-9BAE-61FCE98A1D60}"/>
    <hyperlink ref="A28:C28" r:id="rId5" display="Depreciation rate (Prior 30/06/02)" xr:uid="{C58204DA-42ED-4ABA-BE94-0992C8C21221}"/>
    <hyperlink ref="A29:C29" r:id="rId6" display="Depreciation rate (from 01/07/02 - 09/05/06)" xr:uid="{BC0CE900-7C1C-4C51-A2BA-1014C1D52A68}"/>
    <hyperlink ref="A30:C30" r:id="rId7" display="Depreciation rate (post 10-May-2006)" xr:uid="{F1ACC862-13EB-4838-BD91-3D230E75F0C5}"/>
    <hyperlink ref="A15" r:id="rId8" xr:uid="{B97B1834-5D97-49C0-A2FD-2A38025E4854}"/>
    <hyperlink ref="A19:D19" r:id="rId9" display="FBT Statutory Formula Rates" xr:uid="{4F2D26BD-8E69-43E2-BF6B-941E232491B7}"/>
    <hyperlink ref="A32:C32" r:id="rId10" display="FBT rate" xr:uid="{CAEC6F17-BDED-4BD5-8561-2349A3260B13}"/>
    <hyperlink ref="A191" r:id="rId11" xr:uid="{D9218DC4-FFEE-43AF-A7AC-DF8FD99AAF83}"/>
    <hyperlink ref="B221" r:id="rId12" xr:uid="{00000000-0004-0000-0200-000002000000}"/>
    <hyperlink ref="C221" r:id="rId13" xr:uid="{00000000-0004-0000-0200-000003000000}"/>
    <hyperlink ref="D221" r:id="rId14" xr:uid="{00000000-0004-0000-0200-000004000000}"/>
    <hyperlink ref="E221" r:id="rId15" xr:uid="{00000000-0004-0000-0200-000005000000}"/>
    <hyperlink ref="F221" r:id="rId16" xr:uid="{00000000-0004-0000-0200-000006000000}"/>
    <hyperlink ref="G221" r:id="rId17" xr:uid="{00000000-0004-0000-0200-000007000000}"/>
    <hyperlink ref="H221" r:id="rId18" xr:uid="{00000000-0004-0000-0200-000008000000}"/>
    <hyperlink ref="I221" r:id="rId19" xr:uid="{00000000-0004-0000-0200-000009000000}"/>
    <hyperlink ref="E2:F2" location="'WPIndex'!A1" display="Back to Workpaper Index" xr:uid="{6556EA0B-C14D-4281-AD5A-E40CA5993C9E}"/>
  </hyperlinks>
  <printOptions horizontalCentered="1"/>
  <pageMargins left="0.59055118110236227" right="0.43307086614173229" top="0.6692913385826772" bottom="0.94488188976377963" header="0.51181102362204722" footer="0.39370078740157483"/>
  <pageSetup paperSize="9" scale="56" fitToHeight="999" orientation="landscape" r:id="rId20"/>
  <headerFooter alignWithMargins="0">
    <oddFooter>&amp;L&amp;8© Findex (Aust) Pty Ltd.  All rights reserved.&amp;R&amp;8&amp;P/&amp;N</oddFooter>
  </headerFooter>
  <drawing r:id="rId21"/>
  <legacyDrawing r:id="rId2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rojected_Income_Sheet">
    <tabColor theme="8" tint="0.79998168889431442"/>
    <pageSetUpPr fitToPage="1"/>
  </sheetPr>
  <dimension ref="A1:AU89"/>
  <sheetViews>
    <sheetView showGridLines="0" zoomScaleNormal="100" workbookViewId="0">
      <pane xSplit="22" ySplit="10" topLeftCell="Z11" activePane="bottomRight" state="frozenSplit"/>
      <selection activeCell="B62" sqref="B62"/>
      <selection pane="topRight" activeCell="B62" sqref="B62"/>
      <selection pane="bottomLeft" activeCell="B62" sqref="B62"/>
      <selection pane="bottomRight" activeCell="B62" sqref="B62"/>
    </sheetView>
  </sheetViews>
  <sheetFormatPr defaultColWidth="9.140625" defaultRowHeight="12.75"/>
  <cols>
    <col min="1" max="1" width="12.85546875" style="1064" customWidth="1"/>
    <col min="2" max="2" width="6.42578125" style="1064" customWidth="1"/>
    <col min="3" max="3" width="4.28515625" style="1064" customWidth="1"/>
    <col min="4" max="4" width="4.140625" style="1064" customWidth="1"/>
    <col min="5" max="6" width="6.28515625" style="1064" customWidth="1"/>
    <col min="7" max="7" width="15.7109375" style="1064" hidden="1" customWidth="1"/>
    <col min="8" max="8" width="15.140625" style="1064" hidden="1" customWidth="1"/>
    <col min="9" max="9" width="15.7109375" style="1064" hidden="1" customWidth="1"/>
    <col min="10" max="10" width="15.140625" style="1064" hidden="1" customWidth="1"/>
    <col min="11" max="11" width="15.7109375" style="1064" hidden="1" customWidth="1"/>
    <col min="12" max="12" width="15.140625" style="1064" hidden="1" customWidth="1"/>
    <col min="13" max="13" width="15.7109375" style="1064" hidden="1" customWidth="1"/>
    <col min="14" max="16" width="15.140625" style="1064" hidden="1" customWidth="1"/>
    <col min="17" max="17" width="13.7109375" style="1064" hidden="1" customWidth="1"/>
    <col min="18" max="18" width="15.42578125" style="1064" hidden="1" customWidth="1"/>
    <col min="19" max="19" width="15.7109375" style="1064" hidden="1" customWidth="1"/>
    <col min="20" max="20" width="15.140625" style="1064" hidden="1" customWidth="1"/>
    <col min="21" max="21" width="15.7109375" style="1064" hidden="1" customWidth="1"/>
    <col min="22" max="22" width="15.140625" style="1064" hidden="1" customWidth="1"/>
    <col min="23" max="23" width="15.7109375" style="1064" hidden="1" customWidth="1"/>
    <col min="24" max="24" width="15.140625" style="1064" hidden="1" customWidth="1"/>
    <col min="25" max="25" width="15.7109375" style="1064" hidden="1" customWidth="1"/>
    <col min="26" max="26" width="15.140625" style="1064" hidden="1" customWidth="1"/>
    <col min="27" max="27" width="15.140625" style="1064" bestFit="1" customWidth="1"/>
    <col min="28" max="28" width="15.140625" style="1064" hidden="1" customWidth="1"/>
    <col min="29" max="29" width="13.7109375" style="1064" customWidth="1"/>
    <col min="30" max="30" width="15.42578125" style="1064" hidden="1" customWidth="1"/>
    <col min="31" max="31" width="17.42578125" style="1064" customWidth="1"/>
    <col min="32" max="32" width="14.28515625" style="1064" hidden="1" customWidth="1"/>
    <col min="33" max="33" width="12.7109375" customWidth="1"/>
    <col min="34" max="34" width="13.7109375" style="1064" customWidth="1"/>
    <col min="35" max="35" width="15.42578125" style="1064" hidden="1" customWidth="1"/>
    <col min="36" max="36" width="13.7109375" customWidth="1"/>
    <col min="37" max="37" width="55.7109375" customWidth="1"/>
    <col min="38" max="39" width="15.42578125" style="1064" hidden="1" customWidth="1"/>
    <col min="40" max="40" width="11.28515625" style="1064" customWidth="1"/>
    <col min="41" max="41" width="15.7109375" style="1064" customWidth="1"/>
    <col min="42" max="42" width="9.140625" style="1064"/>
    <col min="43" max="43" width="0" style="1064" hidden="1" customWidth="1"/>
    <col min="44" max="16384" width="9.140625" style="1064"/>
  </cols>
  <sheetData>
    <row r="1" spans="1:47" s="1110" customFormat="1" ht="30" customHeight="1">
      <c r="A1" s="1983" t="str">
        <f>ClientName</f>
        <v>Example Trust</v>
      </c>
      <c r="B1" s="1984"/>
      <c r="C1" s="1985"/>
      <c r="D1" s="1984"/>
      <c r="E1" s="1984"/>
      <c r="F1" s="1986"/>
      <c r="G1" s="1985"/>
      <c r="H1" s="1111"/>
      <c r="I1" s="1111"/>
      <c r="J1" s="1111"/>
      <c r="K1" s="1111"/>
      <c r="L1" s="1111"/>
      <c r="M1" s="1111"/>
      <c r="N1" s="1111"/>
      <c r="O1" s="1111"/>
      <c r="P1" s="1111"/>
      <c r="Q1" s="1111"/>
      <c r="R1" s="1111"/>
      <c r="S1" s="1111"/>
      <c r="T1" s="1111"/>
      <c r="U1" s="1111"/>
      <c r="V1" s="1111"/>
      <c r="W1" s="1111"/>
      <c r="X1" s="1111"/>
      <c r="Y1" s="1111"/>
      <c r="Z1" s="1111"/>
      <c r="AA1" s="1111"/>
      <c r="AB1" s="1111"/>
      <c r="AC1" s="1111"/>
      <c r="AD1" s="1111"/>
      <c r="AE1" s="1111"/>
      <c r="AF1" s="1111"/>
      <c r="AG1" s="2539"/>
      <c r="AH1" s="1111"/>
      <c r="AI1" s="1111"/>
      <c r="AJ1" s="2539"/>
      <c r="AK1" s="2539"/>
      <c r="AL1" s="1111" t="s">
        <v>683</v>
      </c>
      <c r="AM1" s="1111" t="b">
        <v>1</v>
      </c>
      <c r="AN1" s="3737" t="s">
        <v>2526</v>
      </c>
      <c r="AO1" s="3737"/>
      <c r="AT1" s="3734"/>
      <c r="AU1" s="3734"/>
    </row>
    <row r="2" spans="1:47" s="1110" customFormat="1" ht="20.25">
      <c r="A2" s="1984"/>
      <c r="B2" s="1984"/>
      <c r="C2" s="1985"/>
      <c r="D2" s="1984"/>
      <c r="E2" s="1984"/>
      <c r="F2" s="1986"/>
      <c r="G2" s="1985"/>
      <c r="H2" s="1111"/>
      <c r="I2" s="1111"/>
      <c r="J2" s="1111"/>
      <c r="K2" s="1111"/>
      <c r="L2" s="1111"/>
      <c r="M2" s="1111"/>
      <c r="N2" s="1111"/>
      <c r="O2" s="1111"/>
      <c r="P2" s="1111"/>
      <c r="Q2" s="1111"/>
      <c r="R2" s="1111"/>
      <c r="S2" s="1111"/>
      <c r="T2" s="1111"/>
      <c r="U2" s="1111"/>
      <c r="V2" s="1111"/>
      <c r="W2" s="1111"/>
      <c r="X2" s="1111"/>
      <c r="Y2" s="1111"/>
      <c r="Z2" s="1111"/>
      <c r="AA2" s="1111"/>
      <c r="AB2" s="1111"/>
      <c r="AC2" s="1111"/>
      <c r="AD2" s="1111"/>
      <c r="AE2" s="1111"/>
      <c r="AF2" s="1111"/>
      <c r="AG2" s="2539"/>
      <c r="AH2" s="1111"/>
      <c r="AI2" s="1111"/>
      <c r="AJ2" s="2539"/>
      <c r="AK2" s="2539"/>
      <c r="AL2" s="1111" t="s">
        <v>674</v>
      </c>
      <c r="AM2" s="1111" t="b">
        <v>1</v>
      </c>
      <c r="AN2" s="1111"/>
    </row>
    <row r="3" spans="1:47" ht="20.25" customHeight="1">
      <c r="A3" s="1983" t="s">
        <v>842</v>
      </c>
      <c r="B3" s="1983"/>
      <c r="C3" s="1983"/>
      <c r="D3" s="1983"/>
      <c r="E3" s="1983"/>
      <c r="F3" s="1983"/>
      <c r="G3" s="1983"/>
      <c r="H3" s="1109"/>
      <c r="I3" s="1109"/>
      <c r="J3" s="1109"/>
      <c r="K3" s="1109"/>
      <c r="L3" s="1109"/>
      <c r="M3" s="1109"/>
      <c r="N3" s="1109"/>
      <c r="O3" s="1109"/>
      <c r="P3" s="1109"/>
      <c r="Q3" s="1109"/>
      <c r="R3" s="1109"/>
      <c r="S3" s="1109"/>
      <c r="T3" s="1109"/>
      <c r="U3" s="1109"/>
      <c r="V3" s="1109"/>
      <c r="W3" s="1109"/>
      <c r="X3" s="1109"/>
      <c r="Y3" s="1109"/>
      <c r="Z3" s="1109"/>
      <c r="AA3" s="1109"/>
      <c r="AB3" s="1109"/>
      <c r="AC3" s="1109"/>
      <c r="AD3" s="1109"/>
      <c r="AE3" s="1109"/>
      <c r="AF3" s="1109"/>
      <c r="AG3" s="2540"/>
      <c r="AH3" s="1109"/>
      <c r="AI3" s="1109"/>
      <c r="AJ3" s="2540"/>
      <c r="AK3" s="2540"/>
      <c r="AL3" s="1111" t="s">
        <v>675</v>
      </c>
      <c r="AM3" s="1111"/>
      <c r="AN3" s="1109"/>
      <c r="AO3" s="1109"/>
      <c r="AP3" s="1109"/>
      <c r="AQ3" s="1109"/>
      <c r="AR3" s="1109"/>
      <c r="AS3" s="1109"/>
    </row>
    <row r="4" spans="1:47" ht="20.25">
      <c r="A4" s="1987" t="str">
        <f>CONCATENATE("for the year ended 30 June ",YEAR(Period_End))</f>
        <v>for the year ended 30 June 2024</v>
      </c>
      <c r="B4" s="1987"/>
      <c r="C4" s="1987"/>
      <c r="D4" s="1987"/>
      <c r="E4" s="1987"/>
      <c r="F4" s="1987"/>
      <c r="G4" s="1987"/>
      <c r="H4" s="1112"/>
      <c r="I4" s="1112"/>
      <c r="J4" s="1112"/>
      <c r="K4" s="1112"/>
      <c r="L4" s="1112"/>
      <c r="M4" s="1112"/>
      <c r="N4" s="1112"/>
      <c r="O4" s="1112"/>
      <c r="P4" s="1112"/>
      <c r="Q4" s="1112"/>
      <c r="R4" s="1112"/>
      <c r="S4" s="1112"/>
      <c r="T4" s="1112"/>
      <c r="U4" s="1112"/>
      <c r="V4" s="1112"/>
      <c r="W4" s="1112"/>
      <c r="X4" s="1112"/>
      <c r="Y4" s="1112"/>
      <c r="Z4" s="1112"/>
      <c r="AA4" s="1112"/>
      <c r="AB4" s="1112"/>
      <c r="AC4" s="1112"/>
      <c r="AD4" s="1112"/>
      <c r="AE4" s="1112"/>
      <c r="AF4" s="1112"/>
      <c r="AG4" s="2541"/>
      <c r="AH4" s="1112"/>
      <c r="AI4" s="1112"/>
      <c r="AJ4" s="2541"/>
      <c r="AK4" s="2541"/>
      <c r="AL4" s="1111" t="s">
        <v>676</v>
      </c>
      <c r="AM4" s="1111"/>
      <c r="AN4" s="1112"/>
      <c r="AO4" s="1112"/>
      <c r="AP4" s="1112"/>
      <c r="AQ4" s="1112"/>
      <c r="AR4" s="1112"/>
      <c r="AS4" s="1112"/>
    </row>
    <row r="5" spans="1:47" ht="8.1" customHeight="1">
      <c r="A5" s="1988"/>
      <c r="B5" s="1988"/>
      <c r="C5" s="1988"/>
      <c r="D5" s="1988"/>
      <c r="E5" s="1988"/>
      <c r="F5" s="1988"/>
      <c r="G5" s="1988"/>
      <c r="AL5" s="1111" t="s">
        <v>677</v>
      </c>
      <c r="AM5" s="1111"/>
    </row>
    <row r="6" spans="1:47" ht="20.25">
      <c r="A6" s="1981"/>
      <c r="B6" s="1981"/>
      <c r="C6" s="1981"/>
      <c r="D6" s="1981"/>
      <c r="E6" s="1981"/>
      <c r="F6" s="1981"/>
      <c r="G6" s="1981"/>
      <c r="H6" s="1981"/>
      <c r="I6" s="1981"/>
      <c r="J6" s="1981"/>
      <c r="K6" s="1981"/>
      <c r="L6" s="1981"/>
      <c r="M6" s="1981"/>
      <c r="N6" s="1981"/>
      <c r="O6" s="1981"/>
      <c r="P6" s="1981"/>
      <c r="Q6" s="1981"/>
      <c r="R6" s="1981"/>
      <c r="S6" s="1981"/>
      <c r="T6" s="1981"/>
      <c r="U6" s="1981"/>
      <c r="V6" s="1981"/>
      <c r="W6" s="1981"/>
      <c r="X6" s="1981"/>
      <c r="Y6" s="1981"/>
      <c r="Z6" s="1981"/>
      <c r="AA6" s="1981"/>
      <c r="AB6" s="1981"/>
      <c r="AC6" s="1981"/>
      <c r="AD6" s="1981"/>
      <c r="AE6" s="1981"/>
      <c r="AF6" s="1981"/>
      <c r="AG6" s="1981"/>
      <c r="AH6" s="1981"/>
      <c r="AI6" s="1981"/>
      <c r="AJ6" s="1981"/>
      <c r="AK6" s="1981"/>
      <c r="AL6" s="1111" t="s">
        <v>678</v>
      </c>
      <c r="AM6" s="1111"/>
    </row>
    <row r="7" spans="1:47" s="1093" customFormat="1" ht="3.95" customHeight="1">
      <c r="A7" s="1094"/>
      <c r="B7" s="1113"/>
      <c r="C7" s="1114"/>
      <c r="D7" s="1114"/>
      <c r="E7" s="1114"/>
      <c r="AG7" s="2527"/>
      <c r="AJ7" s="2527"/>
      <c r="AK7" s="2527"/>
      <c r="AL7" s="1111" t="s">
        <v>679</v>
      </c>
      <c r="AM7" s="1111"/>
    </row>
    <row r="8" spans="1:47" s="1063" customFormat="1" ht="20.25">
      <c r="A8" s="1115"/>
      <c r="B8" s="979"/>
      <c r="C8" s="979"/>
      <c r="D8" s="979"/>
      <c r="E8" s="979"/>
      <c r="F8" s="979"/>
      <c r="G8" s="1062"/>
      <c r="H8" s="1062"/>
      <c r="I8" s="1062"/>
      <c r="J8" s="1062"/>
      <c r="K8" s="1062"/>
      <c r="L8" s="1062"/>
      <c r="M8" s="1062"/>
      <c r="N8" s="1062"/>
      <c r="O8" s="1062"/>
      <c r="P8" s="1062"/>
      <c r="S8" s="1062"/>
      <c r="T8" s="1062"/>
      <c r="U8" s="1062"/>
      <c r="V8" s="1062"/>
      <c r="W8" s="1166"/>
      <c r="X8" s="1166"/>
      <c r="Y8" s="1062"/>
      <c r="Z8" s="1062"/>
      <c r="AA8" s="1062"/>
      <c r="AB8" s="1062"/>
      <c r="AE8" s="1116"/>
      <c r="AF8" s="1116"/>
      <c r="AG8" s="2542"/>
      <c r="AJ8" s="2545"/>
      <c r="AK8" s="2542"/>
      <c r="AL8" s="1111" t="s">
        <v>680</v>
      </c>
      <c r="AM8" s="1111"/>
      <c r="AN8" s="1116"/>
    </row>
    <row r="9" spans="1:47" s="1063" customFormat="1" ht="20.25" customHeight="1">
      <c r="A9" s="1099"/>
      <c r="B9" s="979"/>
      <c r="C9" s="979"/>
      <c r="D9" s="979"/>
      <c r="E9" s="979"/>
      <c r="F9" s="979"/>
      <c r="G9" s="3736" t="str">
        <f>IF(12-COUNTA(I9:$AD$9)=Projected_Income_Actual_Index,"Year To Date",IF(ISNUMBER(I9),DATE(YEAR(I9),MONTH(I9),0),""))</f>
        <v/>
      </c>
      <c r="H9" s="3736"/>
      <c r="I9" s="3736" t="str">
        <f>IF(12-COUNTA(K9:$AD$9)=Projected_Income_Actual_Index,"Year To Date",IF(ISNUMBER(K9),DATE(YEAR(K9),MONTH(K9),0),""))</f>
        <v/>
      </c>
      <c r="J9" s="3736"/>
      <c r="K9" s="3736" t="str">
        <f>IF(12-COUNTA(M9:$AD$9)=Projected_Income_Actual_Index,"Year To Date",IF(ISNUMBER(M9),DATE(YEAR(M9),MONTH(M9),0),""))</f>
        <v/>
      </c>
      <c r="L9" s="3736"/>
      <c r="M9" s="3736" t="str">
        <f>IF(12-COUNTA(O9:$AD$9)=Projected_Income_Actual_Index,"Year To Date",IF(ISNUMBER(O9),DATE(YEAR(O9),MONTH(O9),0),""))</f>
        <v/>
      </c>
      <c r="N9" s="3736"/>
      <c r="O9" s="3736" t="str">
        <f>IF(12-COUNTA(Q9:$AD$9)=Projected_Income_Actual_Index,"Year To Date",IF(ISNUMBER(Q9),DATE(YEAR(Q9),MONTH(Q9),0),""))</f>
        <v/>
      </c>
      <c r="P9" s="3736"/>
      <c r="Q9" s="3736" t="str">
        <f>IF(12-COUNTA(S9:$AD$9)=Projected_Income_Actual_Index,"Year To Date",IF(ISNUMBER(S9),DATE(YEAR(S9),MONTH(S9),0),""))</f>
        <v/>
      </c>
      <c r="R9" s="3736"/>
      <c r="S9" s="3736" t="str">
        <f>IF(12-COUNTA(U9:$AD$9)=Projected_Income_Actual_Index,"Year To Date",IF(ISNUMBER(U9),DATE(YEAR(U9),MONTH(U9),0),""))</f>
        <v/>
      </c>
      <c r="T9" s="3736"/>
      <c r="U9" s="3736" t="str">
        <f>IF(12-COUNTA(W9:$AD$9)=Projected_Income_Actual_Index,"Year To Date",IF(ISNUMBER(W9),DATE(YEAR(W9),MONTH(W9),0),""))</f>
        <v/>
      </c>
      <c r="V9" s="3736"/>
      <c r="W9" s="3736" t="str">
        <f>IF(12-COUNTA(Y9:$AD$9)=Projected_Income_Actual_Index,"Year To Date",IF(ISNUMBER(Y9),DATE(YEAR(Y9),MONTH(Y9),0),""))</f>
        <v/>
      </c>
      <c r="X9" s="3736"/>
      <c r="Y9" s="3736" t="str">
        <f>IF(12-COUNTA(AA9:$AD$9)=Projected_Income_Actual_Index,"Year To Date",IF(ISNUMBER(AA9),DATE(YEAR(AA9),MONTH(AA9),0),""))</f>
        <v/>
      </c>
      <c r="Z9" s="3736"/>
      <c r="AA9" s="3736" t="str">
        <f>IF(12-COUNTA(AC9:$AD$9)=Projected_Income_Actual_Index,"Year To Date",IF(ISNUMBER(AC9),DATE(YEAR(AC9),MONTH(AC9),0),""))</f>
        <v>Year To Date</v>
      </c>
      <c r="AB9" s="3736"/>
      <c r="AC9" s="3736">
        <f>Period_End</f>
        <v>45473</v>
      </c>
      <c r="AD9" s="3736"/>
      <c r="AE9" s="3735" t="s">
        <v>1096</v>
      </c>
      <c r="AF9" s="3735"/>
      <c r="AG9" s="2525" t="s">
        <v>208</v>
      </c>
      <c r="AH9" s="3735" t="str">
        <f>YEAR(Period_End)-1 &amp; IF(PP="YES"," Comparatives","")</f>
        <v>2023</v>
      </c>
      <c r="AI9" s="3735"/>
      <c r="AJ9" s="2525">
        <f>AH9-1</f>
        <v>2022</v>
      </c>
      <c r="AK9" s="2525"/>
      <c r="AL9" s="1111" t="s">
        <v>681</v>
      </c>
      <c r="AM9" s="1111"/>
      <c r="AN9" s="1060"/>
    </row>
    <row r="10" spans="1:47" s="1063" customFormat="1" ht="20.25">
      <c r="A10" s="1099"/>
      <c r="B10" s="979"/>
      <c r="C10" s="979"/>
      <c r="D10" s="979"/>
      <c r="E10" s="979"/>
      <c r="F10" s="979"/>
      <c r="G10" s="1982" t="str">
        <f>CHOOSE('Input Info'!$P$15,"Non PP","")</f>
        <v/>
      </c>
      <c r="H10" s="1982" t="s">
        <v>1159</v>
      </c>
      <c r="I10" s="1982" t="str">
        <f>CHOOSE('Input Info'!$P$15,"Non PP","")</f>
        <v/>
      </c>
      <c r="J10" s="1982" t="s">
        <v>1159</v>
      </c>
      <c r="K10" s="1982" t="str">
        <f>CHOOSE('Input Info'!$P$15,"Non PP","")</f>
        <v/>
      </c>
      <c r="L10" s="1982" t="s">
        <v>1159</v>
      </c>
      <c r="M10" s="1982" t="str">
        <f>CHOOSE('Input Info'!$P$15,"Non PP","")</f>
        <v/>
      </c>
      <c r="N10" s="1982" t="s">
        <v>1159</v>
      </c>
      <c r="O10" s="1982" t="str">
        <f>CHOOSE('Input Info'!$P$15,"Non PP","")</f>
        <v/>
      </c>
      <c r="P10" s="1982" t="s">
        <v>1159</v>
      </c>
      <c r="Q10" s="1982" t="str">
        <f>CHOOSE('Input Info'!$P$15,"Non PP","")</f>
        <v/>
      </c>
      <c r="R10" s="1982" t="s">
        <v>1159</v>
      </c>
      <c r="S10" s="1982" t="str">
        <f>CHOOSE('Input Info'!$P$15,"Non PP","")</f>
        <v/>
      </c>
      <c r="T10" s="1982" t="s">
        <v>1159</v>
      </c>
      <c r="U10" s="1982" t="str">
        <f>CHOOSE('Input Info'!$P$15,"Non PP","")</f>
        <v/>
      </c>
      <c r="V10" s="1982" t="s">
        <v>1159</v>
      </c>
      <c r="W10" s="1982" t="str">
        <f>CHOOSE('Input Info'!$P$15,"Non PP","")</f>
        <v/>
      </c>
      <c r="X10" s="1982" t="s">
        <v>1159</v>
      </c>
      <c r="Y10" s="1982" t="str">
        <f>CHOOSE('Input Info'!$P$15,"Non PP","")</f>
        <v/>
      </c>
      <c r="Z10" s="1982" t="s">
        <v>1159</v>
      </c>
      <c r="AA10" s="1982" t="str">
        <f>CHOOSE('Input Info'!$P$15,"Non PP","")</f>
        <v/>
      </c>
      <c r="AB10" s="1982" t="s">
        <v>1159</v>
      </c>
      <c r="AC10" s="1982" t="str">
        <f>CHOOSE('Input Info'!$P$15,"Non PP","")</f>
        <v/>
      </c>
      <c r="AD10" s="1982" t="s">
        <v>1159</v>
      </c>
      <c r="AE10" s="1982" t="str">
        <f>CHOOSE('Input Info'!$P$15,"Non PP","")</f>
        <v/>
      </c>
      <c r="AF10" s="1982" t="s">
        <v>1159</v>
      </c>
      <c r="AG10" s="2525" t="s">
        <v>1339</v>
      </c>
      <c r="AH10" s="1982" t="str">
        <f>CHOOSE('Input Info'!$P$15,"Non PP","Comparatives")</f>
        <v>Comparatives</v>
      </c>
      <c r="AI10" s="1982" t="s">
        <v>1159</v>
      </c>
      <c r="AJ10" s="2525" t="s">
        <v>2409</v>
      </c>
      <c r="AK10" s="2525" t="s">
        <v>172</v>
      </c>
      <c r="AL10" s="1111" t="s">
        <v>682</v>
      </c>
      <c r="AM10" s="1111"/>
      <c r="AN10" s="979"/>
    </row>
    <row r="11" spans="1:47" s="1063" customFormat="1" ht="5.0999999999999996" customHeight="1">
      <c r="A11" s="1099"/>
      <c r="B11" s="979"/>
      <c r="C11" s="979"/>
      <c r="D11" s="979"/>
      <c r="E11" s="979"/>
      <c r="F11" s="979"/>
      <c r="G11" s="1117"/>
      <c r="H11" s="1117"/>
      <c r="I11" s="1117"/>
      <c r="J11" s="1117"/>
      <c r="K11" s="1117"/>
      <c r="L11" s="1117"/>
      <c r="M11" s="1117"/>
      <c r="N11" s="1117"/>
      <c r="O11" s="1117"/>
      <c r="P11" s="1117"/>
      <c r="Q11" s="1117"/>
      <c r="R11" s="1117"/>
      <c r="S11" s="1117"/>
      <c r="T11" s="1117"/>
      <c r="U11" s="1117"/>
      <c r="V11" s="1117"/>
      <c r="W11" s="1117"/>
      <c r="X11" s="1117"/>
      <c r="Y11" s="1117"/>
      <c r="Z11" s="1117"/>
      <c r="AA11" s="1117"/>
      <c r="AB11" s="1117"/>
      <c r="AC11" s="1117"/>
      <c r="AD11" s="1117"/>
      <c r="AE11" s="1117"/>
      <c r="AF11" s="1117"/>
      <c r="AG11" s="2542"/>
      <c r="AH11" s="1117"/>
      <c r="AI11" s="1117"/>
      <c r="AJ11" s="1117"/>
      <c r="AK11" s="2542"/>
      <c r="AL11" s="1111" t="s">
        <v>967</v>
      </c>
      <c r="AM11" s="1111"/>
      <c r="AN11" s="979"/>
    </row>
    <row r="12" spans="1:47" s="1063" customFormat="1" ht="20.25">
      <c r="A12" s="1118" t="s">
        <v>843</v>
      </c>
      <c r="B12" s="979"/>
      <c r="C12" s="979"/>
      <c r="D12" s="979"/>
      <c r="E12" s="979"/>
      <c r="F12" s="979"/>
      <c r="G12" s="979"/>
      <c r="H12" s="979"/>
      <c r="I12" s="979"/>
      <c r="J12" s="979"/>
      <c r="K12" s="979"/>
      <c r="L12" s="979"/>
      <c r="M12" s="979"/>
      <c r="N12" s="979"/>
      <c r="O12" s="979"/>
      <c r="P12" s="979"/>
      <c r="Q12" s="979"/>
      <c r="R12" s="979"/>
      <c r="S12" s="979"/>
      <c r="T12" s="979"/>
      <c r="U12" s="979"/>
      <c r="V12" s="979"/>
      <c r="W12" s="979"/>
      <c r="X12" s="979"/>
      <c r="Y12" s="979"/>
      <c r="Z12" s="979"/>
      <c r="AA12" s="979"/>
      <c r="AB12" s="979"/>
      <c r="AG12" s="2542"/>
      <c r="AH12" s="1062"/>
      <c r="AI12" s="1062"/>
      <c r="AJ12" s="2545"/>
      <c r="AK12" s="2542"/>
      <c r="AL12" s="1111">
        <v>11</v>
      </c>
      <c r="AM12" s="1111"/>
    </row>
    <row r="13" spans="1:47" s="1063" customFormat="1" ht="5.0999999999999996" customHeight="1">
      <c r="A13" s="1099"/>
      <c r="B13" s="979"/>
      <c r="C13" s="979"/>
      <c r="D13" s="979"/>
      <c r="E13" s="979"/>
      <c r="F13" s="979"/>
      <c r="G13" s="979"/>
      <c r="H13" s="979"/>
      <c r="I13" s="979"/>
      <c r="J13" s="979"/>
      <c r="K13" s="979"/>
      <c r="L13" s="979"/>
      <c r="M13" s="979"/>
      <c r="N13" s="979"/>
      <c r="O13" s="979"/>
      <c r="P13" s="979"/>
      <c r="Q13" s="979"/>
      <c r="R13" s="979"/>
      <c r="S13" s="979"/>
      <c r="T13" s="979"/>
      <c r="U13" s="979"/>
      <c r="V13" s="979"/>
      <c r="W13" s="979"/>
      <c r="X13" s="979"/>
      <c r="Y13" s="979"/>
      <c r="Z13" s="979"/>
      <c r="AA13" s="979"/>
      <c r="AB13" s="979"/>
      <c r="AC13" s="979"/>
      <c r="AD13" s="979"/>
      <c r="AG13" s="2542"/>
      <c r="AH13" s="979"/>
      <c r="AI13" s="979"/>
      <c r="AJ13" s="1483"/>
      <c r="AK13" s="2542"/>
      <c r="AL13" s="1111"/>
      <c r="AM13" s="1111"/>
      <c r="AN13" s="979"/>
    </row>
    <row r="14" spans="1:47" s="1063" customFormat="1" ht="20.25">
      <c r="A14" s="1118" t="s">
        <v>1213</v>
      </c>
      <c r="B14" s="979"/>
      <c r="C14" s="979"/>
      <c r="D14" s="3738"/>
      <c r="E14" s="3738"/>
      <c r="F14" s="979"/>
      <c r="G14" s="1061"/>
      <c r="H14" s="1061"/>
      <c r="I14" s="1061"/>
      <c r="J14" s="1061"/>
      <c r="K14" s="1061"/>
      <c r="L14" s="1061"/>
      <c r="M14" s="1061"/>
      <c r="N14" s="1061"/>
      <c r="O14" s="1061"/>
      <c r="P14" s="1061"/>
      <c r="Q14" s="1061"/>
      <c r="R14" s="1061"/>
      <c r="S14" s="1061"/>
      <c r="T14" s="1061"/>
      <c r="U14" s="1061"/>
      <c r="V14" s="1061"/>
      <c r="W14" s="1061"/>
      <c r="X14" s="1061"/>
      <c r="Y14" s="1061"/>
      <c r="Z14" s="1061"/>
      <c r="AA14" s="1061"/>
      <c r="AB14" s="1061"/>
      <c r="AC14" s="1061"/>
      <c r="AD14" s="1061"/>
      <c r="AG14" s="2542"/>
      <c r="AH14" s="1061"/>
      <c r="AI14" s="1061"/>
      <c r="AJ14" s="2546"/>
      <c r="AK14" s="2542"/>
      <c r="AM14" s="1111"/>
      <c r="AQ14" s="3283">
        <v>1</v>
      </c>
    </row>
    <row r="15" spans="1:47" s="1063" customFormat="1" ht="20.25">
      <c r="A15" s="979" t="s">
        <v>844</v>
      </c>
      <c r="C15" s="979"/>
      <c r="D15" s="979"/>
      <c r="E15" s="979"/>
      <c r="F15" s="979"/>
      <c r="G15" s="3227">
        <v>0</v>
      </c>
      <c r="H15" s="3227">
        <v>0</v>
      </c>
      <c r="I15" s="3227">
        <f ca="1">IF(AND(Project_Income_Extrapolate,COUNTA($F$9:I$9)&gt;Projected_Income_Actual_Index),SUMIF(OFFSET($G$10,,,,Projected_Income_Actual_Index*2),I$10,OFFSET($G15,,,,Projected_Income_Actual_Index*2))/Projected_Income_Actual_Index,0)</f>
        <v>0</v>
      </c>
      <c r="J15" s="3227">
        <f ca="1">IF(AND(Project_Income_Extrapolate,COUNTA($F$9:J$9)&gt;Projected_Income_Actual_Index),SUMIF(OFFSET($G$10,,,,Projected_Income_Actual_Index*2),J$10,OFFSET($G15,,,,Projected_Income_Actual_Index*2))/Projected_Income_Actual_Index,0)</f>
        <v>0</v>
      </c>
      <c r="K15" s="3227">
        <f ca="1">IF(AND(Project_Income_Extrapolate,COUNTA($F$9:K$9)&gt;Projected_Income_Actual_Index),SUMIF(OFFSET($G$10,,,,Projected_Income_Actual_Index*2),K$10,OFFSET($G15,,,,Projected_Income_Actual_Index*2))/Projected_Income_Actual_Index,0)</f>
        <v>0</v>
      </c>
      <c r="L15" s="3227">
        <f ca="1">IF(AND(Project_Income_Extrapolate,COUNTA($F$9:L$9)&gt;Projected_Income_Actual_Index),SUMIF(OFFSET($G$10,,,,Projected_Income_Actual_Index*2),L$10,OFFSET($G15,,,,Projected_Income_Actual_Index*2))/Projected_Income_Actual_Index,0)</f>
        <v>0</v>
      </c>
      <c r="M15" s="3227">
        <f ca="1">IF(AND(Project_Income_Extrapolate,COUNTA($F$9:M$9)&gt;Projected_Income_Actual_Index),SUMIF(OFFSET($G$10,,,,Projected_Income_Actual_Index*2),M$10,OFFSET($G15,,,,Projected_Income_Actual_Index*2))/Projected_Income_Actual_Index,0)</f>
        <v>0</v>
      </c>
      <c r="N15" s="3227">
        <f ca="1">IF(AND(Project_Income_Extrapolate,COUNTA($F$9:N$9)&gt;Projected_Income_Actual_Index),SUMIF(OFFSET($G$10,,,,Projected_Income_Actual_Index*2),N$10,OFFSET($G15,,,,Projected_Income_Actual_Index*2))/Projected_Income_Actual_Index,0)</f>
        <v>0</v>
      </c>
      <c r="O15" s="3227">
        <f ca="1">IF(AND(Project_Income_Extrapolate,COUNTA($F$9:O$9)&gt;Projected_Income_Actual_Index),SUMIF(OFFSET($G$10,,,,Projected_Income_Actual_Index*2),O$10,OFFSET($G15,,,,Projected_Income_Actual_Index*2))/Projected_Income_Actual_Index,0)</f>
        <v>0</v>
      </c>
      <c r="P15" s="3227">
        <f ca="1">IF(AND(Project_Income_Extrapolate,COUNTA($F$9:P$9)&gt;Projected_Income_Actual_Index),SUMIF(OFFSET($G$10,,,,Projected_Income_Actual_Index*2),P$10,OFFSET($G15,,,,Projected_Income_Actual_Index*2))/Projected_Income_Actual_Index,0)</f>
        <v>0</v>
      </c>
      <c r="Q15" s="3227">
        <f ca="1">IF(AND(Project_Income_Extrapolate,COUNTA($F$9:Q$9)&gt;Projected_Income_Actual_Index),SUMIF(OFFSET($G$10,,,,Projected_Income_Actual_Index*2),Q$10,OFFSET($G15,,,,Projected_Income_Actual_Index*2))/Projected_Income_Actual_Index,0)</f>
        <v>0</v>
      </c>
      <c r="R15" s="3227">
        <f ca="1">IF(AND(Project_Income_Extrapolate,COUNTA($F$9:R$9)&gt;Projected_Income_Actual_Index),SUMIF(OFFSET($G$10,,,,Projected_Income_Actual_Index*2),R$10,OFFSET($G15,,,,Projected_Income_Actual_Index*2))/Projected_Income_Actual_Index,0)</f>
        <v>0</v>
      </c>
      <c r="S15" s="3227">
        <f ca="1">IF(AND(Project_Income_Extrapolate,COUNTA($F$9:S$9)&gt;Projected_Income_Actual_Index),SUMIF(OFFSET($G$10,,,,Projected_Income_Actual_Index*2),S$10,OFFSET($G15,,,,Projected_Income_Actual_Index*2))/Projected_Income_Actual_Index,0)</f>
        <v>0</v>
      </c>
      <c r="T15" s="3227">
        <f ca="1">IF(AND(Project_Income_Extrapolate,COUNTA($F$9:T$9)&gt;Projected_Income_Actual_Index),SUMIF(OFFSET($G$10,,,,Projected_Income_Actual_Index*2),T$10,OFFSET($G15,,,,Projected_Income_Actual_Index*2))/Projected_Income_Actual_Index,0)</f>
        <v>0</v>
      </c>
      <c r="U15" s="3227">
        <f ca="1">IF(AND(Project_Income_Extrapolate,COUNTA($F$9:U$9)&gt;Projected_Income_Actual_Index),SUMIF(OFFSET($G$10,,,,Projected_Income_Actual_Index*2),U$10,OFFSET($G15,,,,Projected_Income_Actual_Index*2))/Projected_Income_Actual_Index,0)</f>
        <v>0</v>
      </c>
      <c r="V15" s="3227">
        <f ca="1">IF(AND(Project_Income_Extrapolate,COUNTA($F$9:V$9)&gt;Projected_Income_Actual_Index),SUMIF(OFFSET($G$10,,,,Projected_Income_Actual_Index*2),V$10,OFFSET($G15,,,,Projected_Income_Actual_Index*2))/Projected_Income_Actual_Index,0)</f>
        <v>0</v>
      </c>
      <c r="W15" s="3227">
        <f ca="1">IF(AND(Project_Income_Extrapolate,COUNTA($F$9:W$9)&gt;Projected_Income_Actual_Index),SUMIF(OFFSET($G$10,,,,Projected_Income_Actual_Index*2),W$10,OFFSET($G15,,,,Projected_Income_Actual_Index*2))/Projected_Income_Actual_Index,0)</f>
        <v>0</v>
      </c>
      <c r="X15" s="3227">
        <f ca="1">IF(AND(Project_Income_Extrapolate,COUNTA($F$9:X$9)&gt;Projected_Income_Actual_Index),SUMIF(OFFSET($G$10,,,,Projected_Income_Actual_Index*2),X$10,OFFSET($G15,,,,Projected_Income_Actual_Index*2))/Projected_Income_Actual_Index,0)</f>
        <v>0</v>
      </c>
      <c r="Y15" s="3227">
        <f ca="1">IF(AND(Project_Income_Extrapolate,COUNTA($F$9:Y$9)&gt;Projected_Income_Actual_Index),SUMIF(OFFSET($G$10,,,,Projected_Income_Actual_Index*2),Y$10,OFFSET($G15,,,,Projected_Income_Actual_Index*2))/Projected_Income_Actual_Index,0)</f>
        <v>0</v>
      </c>
      <c r="Z15" s="3227">
        <f ca="1">IF(AND(Project_Income_Extrapolate,COUNTA($F$9:Z$9)&gt;Projected_Income_Actual_Index),SUMIF(OFFSET($G$10,,,,Projected_Income_Actual_Index*2),Z$10,OFFSET($G15,,,,Projected_Income_Actual_Index*2))/Projected_Income_Actual_Index,0)</f>
        <v>0</v>
      </c>
      <c r="AA15" s="3227">
        <f ca="1">IF(AND(Project_Income_Extrapolate,COUNTA($F$9:AA$9)&gt;Projected_Income_Actual_Index),SUMIF(OFFSET($G$10,,,,Projected_Income_Actual_Index*2),AA$10,OFFSET($G15,,,,Projected_Income_Actual_Index*2))/Projected_Income_Actual_Index,0)</f>
        <v>0</v>
      </c>
      <c r="AB15" s="3227">
        <f ca="1">IF(AND(Project_Income_Extrapolate,COUNTA($F$9:AB$9)&gt;Projected_Income_Actual_Index),SUMIF(OFFSET($G$10,,,,Projected_Income_Actual_Index*2),AB$10,OFFSET($G15,,,,Projected_Income_Actual_Index*2))/Projected_Income_Actual_Index,0)</f>
        <v>0</v>
      </c>
      <c r="AC15" s="3227">
        <f ca="1">IF(AND(Project_Income_Extrapolate,COUNTA($F$9:AC$9)&gt;Projected_Income_Actual_Index),SUMIF(OFFSET($G$10,,,,Projected_Income_Actual_Index*2),AC$10,OFFSET($G15,,,,Projected_Income_Actual_Index*2))/Projected_Income_Actual_Index,0)</f>
        <v>0</v>
      </c>
      <c r="AD15" s="3227">
        <f ca="1">IF(AND(Project_Income_Extrapolate,COUNTA($F$9:AD$9)&gt;Projected_Income_Actual_Index),SUMIF(OFFSET($G$10,,,,Projected_Income_Actual_Index*2),AD$10,OFFSET($G15,,,,Projected_Income_Actual_Index*2))/Projected_Income_Actual_Index,0)</f>
        <v>0</v>
      </c>
      <c r="AE15" s="3227">
        <f ca="1">SUMIF($G$10:$AD$10,AE$10,$G15:$AD15)</f>
        <v>0</v>
      </c>
      <c r="AF15" s="3227">
        <f t="shared" ref="AF15:AF24" ca="1" si="0">SUMIF($G$10:$AD$10,AF$10,$G15:$AD15)</f>
        <v>0</v>
      </c>
      <c r="AG15" s="2543">
        <f ca="1">SUM(AE15+AF15)-AH15-AI15</f>
        <v>0</v>
      </c>
      <c r="AH15" s="3227">
        <v>0</v>
      </c>
      <c r="AI15" s="3227">
        <v>0</v>
      </c>
      <c r="AJ15" s="3231">
        <v>0</v>
      </c>
      <c r="AK15" s="2548" t="s">
        <v>2280</v>
      </c>
      <c r="AL15" s="1111"/>
      <c r="AM15" s="1111"/>
      <c r="AQ15" s="3283">
        <f ca="1">AE15</f>
        <v>0</v>
      </c>
    </row>
    <row r="16" spans="1:47" s="1063" customFormat="1" ht="20.25">
      <c r="A16" s="979" t="s">
        <v>845</v>
      </c>
      <c r="C16" s="979"/>
      <c r="D16" s="979"/>
      <c r="E16" s="979"/>
      <c r="F16" s="979"/>
      <c r="G16" s="3227">
        <v>0</v>
      </c>
      <c r="H16" s="3227">
        <v>0</v>
      </c>
      <c r="I16" s="3227">
        <f ca="1">IF(AND(Project_Income_Extrapolate,COUNTA($F$9:I$9)&gt;Projected_Income_Actual_Index),SUMIF(OFFSET($G$10,,,,Projected_Income_Actual_Index*2),I$10,OFFSET($G16,,,,Projected_Income_Actual_Index*2))/Projected_Income_Actual_Index,0)</f>
        <v>0</v>
      </c>
      <c r="J16" s="3227">
        <f ca="1">IF(AND(Project_Income_Extrapolate,COUNTA($F$9:J$9)&gt;Projected_Income_Actual_Index),SUMIF(OFFSET($G$10,,,,Projected_Income_Actual_Index*2),J$10,OFFSET($G16,,,,Projected_Income_Actual_Index*2))/Projected_Income_Actual_Index,0)</f>
        <v>0</v>
      </c>
      <c r="K16" s="3227">
        <f ca="1">IF(AND(Project_Income_Extrapolate,COUNTA($F$9:K$9)&gt;Projected_Income_Actual_Index),SUMIF(OFFSET($G$10,,,,Projected_Income_Actual_Index*2),K$10,OFFSET($G16,,,,Projected_Income_Actual_Index*2))/Projected_Income_Actual_Index,0)</f>
        <v>0</v>
      </c>
      <c r="L16" s="3227">
        <f ca="1">IF(AND(Project_Income_Extrapolate,COUNTA($F$9:L$9)&gt;Projected_Income_Actual_Index),SUMIF(OFFSET($G$10,,,,Projected_Income_Actual_Index*2),L$10,OFFSET($G16,,,,Projected_Income_Actual_Index*2))/Projected_Income_Actual_Index,0)</f>
        <v>0</v>
      </c>
      <c r="M16" s="3227">
        <f ca="1">IF(AND(Project_Income_Extrapolate,COUNTA($F$9:M$9)&gt;Projected_Income_Actual_Index),SUMIF(OFFSET($G$10,,,,Projected_Income_Actual_Index*2),M$10,OFFSET($G16,,,,Projected_Income_Actual_Index*2))/Projected_Income_Actual_Index,0)</f>
        <v>0</v>
      </c>
      <c r="N16" s="3227">
        <f ca="1">IF(AND(Project_Income_Extrapolate,COUNTA($F$9:N$9)&gt;Projected_Income_Actual_Index),SUMIF(OFFSET($G$10,,,,Projected_Income_Actual_Index*2),N$10,OFFSET($G16,,,,Projected_Income_Actual_Index*2))/Projected_Income_Actual_Index,0)</f>
        <v>0</v>
      </c>
      <c r="O16" s="3227">
        <f ca="1">IF(AND(Project_Income_Extrapolate,COUNTA($F$9:O$9)&gt;Projected_Income_Actual_Index),SUMIF(OFFSET($G$10,,,,Projected_Income_Actual_Index*2),O$10,OFFSET($G16,,,,Projected_Income_Actual_Index*2))/Projected_Income_Actual_Index,0)</f>
        <v>0</v>
      </c>
      <c r="P16" s="3227">
        <f ca="1">IF(AND(Project_Income_Extrapolate,COUNTA($F$9:P$9)&gt;Projected_Income_Actual_Index),SUMIF(OFFSET($G$10,,,,Projected_Income_Actual_Index*2),P$10,OFFSET($G16,,,,Projected_Income_Actual_Index*2))/Projected_Income_Actual_Index,0)</f>
        <v>0</v>
      </c>
      <c r="Q16" s="3227">
        <f ca="1">IF(AND(Project_Income_Extrapolate,COUNTA($F$9:Q$9)&gt;Projected_Income_Actual_Index),SUMIF(OFFSET($G$10,,,,Projected_Income_Actual_Index*2),Q$10,OFFSET($G16,,,,Projected_Income_Actual_Index*2))/Projected_Income_Actual_Index,0)</f>
        <v>0</v>
      </c>
      <c r="R16" s="3227">
        <f ca="1">IF(AND(Project_Income_Extrapolate,COUNTA($F$9:R$9)&gt;Projected_Income_Actual_Index),SUMIF(OFFSET($G$10,,,,Projected_Income_Actual_Index*2),R$10,OFFSET($G16,,,,Projected_Income_Actual_Index*2))/Projected_Income_Actual_Index,0)</f>
        <v>0</v>
      </c>
      <c r="S16" s="3227">
        <f ca="1">IF(AND(Project_Income_Extrapolate,COUNTA($F$9:S$9)&gt;Projected_Income_Actual_Index),SUMIF(OFFSET($G$10,,,,Projected_Income_Actual_Index*2),S$10,OFFSET($G16,,,,Projected_Income_Actual_Index*2))/Projected_Income_Actual_Index,0)</f>
        <v>0</v>
      </c>
      <c r="T16" s="3227">
        <f ca="1">IF(AND(Project_Income_Extrapolate,COUNTA($F$9:T$9)&gt;Projected_Income_Actual_Index),SUMIF(OFFSET($G$10,,,,Projected_Income_Actual_Index*2),T$10,OFFSET($G16,,,,Projected_Income_Actual_Index*2))/Projected_Income_Actual_Index,0)</f>
        <v>0</v>
      </c>
      <c r="U16" s="3227">
        <f ca="1">IF(AND(Project_Income_Extrapolate,COUNTA($F$9:U$9)&gt;Projected_Income_Actual_Index),SUMIF(OFFSET($G$10,,,,Projected_Income_Actual_Index*2),U$10,OFFSET($G16,,,,Projected_Income_Actual_Index*2))/Projected_Income_Actual_Index,0)</f>
        <v>0</v>
      </c>
      <c r="V16" s="3227">
        <f ca="1">IF(AND(Project_Income_Extrapolate,COUNTA($F$9:V$9)&gt;Projected_Income_Actual_Index),SUMIF(OFFSET($G$10,,,,Projected_Income_Actual_Index*2),V$10,OFFSET($G16,,,,Projected_Income_Actual_Index*2))/Projected_Income_Actual_Index,0)</f>
        <v>0</v>
      </c>
      <c r="W16" s="3227">
        <f ca="1">IF(AND(Project_Income_Extrapolate,COUNTA($F$9:W$9)&gt;Projected_Income_Actual_Index),SUMIF(OFFSET($G$10,,,,Projected_Income_Actual_Index*2),W$10,OFFSET($G16,,,,Projected_Income_Actual_Index*2))/Projected_Income_Actual_Index,0)</f>
        <v>0</v>
      </c>
      <c r="X16" s="3227">
        <f ca="1">IF(AND(Project_Income_Extrapolate,COUNTA($F$9:X$9)&gt;Projected_Income_Actual_Index),SUMIF(OFFSET($G$10,,,,Projected_Income_Actual_Index*2),X$10,OFFSET($G16,,,,Projected_Income_Actual_Index*2))/Projected_Income_Actual_Index,0)</f>
        <v>0</v>
      </c>
      <c r="Y16" s="3227">
        <f ca="1">IF(AND(Project_Income_Extrapolate,COUNTA($F$9:Y$9)&gt;Projected_Income_Actual_Index),SUMIF(OFFSET($G$10,,,,Projected_Income_Actual_Index*2),Y$10,OFFSET($G16,,,,Projected_Income_Actual_Index*2))/Projected_Income_Actual_Index,0)</f>
        <v>0</v>
      </c>
      <c r="Z16" s="3227">
        <f ca="1">IF(AND(Project_Income_Extrapolate,COUNTA($F$9:Z$9)&gt;Projected_Income_Actual_Index),SUMIF(OFFSET($G$10,,,,Projected_Income_Actual_Index*2),Z$10,OFFSET($G16,,,,Projected_Income_Actual_Index*2))/Projected_Income_Actual_Index,0)</f>
        <v>0</v>
      </c>
      <c r="AA16" s="3227">
        <f ca="1">IF(AND(Project_Income_Extrapolate,COUNTA($F$9:AA$9)&gt;Projected_Income_Actual_Index),SUMIF(OFFSET($G$10,,,,Projected_Income_Actual_Index*2),AA$10,OFFSET($G16,,,,Projected_Income_Actual_Index*2))/Projected_Income_Actual_Index,0)</f>
        <v>0</v>
      </c>
      <c r="AB16" s="3227">
        <f ca="1">IF(AND(Project_Income_Extrapolate,COUNTA($F$9:AB$9)&gt;Projected_Income_Actual_Index),SUMIF(OFFSET($G$10,,,,Projected_Income_Actual_Index*2),AB$10,OFFSET($G16,,,,Projected_Income_Actual_Index*2))/Projected_Income_Actual_Index,0)</f>
        <v>0</v>
      </c>
      <c r="AC16" s="3227">
        <f ca="1">IF(AND(Project_Income_Extrapolate,COUNTA($F$9:AC$9)&gt;Projected_Income_Actual_Index),SUMIF(OFFSET($G$10,,,,Projected_Income_Actual_Index*2),AC$10,OFFSET($G16,,,,Projected_Income_Actual_Index*2))/Projected_Income_Actual_Index,0)</f>
        <v>0</v>
      </c>
      <c r="AD16" s="3227">
        <f ca="1">IF(AND(Project_Income_Extrapolate,COUNTA($F$9:AD$9)&gt;Projected_Income_Actual_Index),SUMIF(OFFSET($G$10,,,,Projected_Income_Actual_Index*2),AD$10,OFFSET($G16,,,,Projected_Income_Actual_Index*2))/Projected_Income_Actual_Index,0)</f>
        <v>0</v>
      </c>
      <c r="AE16" s="3227">
        <f t="shared" ref="AE16:AE21" ca="1" si="1">SUMIF($G$10:$AD$10,AE$10,$G16:$AD16)</f>
        <v>0</v>
      </c>
      <c r="AF16" s="3227">
        <f t="shared" ca="1" si="0"/>
        <v>0</v>
      </c>
      <c r="AG16" s="2543">
        <f t="shared" ref="AG16:AG34" ca="1" si="2">SUM(AE16+AF16)-AH16-AI16</f>
        <v>0</v>
      </c>
      <c r="AH16" s="3227">
        <v>0</v>
      </c>
      <c r="AI16" s="3227">
        <v>0</v>
      </c>
      <c r="AJ16" s="3231">
        <v>0</v>
      </c>
      <c r="AK16" s="2548" t="s">
        <v>2280</v>
      </c>
      <c r="AL16" s="1111"/>
      <c r="AM16" s="1111"/>
      <c r="AQ16" s="3283">
        <f t="shared" ref="AQ16:AQ65" ca="1" si="3">AE16</f>
        <v>0</v>
      </c>
    </row>
    <row r="17" spans="1:44" s="1063" customFormat="1" ht="20.25">
      <c r="A17" s="979" t="s">
        <v>846</v>
      </c>
      <c r="C17" s="979"/>
      <c r="D17" s="979"/>
      <c r="E17" s="979"/>
      <c r="F17" s="979"/>
      <c r="G17" s="3227">
        <v>0</v>
      </c>
      <c r="H17" s="3227">
        <v>0</v>
      </c>
      <c r="I17" s="3227">
        <f ca="1">IF(AND(Project_Income_Extrapolate,COUNTA($F$9:I$9)&gt;Projected_Income_Actual_Index),SUMIF(OFFSET($G$10,,,,Projected_Income_Actual_Index*2),I$10,OFFSET($G17,,,,Projected_Income_Actual_Index*2))/Projected_Income_Actual_Index,0)</f>
        <v>0</v>
      </c>
      <c r="J17" s="3227">
        <f ca="1">IF(AND(Project_Income_Extrapolate,COUNTA($F$9:J$9)&gt;Projected_Income_Actual_Index),SUMIF(OFFSET($G$10,,,,Projected_Income_Actual_Index*2),J$10,OFFSET($G17,,,,Projected_Income_Actual_Index*2))/Projected_Income_Actual_Index,0)</f>
        <v>0</v>
      </c>
      <c r="K17" s="3227">
        <f ca="1">IF(AND(Project_Income_Extrapolate,COUNTA($F$9:K$9)&gt;Projected_Income_Actual_Index),SUMIF(OFFSET($G$10,,,,Projected_Income_Actual_Index*2),K$10,OFFSET($G17,,,,Projected_Income_Actual_Index*2))/Projected_Income_Actual_Index,0)</f>
        <v>0</v>
      </c>
      <c r="L17" s="3227">
        <f ca="1">IF(AND(Project_Income_Extrapolate,COUNTA($F$9:L$9)&gt;Projected_Income_Actual_Index),SUMIF(OFFSET($G$10,,,,Projected_Income_Actual_Index*2),L$10,OFFSET($G17,,,,Projected_Income_Actual_Index*2))/Projected_Income_Actual_Index,0)</f>
        <v>0</v>
      </c>
      <c r="M17" s="3227">
        <f ca="1">IF(AND(Project_Income_Extrapolate,COUNTA($F$9:M$9)&gt;Projected_Income_Actual_Index),SUMIF(OFFSET($G$10,,,,Projected_Income_Actual_Index*2),M$10,OFFSET($G17,,,,Projected_Income_Actual_Index*2))/Projected_Income_Actual_Index,0)</f>
        <v>0</v>
      </c>
      <c r="N17" s="3227">
        <f ca="1">IF(AND(Project_Income_Extrapolate,COUNTA($F$9:N$9)&gt;Projected_Income_Actual_Index),SUMIF(OFFSET($G$10,,,,Projected_Income_Actual_Index*2),N$10,OFFSET($G17,,,,Projected_Income_Actual_Index*2))/Projected_Income_Actual_Index,0)</f>
        <v>0</v>
      </c>
      <c r="O17" s="3227">
        <f ca="1">IF(AND(Project_Income_Extrapolate,COUNTA($F$9:O$9)&gt;Projected_Income_Actual_Index),SUMIF(OFFSET($G$10,,,,Projected_Income_Actual_Index*2),O$10,OFFSET($G17,,,,Projected_Income_Actual_Index*2))/Projected_Income_Actual_Index,0)</f>
        <v>0</v>
      </c>
      <c r="P17" s="3227">
        <f ca="1">IF(AND(Project_Income_Extrapolate,COUNTA($F$9:P$9)&gt;Projected_Income_Actual_Index),SUMIF(OFFSET($G$10,,,,Projected_Income_Actual_Index*2),P$10,OFFSET($G17,,,,Projected_Income_Actual_Index*2))/Projected_Income_Actual_Index,0)</f>
        <v>0</v>
      </c>
      <c r="Q17" s="3227">
        <f ca="1">IF(AND(Project_Income_Extrapolate,COUNTA($F$9:Q$9)&gt;Projected_Income_Actual_Index),SUMIF(OFFSET($G$10,,,,Projected_Income_Actual_Index*2),Q$10,OFFSET($G17,,,,Projected_Income_Actual_Index*2))/Projected_Income_Actual_Index,0)</f>
        <v>0</v>
      </c>
      <c r="R17" s="3227">
        <f ca="1">IF(AND(Project_Income_Extrapolate,COUNTA($F$9:R$9)&gt;Projected_Income_Actual_Index),SUMIF(OFFSET($G$10,,,,Projected_Income_Actual_Index*2),R$10,OFFSET($G17,,,,Projected_Income_Actual_Index*2))/Projected_Income_Actual_Index,0)</f>
        <v>0</v>
      </c>
      <c r="S17" s="3227">
        <f ca="1">IF(AND(Project_Income_Extrapolate,COUNTA($F$9:S$9)&gt;Projected_Income_Actual_Index),SUMIF(OFFSET($G$10,,,,Projected_Income_Actual_Index*2),S$10,OFFSET($G17,,,,Projected_Income_Actual_Index*2))/Projected_Income_Actual_Index,0)</f>
        <v>0</v>
      </c>
      <c r="T17" s="3227">
        <f ca="1">IF(AND(Project_Income_Extrapolate,COUNTA($F$9:T$9)&gt;Projected_Income_Actual_Index),SUMIF(OFFSET($G$10,,,,Projected_Income_Actual_Index*2),T$10,OFFSET($G17,,,,Projected_Income_Actual_Index*2))/Projected_Income_Actual_Index,0)</f>
        <v>0</v>
      </c>
      <c r="U17" s="3227">
        <f ca="1">IF(AND(Project_Income_Extrapolate,COUNTA($F$9:U$9)&gt;Projected_Income_Actual_Index),SUMIF(OFFSET($G$10,,,,Projected_Income_Actual_Index*2),U$10,OFFSET($G17,,,,Projected_Income_Actual_Index*2))/Projected_Income_Actual_Index,0)</f>
        <v>0</v>
      </c>
      <c r="V17" s="3227">
        <f ca="1">IF(AND(Project_Income_Extrapolate,COUNTA($F$9:V$9)&gt;Projected_Income_Actual_Index),SUMIF(OFFSET($G$10,,,,Projected_Income_Actual_Index*2),V$10,OFFSET($G17,,,,Projected_Income_Actual_Index*2))/Projected_Income_Actual_Index,0)</f>
        <v>0</v>
      </c>
      <c r="W17" s="3227">
        <f ca="1">IF(AND(Project_Income_Extrapolate,COUNTA($F$9:W$9)&gt;Projected_Income_Actual_Index),SUMIF(OFFSET($G$10,,,,Projected_Income_Actual_Index*2),W$10,OFFSET($G17,,,,Projected_Income_Actual_Index*2))/Projected_Income_Actual_Index,0)</f>
        <v>0</v>
      </c>
      <c r="X17" s="3227">
        <f ca="1">IF(AND(Project_Income_Extrapolate,COUNTA($F$9:X$9)&gt;Projected_Income_Actual_Index),SUMIF(OFFSET($G$10,,,,Projected_Income_Actual_Index*2),X$10,OFFSET($G17,,,,Projected_Income_Actual_Index*2))/Projected_Income_Actual_Index,0)</f>
        <v>0</v>
      </c>
      <c r="Y17" s="3227">
        <f ca="1">IF(AND(Project_Income_Extrapolate,COUNTA($F$9:Y$9)&gt;Projected_Income_Actual_Index),SUMIF(OFFSET($G$10,,,,Projected_Income_Actual_Index*2),Y$10,OFFSET($G17,,,,Projected_Income_Actual_Index*2))/Projected_Income_Actual_Index,0)</f>
        <v>0</v>
      </c>
      <c r="Z17" s="3227">
        <f ca="1">IF(AND(Project_Income_Extrapolate,COUNTA($F$9:Z$9)&gt;Projected_Income_Actual_Index),SUMIF(OFFSET($G$10,,,,Projected_Income_Actual_Index*2),Z$10,OFFSET($G17,,,,Projected_Income_Actual_Index*2))/Projected_Income_Actual_Index,0)</f>
        <v>0</v>
      </c>
      <c r="AA17" s="3227">
        <f ca="1">IF(AND(Project_Income_Extrapolate,COUNTA($F$9:AA$9)&gt;Projected_Income_Actual_Index),SUMIF(OFFSET($G$10,,,,Projected_Income_Actual_Index*2),AA$10,OFFSET($G17,,,,Projected_Income_Actual_Index*2))/Projected_Income_Actual_Index,0)</f>
        <v>0</v>
      </c>
      <c r="AB17" s="3227">
        <f ca="1">IF(AND(Project_Income_Extrapolate,COUNTA($F$9:AB$9)&gt;Projected_Income_Actual_Index),SUMIF(OFFSET($G$10,,,,Projected_Income_Actual_Index*2),AB$10,OFFSET($G17,,,,Projected_Income_Actual_Index*2))/Projected_Income_Actual_Index,0)</f>
        <v>0</v>
      </c>
      <c r="AC17" s="3227">
        <f ca="1">IF(AND(Project_Income_Extrapolate,COUNTA($F$9:AC$9)&gt;Projected_Income_Actual_Index),SUMIF(OFFSET($G$10,,,,Projected_Income_Actual_Index*2),AC$10,OFFSET($G17,,,,Projected_Income_Actual_Index*2))/Projected_Income_Actual_Index,0)</f>
        <v>0</v>
      </c>
      <c r="AD17" s="3227">
        <f ca="1">IF(AND(Project_Income_Extrapolate,COUNTA($F$9:AD$9)&gt;Projected_Income_Actual_Index),SUMIF(OFFSET($G$10,,,,Projected_Income_Actual_Index*2),AD$10,OFFSET($G17,,,,Projected_Income_Actual_Index*2))/Projected_Income_Actual_Index,0)</f>
        <v>0</v>
      </c>
      <c r="AE17" s="3227">
        <f t="shared" ca="1" si="1"/>
        <v>0</v>
      </c>
      <c r="AF17" s="3227">
        <f t="shared" ca="1" si="0"/>
        <v>0</v>
      </c>
      <c r="AG17" s="2543">
        <f t="shared" ca="1" si="2"/>
        <v>0</v>
      </c>
      <c r="AH17" s="3227">
        <v>0</v>
      </c>
      <c r="AI17" s="3227">
        <v>0</v>
      </c>
      <c r="AJ17" s="3231">
        <v>0</v>
      </c>
      <c r="AK17" s="2548" t="s">
        <v>2280</v>
      </c>
      <c r="AL17" s="1111"/>
      <c r="AM17" s="1111"/>
      <c r="AQ17" s="3283">
        <f t="shared" ca="1" si="3"/>
        <v>0</v>
      </c>
    </row>
    <row r="18" spans="1:44" s="1063" customFormat="1" ht="20.25">
      <c r="A18" s="979" t="s">
        <v>847</v>
      </c>
      <c r="C18" s="979"/>
      <c r="D18" s="979"/>
      <c r="E18" s="979"/>
      <c r="F18" s="979"/>
      <c r="G18" s="3227">
        <v>0</v>
      </c>
      <c r="H18" s="3227">
        <v>0</v>
      </c>
      <c r="I18" s="3227">
        <f ca="1">IF(AND(Project_Income_Extrapolate,COUNTA($F$9:I$9)&gt;Projected_Income_Actual_Index),SUMIF(OFFSET($G$10,,,,Projected_Income_Actual_Index*2),I$10,OFFSET($G18,,,,Projected_Income_Actual_Index*2))/Projected_Income_Actual_Index,0)</f>
        <v>0</v>
      </c>
      <c r="J18" s="3227">
        <f ca="1">IF(AND(Project_Income_Extrapolate,COUNTA($F$9:J$9)&gt;Projected_Income_Actual_Index),SUMIF(OFFSET($G$10,,,,Projected_Income_Actual_Index*2),J$10,OFFSET($G18,,,,Projected_Income_Actual_Index*2))/Projected_Income_Actual_Index,0)</f>
        <v>0</v>
      </c>
      <c r="K18" s="3227">
        <f ca="1">IF(AND(Project_Income_Extrapolate,COUNTA($F$9:K$9)&gt;Projected_Income_Actual_Index),SUMIF(OFFSET($G$10,,,,Projected_Income_Actual_Index*2),K$10,OFFSET($G18,,,,Projected_Income_Actual_Index*2))/Projected_Income_Actual_Index,0)</f>
        <v>0</v>
      </c>
      <c r="L18" s="3227">
        <f ca="1">IF(AND(Project_Income_Extrapolate,COUNTA($F$9:L$9)&gt;Projected_Income_Actual_Index),SUMIF(OFFSET($G$10,,,,Projected_Income_Actual_Index*2),L$10,OFFSET($G18,,,,Projected_Income_Actual_Index*2))/Projected_Income_Actual_Index,0)</f>
        <v>0</v>
      </c>
      <c r="M18" s="3227">
        <f ca="1">IF(AND(Project_Income_Extrapolate,COUNTA($F$9:M$9)&gt;Projected_Income_Actual_Index),SUMIF(OFFSET($G$10,,,,Projected_Income_Actual_Index*2),M$10,OFFSET($G18,,,,Projected_Income_Actual_Index*2))/Projected_Income_Actual_Index,0)</f>
        <v>0</v>
      </c>
      <c r="N18" s="3227">
        <f ca="1">IF(AND(Project_Income_Extrapolate,COUNTA($F$9:N$9)&gt;Projected_Income_Actual_Index),SUMIF(OFFSET($G$10,,,,Projected_Income_Actual_Index*2),N$10,OFFSET($G18,,,,Projected_Income_Actual_Index*2))/Projected_Income_Actual_Index,0)</f>
        <v>0</v>
      </c>
      <c r="O18" s="3227">
        <f ca="1">IF(AND(Project_Income_Extrapolate,COUNTA($F$9:O$9)&gt;Projected_Income_Actual_Index),SUMIF(OFFSET($G$10,,,,Projected_Income_Actual_Index*2),O$10,OFFSET($G18,,,,Projected_Income_Actual_Index*2))/Projected_Income_Actual_Index,0)</f>
        <v>0</v>
      </c>
      <c r="P18" s="3227">
        <f ca="1">IF(AND(Project_Income_Extrapolate,COUNTA($F$9:P$9)&gt;Projected_Income_Actual_Index),SUMIF(OFFSET($G$10,,,,Projected_Income_Actual_Index*2),P$10,OFFSET($G18,,,,Projected_Income_Actual_Index*2))/Projected_Income_Actual_Index,0)</f>
        <v>0</v>
      </c>
      <c r="Q18" s="3227">
        <f ca="1">IF(AND(Project_Income_Extrapolate,COUNTA($F$9:Q$9)&gt;Projected_Income_Actual_Index),SUMIF(OFFSET($G$10,,,,Projected_Income_Actual_Index*2),Q$10,OFFSET($G18,,,,Projected_Income_Actual_Index*2))/Projected_Income_Actual_Index,0)</f>
        <v>0</v>
      </c>
      <c r="R18" s="3227">
        <f ca="1">IF(AND(Project_Income_Extrapolate,COUNTA($F$9:R$9)&gt;Projected_Income_Actual_Index),SUMIF(OFFSET($G$10,,,,Projected_Income_Actual_Index*2),R$10,OFFSET($G18,,,,Projected_Income_Actual_Index*2))/Projected_Income_Actual_Index,0)</f>
        <v>0</v>
      </c>
      <c r="S18" s="3227">
        <f ca="1">IF(AND(Project_Income_Extrapolate,COUNTA($F$9:S$9)&gt;Projected_Income_Actual_Index),SUMIF(OFFSET($G$10,,,,Projected_Income_Actual_Index*2),S$10,OFFSET($G18,,,,Projected_Income_Actual_Index*2))/Projected_Income_Actual_Index,0)</f>
        <v>0</v>
      </c>
      <c r="T18" s="3227">
        <f ca="1">IF(AND(Project_Income_Extrapolate,COUNTA($F$9:T$9)&gt;Projected_Income_Actual_Index),SUMIF(OFFSET($G$10,,,,Projected_Income_Actual_Index*2),T$10,OFFSET($G18,,,,Projected_Income_Actual_Index*2))/Projected_Income_Actual_Index,0)</f>
        <v>0</v>
      </c>
      <c r="U18" s="3227">
        <f ca="1">IF(AND(Project_Income_Extrapolate,COUNTA($F$9:U$9)&gt;Projected_Income_Actual_Index),SUMIF(OFFSET($G$10,,,,Projected_Income_Actual_Index*2),U$10,OFFSET($G18,,,,Projected_Income_Actual_Index*2))/Projected_Income_Actual_Index,0)</f>
        <v>0</v>
      </c>
      <c r="V18" s="3227">
        <f ca="1">IF(AND(Project_Income_Extrapolate,COUNTA($F$9:V$9)&gt;Projected_Income_Actual_Index),SUMIF(OFFSET($G$10,,,,Projected_Income_Actual_Index*2),V$10,OFFSET($G18,,,,Projected_Income_Actual_Index*2))/Projected_Income_Actual_Index,0)</f>
        <v>0</v>
      </c>
      <c r="W18" s="3227">
        <f ca="1">IF(AND(Project_Income_Extrapolate,COUNTA($F$9:W$9)&gt;Projected_Income_Actual_Index),SUMIF(OFFSET($G$10,,,,Projected_Income_Actual_Index*2),W$10,OFFSET($G18,,,,Projected_Income_Actual_Index*2))/Projected_Income_Actual_Index,0)</f>
        <v>0</v>
      </c>
      <c r="X18" s="3227">
        <f ca="1">IF(AND(Project_Income_Extrapolate,COUNTA($F$9:X$9)&gt;Projected_Income_Actual_Index),SUMIF(OFFSET($G$10,,,,Projected_Income_Actual_Index*2),X$10,OFFSET($G18,,,,Projected_Income_Actual_Index*2))/Projected_Income_Actual_Index,0)</f>
        <v>0</v>
      </c>
      <c r="Y18" s="3227">
        <f ca="1">IF(AND(Project_Income_Extrapolate,COUNTA($F$9:Y$9)&gt;Projected_Income_Actual_Index),SUMIF(OFFSET($G$10,,,,Projected_Income_Actual_Index*2),Y$10,OFFSET($G18,,,,Projected_Income_Actual_Index*2))/Projected_Income_Actual_Index,0)</f>
        <v>0</v>
      </c>
      <c r="Z18" s="3227">
        <f ca="1">IF(AND(Project_Income_Extrapolate,COUNTA($F$9:Z$9)&gt;Projected_Income_Actual_Index),SUMIF(OFFSET($G$10,,,,Projected_Income_Actual_Index*2),Z$10,OFFSET($G18,,,,Projected_Income_Actual_Index*2))/Projected_Income_Actual_Index,0)</f>
        <v>0</v>
      </c>
      <c r="AA18" s="3227">
        <f ca="1">IF(AND(Project_Income_Extrapolate,COUNTA($F$9:AA$9)&gt;Projected_Income_Actual_Index),SUMIF(OFFSET($G$10,,,,Projected_Income_Actual_Index*2),AA$10,OFFSET($G18,,,,Projected_Income_Actual_Index*2))/Projected_Income_Actual_Index,0)</f>
        <v>0</v>
      </c>
      <c r="AB18" s="3227">
        <f ca="1">IF(AND(Project_Income_Extrapolate,COUNTA($F$9:AB$9)&gt;Projected_Income_Actual_Index),SUMIF(OFFSET($G$10,,,,Projected_Income_Actual_Index*2),AB$10,OFFSET($G18,,,,Projected_Income_Actual_Index*2))/Projected_Income_Actual_Index,0)</f>
        <v>0</v>
      </c>
      <c r="AC18" s="3227">
        <f ca="1">IF(AND(Project_Income_Extrapolate,COUNTA($F$9:AC$9)&gt;Projected_Income_Actual_Index),SUMIF(OFFSET($G$10,,,,Projected_Income_Actual_Index*2),AC$10,OFFSET($G18,,,,Projected_Income_Actual_Index*2))/Projected_Income_Actual_Index,0)</f>
        <v>0</v>
      </c>
      <c r="AD18" s="3227">
        <f ca="1">IF(AND(Project_Income_Extrapolate,COUNTA($F$9:AD$9)&gt;Projected_Income_Actual_Index),SUMIF(OFFSET($G$10,,,,Projected_Income_Actual_Index*2),AD$10,OFFSET($G18,,,,Projected_Income_Actual_Index*2))/Projected_Income_Actual_Index,0)</f>
        <v>0</v>
      </c>
      <c r="AE18" s="3227">
        <f t="shared" ca="1" si="1"/>
        <v>0</v>
      </c>
      <c r="AF18" s="3227">
        <f t="shared" ca="1" si="0"/>
        <v>0</v>
      </c>
      <c r="AG18" s="2543">
        <f t="shared" ca="1" si="2"/>
        <v>0</v>
      </c>
      <c r="AH18" s="3227">
        <v>0</v>
      </c>
      <c r="AI18" s="3227">
        <v>0</v>
      </c>
      <c r="AJ18" s="3231">
        <v>0</v>
      </c>
      <c r="AK18" s="2548" t="s">
        <v>2280</v>
      </c>
      <c r="AL18" s="1111"/>
      <c r="AM18" s="1111"/>
      <c r="AQ18" s="3283">
        <f t="shared" ca="1" si="3"/>
        <v>0</v>
      </c>
    </row>
    <row r="19" spans="1:44" s="1063" customFormat="1" ht="20.25">
      <c r="A19" s="979" t="s">
        <v>848</v>
      </c>
      <c r="C19" s="979"/>
      <c r="D19" s="979"/>
      <c r="E19" s="979"/>
      <c r="F19" s="979"/>
      <c r="G19" s="3227">
        <v>0</v>
      </c>
      <c r="H19" s="3227">
        <v>0</v>
      </c>
      <c r="I19" s="3227">
        <f ca="1">IF(AND(Project_Income_Extrapolate,COUNTA($F$9:I$9)&gt;Projected_Income_Actual_Index),SUMIF(OFFSET($G$10,,,,Projected_Income_Actual_Index*2),I$10,OFFSET($G19,,,,Projected_Income_Actual_Index*2))/Projected_Income_Actual_Index,0)</f>
        <v>0</v>
      </c>
      <c r="J19" s="3227">
        <f ca="1">IF(AND(Project_Income_Extrapolate,COUNTA($F$9:J$9)&gt;Projected_Income_Actual_Index),SUMIF(OFFSET($G$10,,,,Projected_Income_Actual_Index*2),J$10,OFFSET($G19,,,,Projected_Income_Actual_Index*2))/Projected_Income_Actual_Index,0)</f>
        <v>0</v>
      </c>
      <c r="K19" s="3227">
        <f ca="1">IF(AND(Project_Income_Extrapolate,COUNTA($F$9:K$9)&gt;Projected_Income_Actual_Index),SUMIF(OFFSET($G$10,,,,Projected_Income_Actual_Index*2),K$10,OFFSET($G19,,,,Projected_Income_Actual_Index*2))/Projected_Income_Actual_Index,0)</f>
        <v>0</v>
      </c>
      <c r="L19" s="3227">
        <f ca="1">IF(AND(Project_Income_Extrapolate,COUNTA($F$9:L$9)&gt;Projected_Income_Actual_Index),SUMIF(OFFSET($G$10,,,,Projected_Income_Actual_Index*2),L$10,OFFSET($G19,,,,Projected_Income_Actual_Index*2))/Projected_Income_Actual_Index,0)</f>
        <v>0</v>
      </c>
      <c r="M19" s="3227">
        <f ca="1">IF(AND(Project_Income_Extrapolate,COUNTA($F$9:M$9)&gt;Projected_Income_Actual_Index),SUMIF(OFFSET($G$10,,,,Projected_Income_Actual_Index*2),M$10,OFFSET($G19,,,,Projected_Income_Actual_Index*2))/Projected_Income_Actual_Index,0)</f>
        <v>0</v>
      </c>
      <c r="N19" s="3227">
        <f ca="1">IF(AND(Project_Income_Extrapolate,COUNTA($F$9:N$9)&gt;Projected_Income_Actual_Index),SUMIF(OFFSET($G$10,,,,Projected_Income_Actual_Index*2),N$10,OFFSET($G19,,,,Projected_Income_Actual_Index*2))/Projected_Income_Actual_Index,0)</f>
        <v>0</v>
      </c>
      <c r="O19" s="3227">
        <f ca="1">IF(AND(Project_Income_Extrapolate,COUNTA($F$9:O$9)&gt;Projected_Income_Actual_Index),SUMIF(OFFSET($G$10,,,,Projected_Income_Actual_Index*2),O$10,OFFSET($G19,,,,Projected_Income_Actual_Index*2))/Projected_Income_Actual_Index,0)</f>
        <v>0</v>
      </c>
      <c r="P19" s="3227">
        <f ca="1">IF(AND(Project_Income_Extrapolate,COUNTA($F$9:P$9)&gt;Projected_Income_Actual_Index),SUMIF(OFFSET($G$10,,,,Projected_Income_Actual_Index*2),P$10,OFFSET($G19,,,,Projected_Income_Actual_Index*2))/Projected_Income_Actual_Index,0)</f>
        <v>0</v>
      </c>
      <c r="Q19" s="3227">
        <f ca="1">IF(AND(Project_Income_Extrapolate,COUNTA($F$9:Q$9)&gt;Projected_Income_Actual_Index),SUMIF(OFFSET($G$10,,,,Projected_Income_Actual_Index*2),Q$10,OFFSET($G19,,,,Projected_Income_Actual_Index*2))/Projected_Income_Actual_Index,0)</f>
        <v>0</v>
      </c>
      <c r="R19" s="3227">
        <f ca="1">IF(AND(Project_Income_Extrapolate,COUNTA($F$9:R$9)&gt;Projected_Income_Actual_Index),SUMIF(OFFSET($G$10,,,,Projected_Income_Actual_Index*2),R$10,OFFSET($G19,,,,Projected_Income_Actual_Index*2))/Projected_Income_Actual_Index,0)</f>
        <v>0</v>
      </c>
      <c r="S19" s="3227">
        <f ca="1">IF(AND(Project_Income_Extrapolate,COUNTA($F$9:S$9)&gt;Projected_Income_Actual_Index),SUMIF(OFFSET($G$10,,,,Projected_Income_Actual_Index*2),S$10,OFFSET($G19,,,,Projected_Income_Actual_Index*2))/Projected_Income_Actual_Index,0)</f>
        <v>0</v>
      </c>
      <c r="T19" s="3227">
        <f ca="1">IF(AND(Project_Income_Extrapolate,COUNTA($F$9:T$9)&gt;Projected_Income_Actual_Index),SUMIF(OFFSET($G$10,,,,Projected_Income_Actual_Index*2),T$10,OFFSET($G19,,,,Projected_Income_Actual_Index*2))/Projected_Income_Actual_Index,0)</f>
        <v>0</v>
      </c>
      <c r="U19" s="3227">
        <f ca="1">IF(AND(Project_Income_Extrapolate,COUNTA($F$9:U$9)&gt;Projected_Income_Actual_Index),SUMIF(OFFSET($G$10,,,,Projected_Income_Actual_Index*2),U$10,OFFSET($G19,,,,Projected_Income_Actual_Index*2))/Projected_Income_Actual_Index,0)</f>
        <v>0</v>
      </c>
      <c r="V19" s="3227">
        <f ca="1">IF(AND(Project_Income_Extrapolate,COUNTA($F$9:V$9)&gt;Projected_Income_Actual_Index),SUMIF(OFFSET($G$10,,,,Projected_Income_Actual_Index*2),V$10,OFFSET($G19,,,,Projected_Income_Actual_Index*2))/Projected_Income_Actual_Index,0)</f>
        <v>0</v>
      </c>
      <c r="W19" s="3227">
        <f ca="1">IF(AND(Project_Income_Extrapolate,COUNTA($F$9:W$9)&gt;Projected_Income_Actual_Index),SUMIF(OFFSET($G$10,,,,Projected_Income_Actual_Index*2),W$10,OFFSET($G19,,,,Projected_Income_Actual_Index*2))/Projected_Income_Actual_Index,0)</f>
        <v>0</v>
      </c>
      <c r="X19" s="3227">
        <f ca="1">IF(AND(Project_Income_Extrapolate,COUNTA($F$9:X$9)&gt;Projected_Income_Actual_Index),SUMIF(OFFSET($G$10,,,,Projected_Income_Actual_Index*2),X$10,OFFSET($G19,,,,Projected_Income_Actual_Index*2))/Projected_Income_Actual_Index,0)</f>
        <v>0</v>
      </c>
      <c r="Y19" s="3227">
        <f ca="1">IF(AND(Project_Income_Extrapolate,COUNTA($F$9:Y$9)&gt;Projected_Income_Actual_Index),SUMIF(OFFSET($G$10,,,,Projected_Income_Actual_Index*2),Y$10,OFFSET($G19,,,,Projected_Income_Actual_Index*2))/Projected_Income_Actual_Index,0)</f>
        <v>0</v>
      </c>
      <c r="Z19" s="3227">
        <f ca="1">IF(AND(Project_Income_Extrapolate,COUNTA($F$9:Z$9)&gt;Projected_Income_Actual_Index),SUMIF(OFFSET($G$10,,,,Projected_Income_Actual_Index*2),Z$10,OFFSET($G19,,,,Projected_Income_Actual_Index*2))/Projected_Income_Actual_Index,0)</f>
        <v>0</v>
      </c>
      <c r="AA19" s="3227">
        <f ca="1">IF(AND(Project_Income_Extrapolate,COUNTA($F$9:AA$9)&gt;Projected_Income_Actual_Index),SUMIF(OFFSET($G$10,,,,Projected_Income_Actual_Index*2),AA$10,OFFSET($G19,,,,Projected_Income_Actual_Index*2))/Projected_Income_Actual_Index,0)</f>
        <v>0</v>
      </c>
      <c r="AB19" s="3227">
        <f ca="1">IF(AND(Project_Income_Extrapolate,COUNTA($F$9:AB$9)&gt;Projected_Income_Actual_Index),SUMIF(OFFSET($G$10,,,,Projected_Income_Actual_Index*2),AB$10,OFFSET($G19,,,,Projected_Income_Actual_Index*2))/Projected_Income_Actual_Index,0)</f>
        <v>0</v>
      </c>
      <c r="AC19" s="3227">
        <f ca="1">IF(AND(Project_Income_Extrapolate,COUNTA($F$9:AC$9)&gt;Projected_Income_Actual_Index),SUMIF(OFFSET($G$10,,,,Projected_Income_Actual_Index*2),AC$10,OFFSET($G19,,,,Projected_Income_Actual_Index*2))/Projected_Income_Actual_Index,0)</f>
        <v>0</v>
      </c>
      <c r="AD19" s="3227">
        <f ca="1">IF(AND(Project_Income_Extrapolate,COUNTA($F$9:AD$9)&gt;Projected_Income_Actual_Index),SUMIF(OFFSET($G$10,,,,Projected_Income_Actual_Index*2),AD$10,OFFSET($G19,,,,Projected_Income_Actual_Index*2))/Projected_Income_Actual_Index,0)</f>
        <v>0</v>
      </c>
      <c r="AE19" s="3227">
        <f t="shared" ca="1" si="1"/>
        <v>0</v>
      </c>
      <c r="AF19" s="3227">
        <f t="shared" ca="1" si="0"/>
        <v>0</v>
      </c>
      <c r="AG19" s="2543">
        <f t="shared" ca="1" si="2"/>
        <v>0</v>
      </c>
      <c r="AH19" s="3227">
        <v>0</v>
      </c>
      <c r="AI19" s="3227">
        <v>0</v>
      </c>
      <c r="AJ19" s="3231">
        <v>0</v>
      </c>
      <c r="AK19" s="2548" t="s">
        <v>2280</v>
      </c>
      <c r="AL19" s="1111"/>
      <c r="AM19" s="1111"/>
      <c r="AQ19" s="3283">
        <f t="shared" ca="1" si="3"/>
        <v>0</v>
      </c>
    </row>
    <row r="20" spans="1:44" s="1063" customFormat="1" ht="20.25">
      <c r="A20" s="979" t="s">
        <v>849</v>
      </c>
      <c r="C20" s="979"/>
      <c r="D20" s="979"/>
      <c r="E20" s="979"/>
      <c r="F20" s="979"/>
      <c r="G20" s="3227">
        <v>0</v>
      </c>
      <c r="H20" s="3227">
        <v>0</v>
      </c>
      <c r="I20" s="3227">
        <f ca="1">IF(AND(Project_Income_Extrapolate,COUNTA($F$9:I$9)&gt;Projected_Income_Actual_Index),SUMIF(OFFSET($G$10,,,,Projected_Income_Actual_Index*2),I$10,OFFSET($G20,,,,Projected_Income_Actual_Index*2))/Projected_Income_Actual_Index,0)</f>
        <v>0</v>
      </c>
      <c r="J20" s="3227">
        <f ca="1">IF(AND(Project_Income_Extrapolate,COUNTA($F$9:J$9)&gt;Projected_Income_Actual_Index),SUMIF(OFFSET($G$10,,,,Projected_Income_Actual_Index*2),J$10,OFFSET($G20,,,,Projected_Income_Actual_Index*2))/Projected_Income_Actual_Index,0)</f>
        <v>0</v>
      </c>
      <c r="K20" s="3227">
        <f ca="1">IF(AND(Project_Income_Extrapolate,COUNTA($F$9:K$9)&gt;Projected_Income_Actual_Index),SUMIF(OFFSET($G$10,,,,Projected_Income_Actual_Index*2),K$10,OFFSET($G20,,,,Projected_Income_Actual_Index*2))/Projected_Income_Actual_Index,0)</f>
        <v>0</v>
      </c>
      <c r="L20" s="3227">
        <f ca="1">IF(AND(Project_Income_Extrapolate,COUNTA($F$9:L$9)&gt;Projected_Income_Actual_Index),SUMIF(OFFSET($G$10,,,,Projected_Income_Actual_Index*2),L$10,OFFSET($G20,,,,Projected_Income_Actual_Index*2))/Projected_Income_Actual_Index,0)</f>
        <v>0</v>
      </c>
      <c r="M20" s="3227">
        <f ca="1">IF(AND(Project_Income_Extrapolate,COUNTA($F$9:M$9)&gt;Projected_Income_Actual_Index),SUMIF(OFFSET($G$10,,,,Projected_Income_Actual_Index*2),M$10,OFFSET($G20,,,,Projected_Income_Actual_Index*2))/Projected_Income_Actual_Index,0)</f>
        <v>0</v>
      </c>
      <c r="N20" s="3227">
        <f ca="1">IF(AND(Project_Income_Extrapolate,COUNTA($F$9:N$9)&gt;Projected_Income_Actual_Index),SUMIF(OFFSET($G$10,,,,Projected_Income_Actual_Index*2),N$10,OFFSET($G20,,,,Projected_Income_Actual_Index*2))/Projected_Income_Actual_Index,0)</f>
        <v>0</v>
      </c>
      <c r="O20" s="3227">
        <f ca="1">IF(AND(Project_Income_Extrapolate,COUNTA($F$9:O$9)&gt;Projected_Income_Actual_Index),SUMIF(OFFSET($G$10,,,,Projected_Income_Actual_Index*2),O$10,OFFSET($G20,,,,Projected_Income_Actual_Index*2))/Projected_Income_Actual_Index,0)</f>
        <v>0</v>
      </c>
      <c r="P20" s="3227">
        <f ca="1">IF(AND(Project_Income_Extrapolate,COUNTA($F$9:P$9)&gt;Projected_Income_Actual_Index),SUMIF(OFFSET($G$10,,,,Projected_Income_Actual_Index*2),P$10,OFFSET($G20,,,,Projected_Income_Actual_Index*2))/Projected_Income_Actual_Index,0)</f>
        <v>0</v>
      </c>
      <c r="Q20" s="3227">
        <f ca="1">IF(AND(Project_Income_Extrapolate,COUNTA($F$9:Q$9)&gt;Projected_Income_Actual_Index),SUMIF(OFFSET($G$10,,,,Projected_Income_Actual_Index*2),Q$10,OFFSET($G20,,,,Projected_Income_Actual_Index*2))/Projected_Income_Actual_Index,0)</f>
        <v>0</v>
      </c>
      <c r="R20" s="3227">
        <f ca="1">IF(AND(Project_Income_Extrapolate,COUNTA($F$9:R$9)&gt;Projected_Income_Actual_Index),SUMIF(OFFSET($G$10,,,,Projected_Income_Actual_Index*2),R$10,OFFSET($G20,,,,Projected_Income_Actual_Index*2))/Projected_Income_Actual_Index,0)</f>
        <v>0</v>
      </c>
      <c r="S20" s="3227">
        <f ca="1">IF(AND(Project_Income_Extrapolate,COUNTA($F$9:S$9)&gt;Projected_Income_Actual_Index),SUMIF(OFFSET($G$10,,,,Projected_Income_Actual_Index*2),S$10,OFFSET($G20,,,,Projected_Income_Actual_Index*2))/Projected_Income_Actual_Index,0)</f>
        <v>0</v>
      </c>
      <c r="T20" s="3227">
        <f ca="1">IF(AND(Project_Income_Extrapolate,COUNTA($F$9:T$9)&gt;Projected_Income_Actual_Index),SUMIF(OFFSET($G$10,,,,Projected_Income_Actual_Index*2),T$10,OFFSET($G20,,,,Projected_Income_Actual_Index*2))/Projected_Income_Actual_Index,0)</f>
        <v>0</v>
      </c>
      <c r="U20" s="3227">
        <f ca="1">IF(AND(Project_Income_Extrapolate,COUNTA($F$9:U$9)&gt;Projected_Income_Actual_Index),SUMIF(OFFSET($G$10,,,,Projected_Income_Actual_Index*2),U$10,OFFSET($G20,,,,Projected_Income_Actual_Index*2))/Projected_Income_Actual_Index,0)</f>
        <v>0</v>
      </c>
      <c r="V20" s="3227">
        <f ca="1">IF(AND(Project_Income_Extrapolate,COUNTA($F$9:V$9)&gt;Projected_Income_Actual_Index),SUMIF(OFFSET($G$10,,,,Projected_Income_Actual_Index*2),V$10,OFFSET($G20,,,,Projected_Income_Actual_Index*2))/Projected_Income_Actual_Index,0)</f>
        <v>0</v>
      </c>
      <c r="W20" s="3227">
        <f ca="1">IF(AND(Project_Income_Extrapolate,COUNTA($F$9:W$9)&gt;Projected_Income_Actual_Index),SUMIF(OFFSET($G$10,,,,Projected_Income_Actual_Index*2),W$10,OFFSET($G20,,,,Projected_Income_Actual_Index*2))/Projected_Income_Actual_Index,0)</f>
        <v>0</v>
      </c>
      <c r="X20" s="3227">
        <f ca="1">IF(AND(Project_Income_Extrapolate,COUNTA($F$9:X$9)&gt;Projected_Income_Actual_Index),SUMIF(OFFSET($G$10,,,,Projected_Income_Actual_Index*2),X$10,OFFSET($G20,,,,Projected_Income_Actual_Index*2))/Projected_Income_Actual_Index,0)</f>
        <v>0</v>
      </c>
      <c r="Y20" s="3227">
        <f ca="1">IF(AND(Project_Income_Extrapolate,COUNTA($F$9:Y$9)&gt;Projected_Income_Actual_Index),SUMIF(OFFSET($G$10,,,,Projected_Income_Actual_Index*2),Y$10,OFFSET($G20,,,,Projected_Income_Actual_Index*2))/Projected_Income_Actual_Index,0)</f>
        <v>0</v>
      </c>
      <c r="Z20" s="3227">
        <f ca="1">IF(AND(Project_Income_Extrapolate,COUNTA($F$9:Z$9)&gt;Projected_Income_Actual_Index),SUMIF(OFFSET($G$10,,,,Projected_Income_Actual_Index*2),Z$10,OFFSET($G20,,,,Projected_Income_Actual_Index*2))/Projected_Income_Actual_Index,0)</f>
        <v>0</v>
      </c>
      <c r="AA20" s="3227">
        <f ca="1">IF(AND(Project_Income_Extrapolate,COUNTA($F$9:AA$9)&gt;Projected_Income_Actual_Index),SUMIF(OFFSET($G$10,,,,Projected_Income_Actual_Index*2),AA$10,OFFSET($G20,,,,Projected_Income_Actual_Index*2))/Projected_Income_Actual_Index,0)</f>
        <v>0</v>
      </c>
      <c r="AB20" s="3227">
        <f ca="1">IF(AND(Project_Income_Extrapolate,COUNTA($F$9:AB$9)&gt;Projected_Income_Actual_Index),SUMIF(OFFSET($G$10,,,,Projected_Income_Actual_Index*2),AB$10,OFFSET($G20,,,,Projected_Income_Actual_Index*2))/Projected_Income_Actual_Index,0)</f>
        <v>0</v>
      </c>
      <c r="AC20" s="3227">
        <f ca="1">IF(AND(Project_Income_Extrapolate,COUNTA($F$9:AC$9)&gt;Projected_Income_Actual_Index),SUMIF(OFFSET($G$10,,,,Projected_Income_Actual_Index*2),AC$10,OFFSET($G20,,,,Projected_Income_Actual_Index*2))/Projected_Income_Actual_Index,0)</f>
        <v>0</v>
      </c>
      <c r="AD20" s="3227">
        <f ca="1">IF(AND(Project_Income_Extrapolate,COUNTA($F$9:AD$9)&gt;Projected_Income_Actual_Index),SUMIF(OFFSET($G$10,,,,Projected_Income_Actual_Index*2),AD$10,OFFSET($G20,,,,Projected_Income_Actual_Index*2))/Projected_Income_Actual_Index,0)</f>
        <v>0</v>
      </c>
      <c r="AE20" s="3227">
        <f t="shared" ca="1" si="1"/>
        <v>0</v>
      </c>
      <c r="AF20" s="3227">
        <f t="shared" ca="1" si="0"/>
        <v>0</v>
      </c>
      <c r="AG20" s="2543">
        <f t="shared" ca="1" si="2"/>
        <v>0</v>
      </c>
      <c r="AH20" s="3227">
        <v>0</v>
      </c>
      <c r="AI20" s="3227">
        <v>0</v>
      </c>
      <c r="AJ20" s="3231">
        <v>0</v>
      </c>
      <c r="AK20" s="2548" t="s">
        <v>2280</v>
      </c>
      <c r="AL20" s="1111"/>
      <c r="AM20" s="1111"/>
      <c r="AQ20" s="3283">
        <f t="shared" ca="1" si="3"/>
        <v>0</v>
      </c>
    </row>
    <row r="21" spans="1:44" s="1063" customFormat="1" ht="20.25">
      <c r="A21" s="979" t="s">
        <v>850</v>
      </c>
      <c r="C21" s="979"/>
      <c r="D21" s="979"/>
      <c r="E21" s="979"/>
      <c r="F21" s="979"/>
      <c r="G21" s="3227">
        <v>0</v>
      </c>
      <c r="H21" s="3227">
        <v>0</v>
      </c>
      <c r="I21" s="3227">
        <f ca="1">IF(AND(Project_Income_Extrapolate,COUNTA($F$9:I$9)&gt;Projected_Income_Actual_Index),SUMIF(OFFSET($G$10,,,,Projected_Income_Actual_Index*2),I$10,OFFSET($G21,,,,Projected_Income_Actual_Index*2))/Projected_Income_Actual_Index,0)</f>
        <v>0</v>
      </c>
      <c r="J21" s="3227">
        <f ca="1">IF(AND(Project_Income_Extrapolate,COUNTA($F$9:J$9)&gt;Projected_Income_Actual_Index),SUMIF(OFFSET($G$10,,,,Projected_Income_Actual_Index*2),J$10,OFFSET($G21,,,,Projected_Income_Actual_Index*2))/Projected_Income_Actual_Index,0)</f>
        <v>0</v>
      </c>
      <c r="K21" s="3227">
        <f ca="1">IF(AND(Project_Income_Extrapolate,COUNTA($F$9:K$9)&gt;Projected_Income_Actual_Index),SUMIF(OFFSET($G$10,,,,Projected_Income_Actual_Index*2),K$10,OFFSET($G21,,,,Projected_Income_Actual_Index*2))/Projected_Income_Actual_Index,0)</f>
        <v>0</v>
      </c>
      <c r="L21" s="3227">
        <f ca="1">IF(AND(Project_Income_Extrapolate,COUNTA($F$9:L$9)&gt;Projected_Income_Actual_Index),SUMIF(OFFSET($G$10,,,,Projected_Income_Actual_Index*2),L$10,OFFSET($G21,,,,Projected_Income_Actual_Index*2))/Projected_Income_Actual_Index,0)</f>
        <v>0</v>
      </c>
      <c r="M21" s="3227">
        <f ca="1">IF(AND(Project_Income_Extrapolate,COUNTA($F$9:M$9)&gt;Projected_Income_Actual_Index),SUMIF(OFFSET($G$10,,,,Projected_Income_Actual_Index*2),M$10,OFFSET($G21,,,,Projected_Income_Actual_Index*2))/Projected_Income_Actual_Index,0)</f>
        <v>0</v>
      </c>
      <c r="N21" s="3227">
        <f ca="1">IF(AND(Project_Income_Extrapolate,COUNTA($F$9:N$9)&gt;Projected_Income_Actual_Index),SUMIF(OFFSET($G$10,,,,Projected_Income_Actual_Index*2),N$10,OFFSET($G21,,,,Projected_Income_Actual_Index*2))/Projected_Income_Actual_Index,0)</f>
        <v>0</v>
      </c>
      <c r="O21" s="3227">
        <f ca="1">IF(AND(Project_Income_Extrapolate,COUNTA($F$9:O$9)&gt;Projected_Income_Actual_Index),SUMIF(OFFSET($G$10,,,,Projected_Income_Actual_Index*2),O$10,OFFSET($G21,,,,Projected_Income_Actual_Index*2))/Projected_Income_Actual_Index,0)</f>
        <v>0</v>
      </c>
      <c r="P21" s="3227">
        <f ca="1">IF(AND(Project_Income_Extrapolate,COUNTA($F$9:P$9)&gt;Projected_Income_Actual_Index),SUMIF(OFFSET($G$10,,,,Projected_Income_Actual_Index*2),P$10,OFFSET($G21,,,,Projected_Income_Actual_Index*2))/Projected_Income_Actual_Index,0)</f>
        <v>0</v>
      </c>
      <c r="Q21" s="3227">
        <f ca="1">IF(AND(Project_Income_Extrapolate,COUNTA($F$9:Q$9)&gt;Projected_Income_Actual_Index),SUMIF(OFFSET($G$10,,,,Projected_Income_Actual_Index*2),Q$10,OFFSET($G21,,,,Projected_Income_Actual_Index*2))/Projected_Income_Actual_Index,0)</f>
        <v>0</v>
      </c>
      <c r="R21" s="3227">
        <f ca="1">IF(AND(Project_Income_Extrapolate,COUNTA($F$9:R$9)&gt;Projected_Income_Actual_Index),SUMIF(OFFSET($G$10,,,,Projected_Income_Actual_Index*2),R$10,OFFSET($G21,,,,Projected_Income_Actual_Index*2))/Projected_Income_Actual_Index,0)</f>
        <v>0</v>
      </c>
      <c r="S21" s="3227">
        <f ca="1">IF(AND(Project_Income_Extrapolate,COUNTA($F$9:S$9)&gt;Projected_Income_Actual_Index),SUMIF(OFFSET($G$10,,,,Projected_Income_Actual_Index*2),S$10,OFFSET($G21,,,,Projected_Income_Actual_Index*2))/Projected_Income_Actual_Index,0)</f>
        <v>0</v>
      </c>
      <c r="T21" s="3227">
        <f ca="1">IF(AND(Project_Income_Extrapolate,COUNTA($F$9:T$9)&gt;Projected_Income_Actual_Index),SUMIF(OFFSET($G$10,,,,Projected_Income_Actual_Index*2),T$10,OFFSET($G21,,,,Projected_Income_Actual_Index*2))/Projected_Income_Actual_Index,0)</f>
        <v>0</v>
      </c>
      <c r="U21" s="3227">
        <f ca="1">IF(AND(Project_Income_Extrapolate,COUNTA($F$9:U$9)&gt;Projected_Income_Actual_Index),SUMIF(OFFSET($G$10,,,,Projected_Income_Actual_Index*2),U$10,OFFSET($G21,,,,Projected_Income_Actual_Index*2))/Projected_Income_Actual_Index,0)</f>
        <v>0</v>
      </c>
      <c r="V21" s="3227">
        <f ca="1">IF(AND(Project_Income_Extrapolate,COUNTA($F$9:V$9)&gt;Projected_Income_Actual_Index),SUMIF(OFFSET($G$10,,,,Projected_Income_Actual_Index*2),V$10,OFFSET($G21,,,,Projected_Income_Actual_Index*2))/Projected_Income_Actual_Index,0)</f>
        <v>0</v>
      </c>
      <c r="W21" s="3227">
        <f ca="1">IF(AND(Project_Income_Extrapolate,COUNTA($F$9:W$9)&gt;Projected_Income_Actual_Index),SUMIF(OFFSET($G$10,,,,Projected_Income_Actual_Index*2),W$10,OFFSET($G21,,,,Projected_Income_Actual_Index*2))/Projected_Income_Actual_Index,0)</f>
        <v>0</v>
      </c>
      <c r="X21" s="3227">
        <f ca="1">IF(AND(Project_Income_Extrapolate,COUNTA($F$9:X$9)&gt;Projected_Income_Actual_Index),SUMIF(OFFSET($G$10,,,,Projected_Income_Actual_Index*2),X$10,OFFSET($G21,,,,Projected_Income_Actual_Index*2))/Projected_Income_Actual_Index,0)</f>
        <v>0</v>
      </c>
      <c r="Y21" s="3227">
        <f ca="1">IF(AND(Project_Income_Extrapolate,COUNTA($F$9:Y$9)&gt;Projected_Income_Actual_Index),SUMIF(OFFSET($G$10,,,,Projected_Income_Actual_Index*2),Y$10,OFFSET($G21,,,,Projected_Income_Actual_Index*2))/Projected_Income_Actual_Index,0)</f>
        <v>0</v>
      </c>
      <c r="Z21" s="3227">
        <f ca="1">IF(AND(Project_Income_Extrapolate,COUNTA($F$9:Z$9)&gt;Projected_Income_Actual_Index),SUMIF(OFFSET($G$10,,,,Projected_Income_Actual_Index*2),Z$10,OFFSET($G21,,,,Projected_Income_Actual_Index*2))/Projected_Income_Actual_Index,0)</f>
        <v>0</v>
      </c>
      <c r="AA21" s="3227">
        <f ca="1">IF(AND(Project_Income_Extrapolate,COUNTA($F$9:AA$9)&gt;Projected_Income_Actual_Index),SUMIF(OFFSET($G$10,,,,Projected_Income_Actual_Index*2),AA$10,OFFSET($G21,,,,Projected_Income_Actual_Index*2))/Projected_Income_Actual_Index,0)</f>
        <v>0</v>
      </c>
      <c r="AB21" s="3227">
        <f ca="1">IF(AND(Project_Income_Extrapolate,COUNTA($F$9:AB$9)&gt;Projected_Income_Actual_Index),SUMIF(OFFSET($G$10,,,,Projected_Income_Actual_Index*2),AB$10,OFFSET($G21,,,,Projected_Income_Actual_Index*2))/Projected_Income_Actual_Index,0)</f>
        <v>0</v>
      </c>
      <c r="AC21" s="3227">
        <f ca="1">IF(AND(Project_Income_Extrapolate,COUNTA($F$9:AC$9)&gt;Projected_Income_Actual_Index),SUMIF(OFFSET($G$10,,,,Projected_Income_Actual_Index*2),AC$10,OFFSET($G21,,,,Projected_Income_Actual_Index*2))/Projected_Income_Actual_Index,0)</f>
        <v>0</v>
      </c>
      <c r="AD21" s="3227">
        <f ca="1">IF(AND(Project_Income_Extrapolate,COUNTA($F$9:AD$9)&gt;Projected_Income_Actual_Index),SUMIF(OFFSET($G$10,,,,Projected_Income_Actual_Index*2),AD$10,OFFSET($G21,,,,Projected_Income_Actual_Index*2))/Projected_Income_Actual_Index,0)</f>
        <v>0</v>
      </c>
      <c r="AE21" s="3227">
        <f t="shared" ca="1" si="1"/>
        <v>0</v>
      </c>
      <c r="AF21" s="3227">
        <f t="shared" ca="1" si="0"/>
        <v>0</v>
      </c>
      <c r="AG21" s="2543">
        <f t="shared" ca="1" si="2"/>
        <v>0</v>
      </c>
      <c r="AH21" s="3227">
        <v>0</v>
      </c>
      <c r="AI21" s="3227">
        <v>0</v>
      </c>
      <c r="AJ21" s="3231">
        <v>0</v>
      </c>
      <c r="AK21" s="2548" t="s">
        <v>2280</v>
      </c>
      <c r="AL21" s="1111"/>
      <c r="AM21" s="1111"/>
      <c r="AQ21" s="3283">
        <f t="shared" ca="1" si="3"/>
        <v>0</v>
      </c>
    </row>
    <row r="22" spans="1:44" s="1063" customFormat="1" ht="20.25">
      <c r="A22" s="1120" t="s">
        <v>851</v>
      </c>
      <c r="B22" s="1120"/>
      <c r="C22" s="1120"/>
      <c r="D22" s="1120"/>
      <c r="E22" s="1108"/>
      <c r="G22" s="1292"/>
      <c r="H22" s="1292"/>
      <c r="I22" s="1292"/>
      <c r="J22" s="1292"/>
      <c r="K22" s="1292"/>
      <c r="L22" s="1292"/>
      <c r="M22" s="1292"/>
      <c r="N22" s="1292"/>
      <c r="O22" s="1292"/>
      <c r="P22" s="1292"/>
      <c r="Q22" s="1292"/>
      <c r="R22" s="1292"/>
      <c r="S22" s="1292"/>
      <c r="T22" s="1292"/>
      <c r="U22" s="1292"/>
      <c r="V22" s="1292"/>
      <c r="W22" s="1292"/>
      <c r="X22" s="1292"/>
      <c r="Y22" s="1292"/>
      <c r="Z22" s="1292"/>
      <c r="AA22" s="1292"/>
      <c r="AB22" s="1292"/>
      <c r="AC22" s="1292"/>
      <c r="AD22" s="1292"/>
      <c r="AE22" s="1292"/>
      <c r="AF22" s="1292">
        <f>'Livestock Est'!O14</f>
        <v>0</v>
      </c>
      <c r="AG22" s="2543">
        <f t="shared" si="2"/>
        <v>0</v>
      </c>
      <c r="AH22" s="1292"/>
      <c r="AI22" s="1292"/>
      <c r="AJ22" s="3234"/>
      <c r="AK22" s="2549"/>
      <c r="AL22" s="1111"/>
      <c r="AM22" s="1111"/>
      <c r="AN22" s="1062"/>
      <c r="AO22" s="1062"/>
      <c r="AP22" s="1062"/>
      <c r="AQ22" s="3283">
        <f t="shared" si="3"/>
        <v>0</v>
      </c>
      <c r="AR22" s="1062"/>
    </row>
    <row r="23" spans="1:44" s="1063" customFormat="1" ht="20.25">
      <c r="A23" s="979" t="s">
        <v>1274</v>
      </c>
      <c r="C23" s="979"/>
      <c r="D23" s="979"/>
      <c r="E23" s="979"/>
      <c r="F23" s="979"/>
      <c r="G23" s="3227">
        <v>0</v>
      </c>
      <c r="H23" s="3227">
        <v>0</v>
      </c>
      <c r="I23" s="3227">
        <f ca="1">IF(AND(Project_Income_Extrapolate,COUNTA($F$9:I$9)&gt;Projected_Income_Actual_Index),SUMIF(OFFSET($G$10,,,,Projected_Income_Actual_Index*2),I$10,OFFSET($G23,,,,Projected_Income_Actual_Index*2))/Projected_Income_Actual_Index,0)</f>
        <v>0</v>
      </c>
      <c r="J23" s="3227">
        <f ca="1">IF(AND(Project_Income_Extrapolate,COUNTA($F$9:J$9)&gt;Projected_Income_Actual_Index),SUMIF(OFFSET($G$10,,,,Projected_Income_Actual_Index*2),J$10,OFFSET($G23,,,,Projected_Income_Actual_Index*2))/Projected_Income_Actual_Index,0)</f>
        <v>0</v>
      </c>
      <c r="K23" s="3227">
        <f ca="1">IF(AND(Project_Income_Extrapolate,COUNTA($F$9:K$9)&gt;Projected_Income_Actual_Index),SUMIF(OFFSET($G$10,,,,Projected_Income_Actual_Index*2),K$10,OFFSET($G23,,,,Projected_Income_Actual_Index*2))/Projected_Income_Actual_Index,0)</f>
        <v>0</v>
      </c>
      <c r="L23" s="3227">
        <f ca="1">IF(AND(Project_Income_Extrapolate,COUNTA($F$9:L$9)&gt;Projected_Income_Actual_Index),SUMIF(OFFSET($G$10,,,,Projected_Income_Actual_Index*2),L$10,OFFSET($G23,,,,Projected_Income_Actual_Index*2))/Projected_Income_Actual_Index,0)</f>
        <v>0</v>
      </c>
      <c r="M23" s="3227">
        <f ca="1">IF(AND(Project_Income_Extrapolate,COUNTA($F$9:M$9)&gt;Projected_Income_Actual_Index),SUMIF(OFFSET($G$10,,,,Projected_Income_Actual_Index*2),M$10,OFFSET($G23,,,,Projected_Income_Actual_Index*2))/Projected_Income_Actual_Index,0)</f>
        <v>0</v>
      </c>
      <c r="N23" s="3227">
        <f ca="1">IF(AND(Project_Income_Extrapolate,COUNTA($F$9:N$9)&gt;Projected_Income_Actual_Index),SUMIF(OFFSET($G$10,,,,Projected_Income_Actual_Index*2),N$10,OFFSET($G23,,,,Projected_Income_Actual_Index*2))/Projected_Income_Actual_Index,0)</f>
        <v>0</v>
      </c>
      <c r="O23" s="3227">
        <f ca="1">IF(AND(Project_Income_Extrapolate,COUNTA($F$9:O$9)&gt;Projected_Income_Actual_Index),SUMIF(OFFSET($G$10,,,,Projected_Income_Actual_Index*2),O$10,OFFSET($G23,,,,Projected_Income_Actual_Index*2))/Projected_Income_Actual_Index,0)</f>
        <v>0</v>
      </c>
      <c r="P23" s="3227">
        <f ca="1">IF(AND(Project_Income_Extrapolate,COUNTA($F$9:P$9)&gt;Projected_Income_Actual_Index),SUMIF(OFFSET($G$10,,,,Projected_Income_Actual_Index*2),P$10,OFFSET($G23,,,,Projected_Income_Actual_Index*2))/Projected_Income_Actual_Index,0)</f>
        <v>0</v>
      </c>
      <c r="Q23" s="3227">
        <f ca="1">IF(AND(Project_Income_Extrapolate,COUNTA($F$9:Q$9)&gt;Projected_Income_Actual_Index),SUMIF(OFFSET($G$10,,,,Projected_Income_Actual_Index*2),Q$10,OFFSET($G23,,,,Projected_Income_Actual_Index*2))/Projected_Income_Actual_Index,0)</f>
        <v>0</v>
      </c>
      <c r="R23" s="3227">
        <f ca="1">IF(AND(Project_Income_Extrapolate,COUNTA($F$9:R$9)&gt;Projected_Income_Actual_Index),SUMIF(OFFSET($G$10,,,,Projected_Income_Actual_Index*2),R$10,OFFSET($G23,,,,Projected_Income_Actual_Index*2))/Projected_Income_Actual_Index,0)</f>
        <v>0</v>
      </c>
      <c r="S23" s="3227">
        <f ca="1">IF(AND(Project_Income_Extrapolate,COUNTA($F$9:S$9)&gt;Projected_Income_Actual_Index),SUMIF(OFFSET($G$10,,,,Projected_Income_Actual_Index*2),S$10,OFFSET($G23,,,,Projected_Income_Actual_Index*2))/Projected_Income_Actual_Index,0)</f>
        <v>0</v>
      </c>
      <c r="T23" s="3227">
        <f ca="1">IF(AND(Project_Income_Extrapolate,COUNTA($F$9:T$9)&gt;Projected_Income_Actual_Index),SUMIF(OFFSET($G$10,,,,Projected_Income_Actual_Index*2),T$10,OFFSET($G23,,,,Projected_Income_Actual_Index*2))/Projected_Income_Actual_Index,0)</f>
        <v>0</v>
      </c>
      <c r="U23" s="3227">
        <f ca="1">IF(AND(Project_Income_Extrapolate,COUNTA($F$9:U$9)&gt;Projected_Income_Actual_Index),SUMIF(OFFSET($G$10,,,,Projected_Income_Actual_Index*2),U$10,OFFSET($G23,,,,Projected_Income_Actual_Index*2))/Projected_Income_Actual_Index,0)</f>
        <v>0</v>
      </c>
      <c r="V23" s="3227">
        <f ca="1">IF(AND(Project_Income_Extrapolate,COUNTA($F$9:V$9)&gt;Projected_Income_Actual_Index),SUMIF(OFFSET($G$10,,,,Projected_Income_Actual_Index*2),V$10,OFFSET($G23,,,,Projected_Income_Actual_Index*2))/Projected_Income_Actual_Index,0)</f>
        <v>0</v>
      </c>
      <c r="W23" s="3227">
        <f ca="1">IF(AND(Project_Income_Extrapolate,COUNTA($F$9:W$9)&gt;Projected_Income_Actual_Index),SUMIF(OFFSET($G$10,,,,Projected_Income_Actual_Index*2),W$10,OFFSET($G23,,,,Projected_Income_Actual_Index*2))/Projected_Income_Actual_Index,0)</f>
        <v>0</v>
      </c>
      <c r="X23" s="3227">
        <f ca="1">IF(AND(Project_Income_Extrapolate,COUNTA($F$9:X$9)&gt;Projected_Income_Actual_Index),SUMIF(OFFSET($G$10,,,,Projected_Income_Actual_Index*2),X$10,OFFSET($G23,,,,Projected_Income_Actual_Index*2))/Projected_Income_Actual_Index,0)</f>
        <v>0</v>
      </c>
      <c r="Y23" s="3227">
        <f ca="1">IF(AND(Project_Income_Extrapolate,COUNTA($F$9:Y$9)&gt;Projected_Income_Actual_Index),SUMIF(OFFSET($G$10,,,,Projected_Income_Actual_Index*2),Y$10,OFFSET($G23,,,,Projected_Income_Actual_Index*2))/Projected_Income_Actual_Index,0)</f>
        <v>0</v>
      </c>
      <c r="Z23" s="3227">
        <f ca="1">IF(AND(Project_Income_Extrapolate,COUNTA($F$9:Z$9)&gt;Projected_Income_Actual_Index),SUMIF(OFFSET($G$10,,,,Projected_Income_Actual_Index*2),Z$10,OFFSET($G23,,,,Projected_Income_Actual_Index*2))/Projected_Income_Actual_Index,0)</f>
        <v>0</v>
      </c>
      <c r="AA23" s="3227">
        <f ca="1">IF(AND(Project_Income_Extrapolate,COUNTA($F$9:AA$9)&gt;Projected_Income_Actual_Index),SUMIF(OFFSET($G$10,,,,Projected_Income_Actual_Index*2),AA$10,OFFSET($G23,,,,Projected_Income_Actual_Index*2))/Projected_Income_Actual_Index,0)</f>
        <v>0</v>
      </c>
      <c r="AB23" s="3227">
        <f ca="1">IF(AND(Project_Income_Extrapolate,COUNTA($F$9:AB$9)&gt;Projected_Income_Actual_Index),SUMIF(OFFSET($G$10,,,,Projected_Income_Actual_Index*2),AB$10,OFFSET($G23,,,,Projected_Income_Actual_Index*2))/Projected_Income_Actual_Index,0)</f>
        <v>0</v>
      </c>
      <c r="AC23" s="3227">
        <f ca="1">IF(AND(Project_Income_Extrapolate,COUNTA($F$9:AC$9)&gt;Projected_Income_Actual_Index),SUMIF(OFFSET($G$10,,,,Projected_Income_Actual_Index*2),AC$10,OFFSET($G23,,,,Projected_Income_Actual_Index*2))/Projected_Income_Actual_Index,0)</f>
        <v>0</v>
      </c>
      <c r="AD23" s="3227">
        <f ca="1">IF(AND(Project_Income_Extrapolate,COUNTA($F$9:AD$9)&gt;Projected_Income_Actual_Index),SUMIF(OFFSET($G$10,,,,Projected_Income_Actual_Index*2),AD$10,OFFSET($G23,,,,Projected_Income_Actual_Index*2))/Projected_Income_Actual_Index,0)</f>
        <v>0</v>
      </c>
      <c r="AE23" s="3227">
        <f ca="1">SUMIF($G$10:$AD$10,AE$10,$G23:$AD23)</f>
        <v>0</v>
      </c>
      <c r="AF23" s="3227">
        <f t="shared" ca="1" si="0"/>
        <v>0</v>
      </c>
      <c r="AG23" s="2543">
        <f t="shared" ca="1" si="2"/>
        <v>0</v>
      </c>
      <c r="AH23" s="3227">
        <v>0</v>
      </c>
      <c r="AI23" s="3227">
        <v>0</v>
      </c>
      <c r="AJ23" s="3231">
        <v>0</v>
      </c>
      <c r="AK23" s="2548" t="s">
        <v>2280</v>
      </c>
      <c r="AL23" s="1111"/>
      <c r="AM23" s="1111"/>
      <c r="AQ23" s="3283">
        <f t="shared" ca="1" si="3"/>
        <v>0</v>
      </c>
    </row>
    <row r="24" spans="1:44" s="1063" customFormat="1" ht="20.25">
      <c r="A24" s="979" t="s">
        <v>1274</v>
      </c>
      <c r="C24" s="979"/>
      <c r="D24" s="979"/>
      <c r="E24" s="979"/>
      <c r="F24" s="979"/>
      <c r="G24" s="3227">
        <v>0</v>
      </c>
      <c r="H24" s="3227">
        <v>0</v>
      </c>
      <c r="I24" s="3227">
        <f ca="1">IF(AND(Project_Income_Extrapolate,COUNTA($F$9:I$9)&gt;Projected_Income_Actual_Index),SUMIF(OFFSET($G$10,,,,Projected_Income_Actual_Index*2),I$10,OFFSET($G24,,,,Projected_Income_Actual_Index*2))/Projected_Income_Actual_Index,0)</f>
        <v>0</v>
      </c>
      <c r="J24" s="3227">
        <f ca="1">IF(AND(Project_Income_Extrapolate,COUNTA($F$9:J$9)&gt;Projected_Income_Actual_Index),SUMIF(OFFSET($G$10,,,,Projected_Income_Actual_Index*2),J$10,OFFSET($G24,,,,Projected_Income_Actual_Index*2))/Projected_Income_Actual_Index,0)</f>
        <v>0</v>
      </c>
      <c r="K24" s="3227">
        <f ca="1">IF(AND(Project_Income_Extrapolate,COUNTA($F$9:K$9)&gt;Projected_Income_Actual_Index),SUMIF(OFFSET($G$10,,,,Projected_Income_Actual_Index*2),K$10,OFFSET($G24,,,,Projected_Income_Actual_Index*2))/Projected_Income_Actual_Index,0)</f>
        <v>0</v>
      </c>
      <c r="L24" s="3227">
        <f ca="1">IF(AND(Project_Income_Extrapolate,COUNTA($F$9:L$9)&gt;Projected_Income_Actual_Index),SUMIF(OFFSET($G$10,,,,Projected_Income_Actual_Index*2),L$10,OFFSET($G24,,,,Projected_Income_Actual_Index*2))/Projected_Income_Actual_Index,0)</f>
        <v>0</v>
      </c>
      <c r="M24" s="3227">
        <f ca="1">IF(AND(Project_Income_Extrapolate,COUNTA($F$9:M$9)&gt;Projected_Income_Actual_Index),SUMIF(OFFSET($G$10,,,,Projected_Income_Actual_Index*2),M$10,OFFSET($G24,,,,Projected_Income_Actual_Index*2))/Projected_Income_Actual_Index,0)</f>
        <v>0</v>
      </c>
      <c r="N24" s="3227">
        <f ca="1">IF(AND(Project_Income_Extrapolate,COUNTA($F$9:N$9)&gt;Projected_Income_Actual_Index),SUMIF(OFFSET($G$10,,,,Projected_Income_Actual_Index*2),N$10,OFFSET($G24,,,,Projected_Income_Actual_Index*2))/Projected_Income_Actual_Index,0)</f>
        <v>0</v>
      </c>
      <c r="O24" s="3227">
        <f ca="1">IF(AND(Project_Income_Extrapolate,COUNTA($F$9:O$9)&gt;Projected_Income_Actual_Index),SUMIF(OFFSET($G$10,,,,Projected_Income_Actual_Index*2),O$10,OFFSET($G24,,,,Projected_Income_Actual_Index*2))/Projected_Income_Actual_Index,0)</f>
        <v>0</v>
      </c>
      <c r="P24" s="3227">
        <f ca="1">IF(AND(Project_Income_Extrapolate,COUNTA($F$9:P$9)&gt;Projected_Income_Actual_Index),SUMIF(OFFSET($G$10,,,,Projected_Income_Actual_Index*2),P$10,OFFSET($G24,,,,Projected_Income_Actual_Index*2))/Projected_Income_Actual_Index,0)</f>
        <v>0</v>
      </c>
      <c r="Q24" s="3227">
        <f ca="1">IF(AND(Project_Income_Extrapolate,COUNTA($F$9:Q$9)&gt;Projected_Income_Actual_Index),SUMIF(OFFSET($G$10,,,,Projected_Income_Actual_Index*2),Q$10,OFFSET($G24,,,,Projected_Income_Actual_Index*2))/Projected_Income_Actual_Index,0)</f>
        <v>0</v>
      </c>
      <c r="R24" s="3227">
        <f ca="1">IF(AND(Project_Income_Extrapolate,COUNTA($F$9:R$9)&gt;Projected_Income_Actual_Index),SUMIF(OFFSET($G$10,,,,Projected_Income_Actual_Index*2),R$10,OFFSET($G24,,,,Projected_Income_Actual_Index*2))/Projected_Income_Actual_Index,0)</f>
        <v>0</v>
      </c>
      <c r="S24" s="3227">
        <f ca="1">IF(AND(Project_Income_Extrapolate,COUNTA($F$9:S$9)&gt;Projected_Income_Actual_Index),SUMIF(OFFSET($G$10,,,,Projected_Income_Actual_Index*2),S$10,OFFSET($G24,,,,Projected_Income_Actual_Index*2))/Projected_Income_Actual_Index,0)</f>
        <v>0</v>
      </c>
      <c r="T24" s="3227">
        <f ca="1">IF(AND(Project_Income_Extrapolate,COUNTA($F$9:T$9)&gt;Projected_Income_Actual_Index),SUMIF(OFFSET($G$10,,,,Projected_Income_Actual_Index*2),T$10,OFFSET($G24,,,,Projected_Income_Actual_Index*2))/Projected_Income_Actual_Index,0)</f>
        <v>0</v>
      </c>
      <c r="U24" s="3227">
        <f ca="1">IF(AND(Project_Income_Extrapolate,COUNTA($F$9:U$9)&gt;Projected_Income_Actual_Index),SUMIF(OFFSET($G$10,,,,Projected_Income_Actual_Index*2),U$10,OFFSET($G24,,,,Projected_Income_Actual_Index*2))/Projected_Income_Actual_Index,0)</f>
        <v>0</v>
      </c>
      <c r="V24" s="3227">
        <f ca="1">IF(AND(Project_Income_Extrapolate,COUNTA($F$9:V$9)&gt;Projected_Income_Actual_Index),SUMIF(OFFSET($G$10,,,,Projected_Income_Actual_Index*2),V$10,OFFSET($G24,,,,Projected_Income_Actual_Index*2))/Projected_Income_Actual_Index,0)</f>
        <v>0</v>
      </c>
      <c r="W24" s="3227">
        <f ca="1">IF(AND(Project_Income_Extrapolate,COUNTA($F$9:W$9)&gt;Projected_Income_Actual_Index),SUMIF(OFFSET($G$10,,,,Projected_Income_Actual_Index*2),W$10,OFFSET($G24,,,,Projected_Income_Actual_Index*2))/Projected_Income_Actual_Index,0)</f>
        <v>0</v>
      </c>
      <c r="X24" s="3227">
        <f ca="1">IF(AND(Project_Income_Extrapolate,COUNTA($F$9:X$9)&gt;Projected_Income_Actual_Index),SUMIF(OFFSET($G$10,,,,Projected_Income_Actual_Index*2),X$10,OFFSET($G24,,,,Projected_Income_Actual_Index*2))/Projected_Income_Actual_Index,0)</f>
        <v>0</v>
      </c>
      <c r="Y24" s="3227">
        <f ca="1">IF(AND(Project_Income_Extrapolate,COUNTA($F$9:Y$9)&gt;Projected_Income_Actual_Index),SUMIF(OFFSET($G$10,,,,Projected_Income_Actual_Index*2),Y$10,OFFSET($G24,,,,Projected_Income_Actual_Index*2))/Projected_Income_Actual_Index,0)</f>
        <v>0</v>
      </c>
      <c r="Z24" s="3227">
        <f ca="1">IF(AND(Project_Income_Extrapolate,COUNTA($F$9:Z$9)&gt;Projected_Income_Actual_Index),SUMIF(OFFSET($G$10,,,,Projected_Income_Actual_Index*2),Z$10,OFFSET($G24,,,,Projected_Income_Actual_Index*2))/Projected_Income_Actual_Index,0)</f>
        <v>0</v>
      </c>
      <c r="AA24" s="3227">
        <f ca="1">IF(AND(Project_Income_Extrapolate,COUNTA($F$9:AA$9)&gt;Projected_Income_Actual_Index),SUMIF(OFFSET($G$10,,,,Projected_Income_Actual_Index*2),AA$10,OFFSET($G24,,,,Projected_Income_Actual_Index*2))/Projected_Income_Actual_Index,0)</f>
        <v>0</v>
      </c>
      <c r="AB24" s="3227">
        <f ca="1">IF(AND(Project_Income_Extrapolate,COUNTA($F$9:AB$9)&gt;Projected_Income_Actual_Index),SUMIF(OFFSET($G$10,,,,Projected_Income_Actual_Index*2),AB$10,OFFSET($G24,,,,Projected_Income_Actual_Index*2))/Projected_Income_Actual_Index,0)</f>
        <v>0</v>
      </c>
      <c r="AC24" s="3227">
        <f ca="1">IF(AND(Project_Income_Extrapolate,COUNTA($F$9:AC$9)&gt;Projected_Income_Actual_Index),SUMIF(OFFSET($G$10,,,,Projected_Income_Actual_Index*2),AC$10,OFFSET($G24,,,,Projected_Income_Actual_Index*2))/Projected_Income_Actual_Index,0)</f>
        <v>0</v>
      </c>
      <c r="AD24" s="3227">
        <f ca="1">IF(AND(Project_Income_Extrapolate,COUNTA($F$9:AD$9)&gt;Projected_Income_Actual_Index),SUMIF(OFFSET($G$10,,,,Projected_Income_Actual_Index*2),AD$10,OFFSET($G24,,,,Projected_Income_Actual_Index*2))/Projected_Income_Actual_Index,0)</f>
        <v>0</v>
      </c>
      <c r="AE24" s="3227">
        <f ca="1">SUMIF($G$10:$AD$10,AE$10,$G24:$AD24)</f>
        <v>0</v>
      </c>
      <c r="AF24" s="3227">
        <f t="shared" ca="1" si="0"/>
        <v>0</v>
      </c>
      <c r="AG24" s="2543">
        <f t="shared" ca="1" si="2"/>
        <v>0</v>
      </c>
      <c r="AH24" s="3227">
        <v>0</v>
      </c>
      <c r="AI24" s="3227">
        <v>0</v>
      </c>
      <c r="AJ24" s="3231">
        <v>0</v>
      </c>
      <c r="AK24" s="2548" t="s">
        <v>2280</v>
      </c>
      <c r="AL24" s="1111"/>
      <c r="AM24" s="1111"/>
      <c r="AQ24" s="3283">
        <f t="shared" ca="1" si="3"/>
        <v>0</v>
      </c>
    </row>
    <row r="25" spans="1:44" s="1063" customFormat="1" ht="20.25">
      <c r="A25" s="979"/>
      <c r="B25" s="979"/>
      <c r="C25" s="979"/>
      <c r="D25" s="979"/>
      <c r="E25" s="979"/>
      <c r="F25" s="979"/>
      <c r="G25" s="3228"/>
      <c r="H25" s="3228"/>
      <c r="I25" s="3228"/>
      <c r="J25" s="3228"/>
      <c r="K25" s="3228"/>
      <c r="L25" s="3228"/>
      <c r="M25" s="3228"/>
      <c r="N25" s="3228"/>
      <c r="O25" s="3228"/>
      <c r="P25" s="3228"/>
      <c r="Q25" s="3228"/>
      <c r="R25" s="3228"/>
      <c r="S25" s="3228"/>
      <c r="T25" s="3228"/>
      <c r="U25" s="3228"/>
      <c r="V25" s="3228"/>
      <c r="W25" s="3228"/>
      <c r="X25" s="3228"/>
      <c r="Y25" s="3228"/>
      <c r="Z25" s="3228"/>
      <c r="AA25" s="3228"/>
      <c r="AB25" s="3228"/>
      <c r="AC25" s="3228"/>
      <c r="AD25" s="3228"/>
      <c r="AE25" s="3228"/>
      <c r="AF25" s="3228"/>
      <c r="AG25" s="2543"/>
      <c r="AH25" s="3228"/>
      <c r="AI25" s="3228"/>
      <c r="AJ25" s="3235"/>
      <c r="AK25" s="2549"/>
      <c r="AL25" s="1111"/>
      <c r="AM25" s="1111"/>
    </row>
    <row r="26" spans="1:44" s="1063" customFormat="1" ht="20.25" customHeight="1">
      <c r="A26" s="3281" t="s">
        <v>1529</v>
      </c>
      <c r="B26" s="1121"/>
      <c r="C26" s="1121"/>
      <c r="D26" s="1121"/>
      <c r="E26" s="1121"/>
      <c r="F26" s="1121"/>
      <c r="G26" s="3229">
        <f t="shared" ref="G26:X26" si="4">SUM(G15:G25)</f>
        <v>0</v>
      </c>
      <c r="H26" s="3229">
        <f t="shared" si="4"/>
        <v>0</v>
      </c>
      <c r="I26" s="3229">
        <f t="shared" ca="1" si="4"/>
        <v>0</v>
      </c>
      <c r="J26" s="3229">
        <f t="shared" ca="1" si="4"/>
        <v>0</v>
      </c>
      <c r="K26" s="3229">
        <f t="shared" ca="1" si="4"/>
        <v>0</v>
      </c>
      <c r="L26" s="3229">
        <f t="shared" ca="1" si="4"/>
        <v>0</v>
      </c>
      <c r="M26" s="3229">
        <f t="shared" ca="1" si="4"/>
        <v>0</v>
      </c>
      <c r="N26" s="3229">
        <f t="shared" ca="1" si="4"/>
        <v>0</v>
      </c>
      <c r="O26" s="3229">
        <f t="shared" ca="1" si="4"/>
        <v>0</v>
      </c>
      <c r="P26" s="3229">
        <f t="shared" ca="1" si="4"/>
        <v>0</v>
      </c>
      <c r="Q26" s="3229">
        <f t="shared" ca="1" si="4"/>
        <v>0</v>
      </c>
      <c r="R26" s="3229">
        <f t="shared" ca="1" si="4"/>
        <v>0</v>
      </c>
      <c r="S26" s="3229">
        <f t="shared" ca="1" si="4"/>
        <v>0</v>
      </c>
      <c r="T26" s="3229">
        <f t="shared" ca="1" si="4"/>
        <v>0</v>
      </c>
      <c r="U26" s="3229">
        <f t="shared" ca="1" si="4"/>
        <v>0</v>
      </c>
      <c r="V26" s="3229">
        <f t="shared" ca="1" si="4"/>
        <v>0</v>
      </c>
      <c r="W26" s="3229">
        <f t="shared" ca="1" si="4"/>
        <v>0</v>
      </c>
      <c r="X26" s="3229">
        <f t="shared" ca="1" si="4"/>
        <v>0</v>
      </c>
      <c r="Y26" s="3229">
        <f t="shared" ref="Y26:AF26" ca="1" si="5">SUM(Y15:Y25)</f>
        <v>0</v>
      </c>
      <c r="Z26" s="3229">
        <f t="shared" ca="1" si="5"/>
        <v>0</v>
      </c>
      <c r="AA26" s="3229">
        <f t="shared" ca="1" si="5"/>
        <v>0</v>
      </c>
      <c r="AB26" s="3229">
        <f t="shared" ca="1" si="5"/>
        <v>0</v>
      </c>
      <c r="AC26" s="3229">
        <f t="shared" ca="1" si="5"/>
        <v>0</v>
      </c>
      <c r="AD26" s="3229">
        <f t="shared" ca="1" si="5"/>
        <v>0</v>
      </c>
      <c r="AE26" s="3229">
        <f t="shared" ca="1" si="5"/>
        <v>0</v>
      </c>
      <c r="AF26" s="3229">
        <f t="shared" ca="1" si="5"/>
        <v>0</v>
      </c>
      <c r="AG26" s="2543">
        <f t="shared" ca="1" si="2"/>
        <v>0</v>
      </c>
      <c r="AH26" s="3229">
        <f>SUM(AH15:AH25)</f>
        <v>0</v>
      </c>
      <c r="AI26" s="3229">
        <f>SUM(AI15:AI25)</f>
        <v>0</v>
      </c>
      <c r="AJ26" s="3236">
        <f>SUM(AJ15:AJ25)</f>
        <v>0</v>
      </c>
      <c r="AK26" s="2549"/>
      <c r="AL26" s="1111"/>
      <c r="AM26" s="1111"/>
    </row>
    <row r="27" spans="1:44" s="1063" customFormat="1" ht="20.25">
      <c r="A27" s="1122"/>
      <c r="B27" s="979"/>
      <c r="C27" s="979"/>
      <c r="D27" s="979"/>
      <c r="E27" s="979"/>
      <c r="F27" s="979"/>
      <c r="G27" s="1119"/>
      <c r="H27" s="1119"/>
      <c r="I27" s="1119"/>
      <c r="J27" s="1119"/>
      <c r="K27" s="1119"/>
      <c r="L27" s="1119"/>
      <c r="M27" s="1119"/>
      <c r="N27" s="1119"/>
      <c r="O27" s="1119"/>
      <c r="P27" s="1119"/>
      <c r="Q27" s="1119"/>
      <c r="R27" s="1119"/>
      <c r="S27" s="1119"/>
      <c r="T27" s="1119"/>
      <c r="U27" s="1119"/>
      <c r="V27" s="1119"/>
      <c r="W27" s="1119"/>
      <c r="X27" s="1119"/>
      <c r="Y27" s="1119"/>
      <c r="Z27" s="1119"/>
      <c r="AA27" s="1119"/>
      <c r="AB27" s="1119"/>
      <c r="AC27" s="1119"/>
      <c r="AD27" s="1119"/>
      <c r="AE27" s="1119"/>
      <c r="AF27" s="1119"/>
      <c r="AG27" s="2543"/>
      <c r="AH27" s="1119"/>
      <c r="AI27" s="1119"/>
      <c r="AJ27" s="2547"/>
      <c r="AK27" s="2549"/>
      <c r="AL27" s="1111"/>
      <c r="AM27" s="1111"/>
    </row>
    <row r="28" spans="1:44" s="1063" customFormat="1" ht="20.25">
      <c r="A28" s="1118" t="s">
        <v>1572</v>
      </c>
      <c r="B28" s="979"/>
      <c r="C28" s="979"/>
      <c r="D28" s="3738"/>
      <c r="E28" s="3738"/>
      <c r="F28" s="979"/>
      <c r="G28" s="1061"/>
      <c r="H28" s="1061"/>
      <c r="I28" s="1061"/>
      <c r="J28" s="1061"/>
      <c r="K28" s="1061"/>
      <c r="L28" s="1061"/>
      <c r="M28" s="1061"/>
      <c r="N28" s="1061"/>
      <c r="O28" s="1061"/>
      <c r="P28" s="1061"/>
      <c r="Q28" s="1061"/>
      <c r="R28" s="1061"/>
      <c r="S28" s="1061"/>
      <c r="T28" s="1061"/>
      <c r="U28" s="1061"/>
      <c r="V28" s="1061"/>
      <c r="W28" s="1061"/>
      <c r="X28" s="1061"/>
      <c r="Y28" s="1061"/>
      <c r="Z28" s="1061"/>
      <c r="AA28" s="1061"/>
      <c r="AB28" s="1061"/>
      <c r="AC28" s="1061"/>
      <c r="AD28" s="1061"/>
      <c r="AE28" s="1123"/>
      <c r="AF28" s="1123"/>
      <c r="AG28" s="2543"/>
      <c r="AH28" s="1061"/>
      <c r="AI28" s="1061"/>
      <c r="AJ28" s="2546"/>
      <c r="AK28" s="2549"/>
      <c r="AL28" s="1111"/>
      <c r="AM28" s="1111"/>
      <c r="AQ28" s="3283">
        <f ca="1">IF(SUM(AQ29:AQ33)&gt;0,1,0)</f>
        <v>0</v>
      </c>
    </row>
    <row r="29" spans="1:44" s="1063" customFormat="1" ht="20.25">
      <c r="A29" s="979" t="s">
        <v>1573</v>
      </c>
      <c r="C29" s="979"/>
      <c r="D29" s="979"/>
      <c r="E29" s="979"/>
      <c r="F29" s="979"/>
      <c r="G29" s="3227">
        <v>0</v>
      </c>
      <c r="H29" s="3227">
        <v>0</v>
      </c>
      <c r="I29" s="3227">
        <f>+G32</f>
        <v>0</v>
      </c>
      <c r="J29" s="3227">
        <f t="shared" ref="J29:AD29" si="6">+H32</f>
        <v>0</v>
      </c>
      <c r="K29" s="3227">
        <f t="shared" si="6"/>
        <v>0</v>
      </c>
      <c r="L29" s="3227">
        <f t="shared" si="6"/>
        <v>0</v>
      </c>
      <c r="M29" s="3227">
        <f t="shared" si="6"/>
        <v>0</v>
      </c>
      <c r="N29" s="3227">
        <f t="shared" si="6"/>
        <v>0</v>
      </c>
      <c r="O29" s="3227">
        <f t="shared" si="6"/>
        <v>0</v>
      </c>
      <c r="P29" s="3227">
        <f t="shared" si="6"/>
        <v>0</v>
      </c>
      <c r="Q29" s="3227">
        <f t="shared" si="6"/>
        <v>0</v>
      </c>
      <c r="R29" s="3227">
        <f t="shared" si="6"/>
        <v>0</v>
      </c>
      <c r="S29" s="3227">
        <f t="shared" si="6"/>
        <v>0</v>
      </c>
      <c r="T29" s="3227">
        <f t="shared" si="6"/>
        <v>0</v>
      </c>
      <c r="U29" s="3227">
        <f t="shared" si="6"/>
        <v>0</v>
      </c>
      <c r="V29" s="3227">
        <f t="shared" si="6"/>
        <v>0</v>
      </c>
      <c r="W29" s="3227">
        <f t="shared" si="6"/>
        <v>0</v>
      </c>
      <c r="X29" s="3227">
        <f t="shared" si="6"/>
        <v>0</v>
      </c>
      <c r="Y29" s="3227">
        <f t="shared" si="6"/>
        <v>0</v>
      </c>
      <c r="Z29" s="3227">
        <f t="shared" si="6"/>
        <v>0</v>
      </c>
      <c r="AA29" s="3227">
        <f>+Y32</f>
        <v>0</v>
      </c>
      <c r="AB29" s="3227">
        <f t="shared" si="6"/>
        <v>0</v>
      </c>
      <c r="AC29" s="3227">
        <f t="shared" si="6"/>
        <v>0</v>
      </c>
      <c r="AD29" s="3227">
        <f t="shared" si="6"/>
        <v>0</v>
      </c>
      <c r="AE29" s="3227">
        <f>SUMIF($G$10:$AD$10,AE$10,$G29:$AD29)</f>
        <v>0</v>
      </c>
      <c r="AF29" s="1292"/>
      <c r="AG29" s="2543">
        <f t="shared" si="2"/>
        <v>0</v>
      </c>
      <c r="AH29" s="3227">
        <v>0</v>
      </c>
      <c r="AI29" s="3227">
        <v>0</v>
      </c>
      <c r="AJ29" s="3231">
        <v>0</v>
      </c>
      <c r="AK29" s="2548" t="s">
        <v>2280</v>
      </c>
      <c r="AL29" s="1111"/>
      <c r="AM29" s="1111"/>
      <c r="AQ29" s="3283">
        <f t="shared" si="3"/>
        <v>0</v>
      </c>
    </row>
    <row r="30" spans="1:44" s="1063" customFormat="1" ht="20.25">
      <c r="A30" s="979" t="s">
        <v>1574</v>
      </c>
      <c r="C30" s="979"/>
      <c r="D30" s="979"/>
      <c r="E30" s="979"/>
      <c r="F30" s="979"/>
      <c r="G30" s="3230">
        <v>0</v>
      </c>
      <c r="H30" s="3230">
        <v>0</v>
      </c>
      <c r="I30" s="3230">
        <f ca="1">IF(AND(Project_Expenses_Extrapolate,COUNTA($F$9:I$9)&gt;Projected_Income_Actual_Index),SUMIF(OFFSET($G$10,,,,Projected_Income_Actual_Index*2),I$10,OFFSET($G30,,,,Projected_Income_Actual_Index*2))/Projected_Income_Actual_Index,0)</f>
        <v>0</v>
      </c>
      <c r="J30" s="3230">
        <f ca="1">IF(AND(Project_Expenses_Extrapolate,COUNTA($F$9:J$9)&gt;Projected_Income_Actual_Index),SUMIF(OFFSET($G$10,,,,Projected_Income_Actual_Index*2),J$10,OFFSET($G30,,,,Projected_Income_Actual_Index*2))/Projected_Income_Actual_Index,0)</f>
        <v>0</v>
      </c>
      <c r="K30" s="3230">
        <f ca="1">IF(AND(Project_Expenses_Extrapolate,COUNTA($F$9:K$9)&gt;Projected_Income_Actual_Index),SUMIF(OFFSET($G$10,,,,Projected_Income_Actual_Index*2),K$10,OFFSET($G30,,,,Projected_Income_Actual_Index*2))/Projected_Income_Actual_Index,0)</f>
        <v>0</v>
      </c>
      <c r="L30" s="3230">
        <f ca="1">IF(AND(Project_Expenses_Extrapolate,COUNTA($F$9:L$9)&gt;Projected_Income_Actual_Index),SUMIF(OFFSET($G$10,,,,Projected_Income_Actual_Index*2),L$10,OFFSET($G30,,,,Projected_Income_Actual_Index*2))/Projected_Income_Actual_Index,0)</f>
        <v>0</v>
      </c>
      <c r="M30" s="3230">
        <f ca="1">IF(AND(Project_Expenses_Extrapolate,COUNTA($F$9:M$9)&gt;Projected_Income_Actual_Index),SUMIF(OFFSET($G$10,,,,Projected_Income_Actual_Index*2),M$10,OFFSET($G30,,,,Projected_Income_Actual_Index*2))/Projected_Income_Actual_Index,0)</f>
        <v>0</v>
      </c>
      <c r="N30" s="3230">
        <f ca="1">IF(AND(Project_Expenses_Extrapolate,COUNTA($F$9:N$9)&gt;Projected_Income_Actual_Index),SUMIF(OFFSET($G$10,,,,Projected_Income_Actual_Index*2),N$10,OFFSET($G30,,,,Projected_Income_Actual_Index*2))/Projected_Income_Actual_Index,0)</f>
        <v>0</v>
      </c>
      <c r="O30" s="3230">
        <f ca="1">IF(AND(Project_Expenses_Extrapolate,COUNTA($F$9:O$9)&gt;Projected_Income_Actual_Index),SUMIF(OFFSET($G$10,,,,Projected_Income_Actual_Index*2),O$10,OFFSET($G30,,,,Projected_Income_Actual_Index*2))/Projected_Income_Actual_Index,0)</f>
        <v>0</v>
      </c>
      <c r="P30" s="3230">
        <f ca="1">IF(AND(Project_Expenses_Extrapolate,COUNTA($F$9:P$9)&gt;Projected_Income_Actual_Index),SUMIF(OFFSET($G$10,,,,Projected_Income_Actual_Index*2),P$10,OFFSET($G30,,,,Projected_Income_Actual_Index*2))/Projected_Income_Actual_Index,0)</f>
        <v>0</v>
      </c>
      <c r="Q30" s="3230">
        <f ca="1">IF(AND(Project_Expenses_Extrapolate,COUNTA($F$9:Q$9)&gt;Projected_Income_Actual_Index),SUMIF(OFFSET($G$10,,,,Projected_Income_Actual_Index*2),Q$10,OFFSET($G30,,,,Projected_Income_Actual_Index*2))/Projected_Income_Actual_Index,0)</f>
        <v>0</v>
      </c>
      <c r="R30" s="3230">
        <f ca="1">IF(AND(Project_Expenses_Extrapolate,COUNTA($F$9:R$9)&gt;Projected_Income_Actual_Index),SUMIF(OFFSET($G$10,,,,Projected_Income_Actual_Index*2),R$10,OFFSET($G30,,,,Projected_Income_Actual_Index*2))/Projected_Income_Actual_Index,0)</f>
        <v>0</v>
      </c>
      <c r="S30" s="3230">
        <f ca="1">IF(AND(Project_Expenses_Extrapolate,COUNTA($F$9:S$9)&gt;Projected_Income_Actual_Index),SUMIF(OFFSET($G$10,,,,Projected_Income_Actual_Index*2),S$10,OFFSET($G30,,,,Projected_Income_Actual_Index*2))/Projected_Income_Actual_Index,0)</f>
        <v>0</v>
      </c>
      <c r="T30" s="3230">
        <f ca="1">IF(AND(Project_Expenses_Extrapolate,COUNTA($F$9:T$9)&gt;Projected_Income_Actual_Index),SUMIF(OFFSET($G$10,,,,Projected_Income_Actual_Index*2),T$10,OFFSET($G30,,,,Projected_Income_Actual_Index*2))/Projected_Income_Actual_Index,0)</f>
        <v>0</v>
      </c>
      <c r="U30" s="3230">
        <f ca="1">IF(AND(Project_Expenses_Extrapolate,COUNTA($F$9:U$9)&gt;Projected_Income_Actual_Index),SUMIF(OFFSET($G$10,,,,Projected_Income_Actual_Index*2),U$10,OFFSET($G30,,,,Projected_Income_Actual_Index*2))/Projected_Income_Actual_Index,0)</f>
        <v>0</v>
      </c>
      <c r="V30" s="3230">
        <f ca="1">IF(AND(Project_Expenses_Extrapolate,COUNTA($F$9:V$9)&gt;Projected_Income_Actual_Index),SUMIF(OFFSET($G$10,,,,Projected_Income_Actual_Index*2),V$10,OFFSET($G30,,,,Projected_Income_Actual_Index*2))/Projected_Income_Actual_Index,0)</f>
        <v>0</v>
      </c>
      <c r="W30" s="3230">
        <f ca="1">IF(AND(Project_Expenses_Extrapolate,COUNTA($F$9:W$9)&gt;Projected_Income_Actual_Index),SUMIF(OFFSET($G$10,,,,Projected_Income_Actual_Index*2),W$10,OFFSET($G30,,,,Projected_Income_Actual_Index*2))/Projected_Income_Actual_Index,0)</f>
        <v>0</v>
      </c>
      <c r="X30" s="3230">
        <f ca="1">IF(AND(Project_Expenses_Extrapolate,COUNTA($F$9:X$9)&gt;Projected_Income_Actual_Index),SUMIF(OFFSET($G$10,,,,Projected_Income_Actual_Index*2),X$10,OFFSET($G30,,,,Projected_Income_Actual_Index*2))/Projected_Income_Actual_Index,0)</f>
        <v>0</v>
      </c>
      <c r="Y30" s="3230">
        <f ca="1">IF(AND(Project_Expenses_Extrapolate,COUNTA($F$9:Y$9)&gt;Projected_Income_Actual_Index),SUMIF(OFFSET($G$10,,,,Projected_Income_Actual_Index*2),Y$10,OFFSET($G30,,,,Projected_Income_Actual_Index*2))/Projected_Income_Actual_Index,0)</f>
        <v>0</v>
      </c>
      <c r="Z30" s="3230">
        <f ca="1">IF(AND(Project_Expenses_Extrapolate,COUNTA($F$9:Z$9)&gt;Projected_Income_Actual_Index),SUMIF(OFFSET($G$10,,,,Projected_Income_Actual_Index*2),Z$10,OFFSET($G30,,,,Projected_Income_Actual_Index*2))/Projected_Income_Actual_Index,0)</f>
        <v>0</v>
      </c>
      <c r="AA30" s="3230">
        <f ca="1">IF(AND(Project_Expenses_Extrapolate,COUNTA($F$9:AA$9)&gt;Projected_Income_Actual_Index),SUMIF(OFFSET($G$10,,,,Projected_Income_Actual_Index*2),AA$10,OFFSET($G30,,,,Projected_Income_Actual_Index*2))/Projected_Income_Actual_Index,0)</f>
        <v>0</v>
      </c>
      <c r="AB30" s="3230">
        <f ca="1">IF(AND(Project_Expenses_Extrapolate,COUNTA($F$9:AB$9)&gt;Projected_Income_Actual_Index),SUMIF(OFFSET($G$10,,,,Projected_Income_Actual_Index*2),AB$10,OFFSET($G30,,,,Projected_Income_Actual_Index*2))/Projected_Income_Actual_Index,0)</f>
        <v>0</v>
      </c>
      <c r="AC30" s="3230">
        <f ca="1">IF(AND(Project_Expenses_Extrapolate,COUNTA($F$9:AC$9)&gt;Projected_Income_Actual_Index),SUMIF(OFFSET($G$10,,,,Projected_Income_Actual_Index*2),AC$10,OFFSET($G30,,,,Projected_Income_Actual_Index*2))/Projected_Income_Actual_Index,0)</f>
        <v>0</v>
      </c>
      <c r="AD30" s="3230">
        <f ca="1">IF(AND(Project_Expenses_Extrapolate,COUNTA($F$9:AD$9)&gt;Projected_Income_Actual_Index),SUMIF(OFFSET($G$10,,,,Projected_Income_Actual_Index*2),AD$10,OFFSET($G30,,,,Projected_Income_Actual_Index*2))/Projected_Income_Actual_Index,0)</f>
        <v>0</v>
      </c>
      <c r="AE30" s="3230">
        <f ca="1">SUMIF($G$10:$AD$10,AE$10,$G30:$AD30)</f>
        <v>0</v>
      </c>
      <c r="AF30" s="3230">
        <f ca="1">SUMIF($G$10:$AD$10,AF$10,$G30:$AD30)</f>
        <v>0</v>
      </c>
      <c r="AG30" s="2543">
        <f t="shared" ca="1" si="2"/>
        <v>0</v>
      </c>
      <c r="AH30" s="3230">
        <v>0</v>
      </c>
      <c r="AI30" s="3230">
        <v>0</v>
      </c>
      <c r="AJ30" s="3237">
        <v>0</v>
      </c>
      <c r="AK30" s="2548" t="s">
        <v>2280</v>
      </c>
      <c r="AL30" s="1111"/>
      <c r="AM30" s="1111"/>
      <c r="AQ30" s="3283">
        <f t="shared" ca="1" si="3"/>
        <v>0</v>
      </c>
    </row>
    <row r="31" spans="1:44" s="1063" customFormat="1" ht="20.25">
      <c r="A31" s="979"/>
      <c r="C31" s="979"/>
      <c r="D31" s="979"/>
      <c r="E31" s="979"/>
      <c r="F31" s="979"/>
      <c r="G31" s="1292">
        <f>SUM(G29:G30)</f>
        <v>0</v>
      </c>
      <c r="H31" s="1292">
        <f t="shared" ref="H31:AJ31" si="7">SUM(H29:H30)</f>
        <v>0</v>
      </c>
      <c r="I31" s="1292">
        <f t="shared" ca="1" si="7"/>
        <v>0</v>
      </c>
      <c r="J31" s="1292">
        <f t="shared" ca="1" si="7"/>
        <v>0</v>
      </c>
      <c r="K31" s="1292">
        <f t="shared" ca="1" si="7"/>
        <v>0</v>
      </c>
      <c r="L31" s="1292">
        <f t="shared" ca="1" si="7"/>
        <v>0</v>
      </c>
      <c r="M31" s="1292">
        <f t="shared" ca="1" si="7"/>
        <v>0</v>
      </c>
      <c r="N31" s="1292">
        <f t="shared" ca="1" si="7"/>
        <v>0</v>
      </c>
      <c r="O31" s="1292">
        <f t="shared" ca="1" si="7"/>
        <v>0</v>
      </c>
      <c r="P31" s="1292">
        <f t="shared" ca="1" si="7"/>
        <v>0</v>
      </c>
      <c r="Q31" s="1292">
        <f t="shared" ca="1" si="7"/>
        <v>0</v>
      </c>
      <c r="R31" s="1292">
        <f t="shared" ca="1" si="7"/>
        <v>0</v>
      </c>
      <c r="S31" s="1292">
        <f t="shared" ca="1" si="7"/>
        <v>0</v>
      </c>
      <c r="T31" s="1292">
        <f t="shared" ca="1" si="7"/>
        <v>0</v>
      </c>
      <c r="U31" s="1292">
        <f t="shared" ca="1" si="7"/>
        <v>0</v>
      </c>
      <c r="V31" s="1292">
        <f t="shared" ca="1" si="7"/>
        <v>0</v>
      </c>
      <c r="W31" s="1292">
        <f t="shared" ca="1" si="7"/>
        <v>0</v>
      </c>
      <c r="X31" s="1292">
        <f t="shared" ca="1" si="7"/>
        <v>0</v>
      </c>
      <c r="Y31" s="1292">
        <f t="shared" ca="1" si="7"/>
        <v>0</v>
      </c>
      <c r="Z31" s="1292">
        <f t="shared" ca="1" si="7"/>
        <v>0</v>
      </c>
      <c r="AA31" s="1292">
        <f t="shared" ca="1" si="7"/>
        <v>0</v>
      </c>
      <c r="AB31" s="1292">
        <f t="shared" ca="1" si="7"/>
        <v>0</v>
      </c>
      <c r="AC31" s="1292">
        <f t="shared" ca="1" si="7"/>
        <v>0</v>
      </c>
      <c r="AD31" s="1292">
        <f t="shared" ca="1" si="7"/>
        <v>0</v>
      </c>
      <c r="AE31" s="1292">
        <f ca="1">SUM(AE29:AE30)</f>
        <v>0</v>
      </c>
      <c r="AF31" s="1292">
        <f t="shared" ca="1" si="7"/>
        <v>0</v>
      </c>
      <c r="AG31" s="2543">
        <f t="shared" ca="1" si="2"/>
        <v>0</v>
      </c>
      <c r="AH31" s="1292">
        <f t="shared" si="7"/>
        <v>0</v>
      </c>
      <c r="AI31" s="1292">
        <f t="shared" si="7"/>
        <v>0</v>
      </c>
      <c r="AJ31" s="3234">
        <f t="shared" si="7"/>
        <v>0</v>
      </c>
      <c r="AK31" s="2548" t="s">
        <v>2280</v>
      </c>
      <c r="AL31" s="1111"/>
      <c r="AM31" s="1111"/>
      <c r="AQ31" s="3283">
        <f t="shared" ca="1" si="3"/>
        <v>0</v>
      </c>
    </row>
    <row r="32" spans="1:44" s="1063" customFormat="1" ht="20.25">
      <c r="A32" s="979" t="s">
        <v>1575</v>
      </c>
      <c r="C32" s="979"/>
      <c r="D32" s="979"/>
      <c r="E32" s="979"/>
      <c r="F32" s="979"/>
      <c r="G32" s="3231">
        <v>0</v>
      </c>
      <c r="H32" s="3231">
        <v>0</v>
      </c>
      <c r="I32" s="3231">
        <v>0</v>
      </c>
      <c r="J32" s="3231">
        <v>0</v>
      </c>
      <c r="K32" s="3231">
        <v>0</v>
      </c>
      <c r="L32" s="3231">
        <v>0</v>
      </c>
      <c r="M32" s="3231">
        <v>0</v>
      </c>
      <c r="N32" s="3231">
        <v>0</v>
      </c>
      <c r="O32" s="3231">
        <v>0</v>
      </c>
      <c r="P32" s="3231">
        <v>0</v>
      </c>
      <c r="Q32" s="3231">
        <v>0</v>
      </c>
      <c r="R32" s="3231">
        <v>0</v>
      </c>
      <c r="S32" s="3231">
        <v>0</v>
      </c>
      <c r="T32" s="3231">
        <v>0</v>
      </c>
      <c r="U32" s="3231">
        <v>0</v>
      </c>
      <c r="V32" s="3231">
        <v>0</v>
      </c>
      <c r="W32" s="3231">
        <v>0</v>
      </c>
      <c r="X32" s="3231">
        <v>0</v>
      </c>
      <c r="Y32" s="3231">
        <v>0</v>
      </c>
      <c r="Z32" s="3231">
        <v>0</v>
      </c>
      <c r="AA32" s="3231">
        <v>0</v>
      </c>
      <c r="AB32" s="3231">
        <v>0</v>
      </c>
      <c r="AC32" s="3231">
        <v>0</v>
      </c>
      <c r="AD32" s="3231">
        <v>0</v>
      </c>
      <c r="AE32" s="3232">
        <f>SUM(G32:AC32)</f>
        <v>0</v>
      </c>
      <c r="AF32" s="3227">
        <v>0</v>
      </c>
      <c r="AG32" s="2543">
        <f t="shared" si="2"/>
        <v>0</v>
      </c>
      <c r="AH32" s="3227">
        <v>0</v>
      </c>
      <c r="AI32" s="3227">
        <v>0</v>
      </c>
      <c r="AJ32" s="3231">
        <v>0</v>
      </c>
      <c r="AK32" s="2548" t="s">
        <v>2280</v>
      </c>
      <c r="AL32" s="1111"/>
      <c r="AM32" s="1111"/>
      <c r="AQ32" s="3283">
        <f t="shared" si="3"/>
        <v>0</v>
      </c>
    </row>
    <row r="33" spans="1:43" s="1063" customFormat="1" ht="20.25">
      <c r="A33" s="1118" t="s">
        <v>1576</v>
      </c>
      <c r="B33" s="979"/>
      <c r="C33" s="979"/>
      <c r="D33" s="979"/>
      <c r="E33" s="979"/>
      <c r="F33" s="979"/>
      <c r="G33" s="1316">
        <f>+G31-G32</f>
        <v>0</v>
      </c>
      <c r="H33" s="1316">
        <f t="shared" ref="H33:AJ33" si="8">+H31-H32</f>
        <v>0</v>
      </c>
      <c r="I33" s="1316">
        <f t="shared" ca="1" si="8"/>
        <v>0</v>
      </c>
      <c r="J33" s="1316">
        <f t="shared" ca="1" si="8"/>
        <v>0</v>
      </c>
      <c r="K33" s="1316">
        <f t="shared" ca="1" si="8"/>
        <v>0</v>
      </c>
      <c r="L33" s="1316">
        <f t="shared" ca="1" si="8"/>
        <v>0</v>
      </c>
      <c r="M33" s="1316">
        <f t="shared" ca="1" si="8"/>
        <v>0</v>
      </c>
      <c r="N33" s="1316">
        <f t="shared" ca="1" si="8"/>
        <v>0</v>
      </c>
      <c r="O33" s="1316">
        <f t="shared" ca="1" si="8"/>
        <v>0</v>
      </c>
      <c r="P33" s="1316">
        <f t="shared" ca="1" si="8"/>
        <v>0</v>
      </c>
      <c r="Q33" s="1316">
        <f t="shared" ca="1" si="8"/>
        <v>0</v>
      </c>
      <c r="R33" s="1316">
        <f t="shared" ca="1" si="8"/>
        <v>0</v>
      </c>
      <c r="S33" s="1316">
        <f t="shared" ca="1" si="8"/>
        <v>0</v>
      </c>
      <c r="T33" s="1316">
        <f t="shared" ca="1" si="8"/>
        <v>0</v>
      </c>
      <c r="U33" s="1316">
        <f t="shared" ca="1" si="8"/>
        <v>0</v>
      </c>
      <c r="V33" s="1316">
        <f t="shared" ca="1" si="8"/>
        <v>0</v>
      </c>
      <c r="W33" s="1316">
        <f t="shared" ca="1" si="8"/>
        <v>0</v>
      </c>
      <c r="X33" s="1316">
        <f t="shared" ca="1" si="8"/>
        <v>0</v>
      </c>
      <c r="Y33" s="1316">
        <f t="shared" ca="1" si="8"/>
        <v>0</v>
      </c>
      <c r="Z33" s="1316">
        <f t="shared" ca="1" si="8"/>
        <v>0</v>
      </c>
      <c r="AA33" s="1316">
        <f t="shared" ca="1" si="8"/>
        <v>0</v>
      </c>
      <c r="AB33" s="1316">
        <f t="shared" ca="1" si="8"/>
        <v>0</v>
      </c>
      <c r="AC33" s="1316">
        <f ca="1">+AC31-AC32</f>
        <v>0</v>
      </c>
      <c r="AD33" s="1316">
        <f t="shared" ref="AD33:AE33" ca="1" si="9">+AD31-AD32</f>
        <v>0</v>
      </c>
      <c r="AE33" s="1316">
        <f t="shared" ca="1" si="9"/>
        <v>0</v>
      </c>
      <c r="AF33" s="1316">
        <f ca="1">SUMIF($G$10:$AD$10,AF$10,$G$33:$AD$33)</f>
        <v>0</v>
      </c>
      <c r="AG33" s="2543">
        <f t="shared" ca="1" si="2"/>
        <v>0</v>
      </c>
      <c r="AH33" s="1316">
        <f t="shared" si="8"/>
        <v>0</v>
      </c>
      <c r="AI33" s="1316">
        <f t="shared" si="8"/>
        <v>0</v>
      </c>
      <c r="AJ33" s="3238">
        <f t="shared" si="8"/>
        <v>0</v>
      </c>
      <c r="AK33" s="2548" t="s">
        <v>2280</v>
      </c>
      <c r="AL33" s="1111"/>
      <c r="AM33" s="1111"/>
      <c r="AQ33" s="3283">
        <f t="shared" ca="1" si="3"/>
        <v>0</v>
      </c>
    </row>
    <row r="34" spans="1:43" s="1063" customFormat="1" ht="20.25">
      <c r="A34" s="1118" t="s">
        <v>2053</v>
      </c>
      <c r="B34" s="979"/>
      <c r="C34" s="979"/>
      <c r="D34" s="979"/>
      <c r="E34" s="979"/>
      <c r="F34" s="979"/>
      <c r="G34" s="1292">
        <f>G26-G33</f>
        <v>0</v>
      </c>
      <c r="H34" s="1292">
        <f t="shared" ref="H34:AE34" si="10">H26-H33</f>
        <v>0</v>
      </c>
      <c r="I34" s="1292">
        <f t="shared" ca="1" si="10"/>
        <v>0</v>
      </c>
      <c r="J34" s="1292">
        <f t="shared" ca="1" si="10"/>
        <v>0</v>
      </c>
      <c r="K34" s="1292">
        <f t="shared" ca="1" si="10"/>
        <v>0</v>
      </c>
      <c r="L34" s="1292">
        <f t="shared" ca="1" si="10"/>
        <v>0</v>
      </c>
      <c r="M34" s="1292">
        <f t="shared" ca="1" si="10"/>
        <v>0</v>
      </c>
      <c r="N34" s="1292">
        <f t="shared" ca="1" si="10"/>
        <v>0</v>
      </c>
      <c r="O34" s="1292">
        <f t="shared" ca="1" si="10"/>
        <v>0</v>
      </c>
      <c r="P34" s="1292">
        <f t="shared" ca="1" si="10"/>
        <v>0</v>
      </c>
      <c r="Q34" s="1292">
        <f t="shared" ca="1" si="10"/>
        <v>0</v>
      </c>
      <c r="R34" s="1292">
        <f t="shared" ca="1" si="10"/>
        <v>0</v>
      </c>
      <c r="S34" s="1292">
        <f t="shared" ca="1" si="10"/>
        <v>0</v>
      </c>
      <c r="T34" s="1292">
        <f t="shared" ca="1" si="10"/>
        <v>0</v>
      </c>
      <c r="U34" s="1292">
        <f t="shared" ca="1" si="10"/>
        <v>0</v>
      </c>
      <c r="V34" s="1292">
        <f t="shared" ca="1" si="10"/>
        <v>0</v>
      </c>
      <c r="W34" s="1292">
        <f t="shared" ca="1" si="10"/>
        <v>0</v>
      </c>
      <c r="X34" s="1292">
        <f t="shared" ca="1" si="10"/>
        <v>0</v>
      </c>
      <c r="Y34" s="1292">
        <f t="shared" ca="1" si="10"/>
        <v>0</v>
      </c>
      <c r="Z34" s="1292">
        <f t="shared" ca="1" si="10"/>
        <v>0</v>
      </c>
      <c r="AA34" s="1292">
        <f t="shared" ca="1" si="10"/>
        <v>0</v>
      </c>
      <c r="AB34" s="1292">
        <f t="shared" ca="1" si="10"/>
        <v>0</v>
      </c>
      <c r="AC34" s="1292">
        <f t="shared" ca="1" si="10"/>
        <v>0</v>
      </c>
      <c r="AD34" s="1292">
        <f t="shared" ca="1" si="10"/>
        <v>0</v>
      </c>
      <c r="AE34" s="1292">
        <f t="shared" ca="1" si="10"/>
        <v>0</v>
      </c>
      <c r="AF34" s="1292">
        <f t="shared" ref="AF34" ca="1" si="11">AF26-AF33</f>
        <v>0</v>
      </c>
      <c r="AG34" s="2543">
        <f t="shared" ca="1" si="2"/>
        <v>0</v>
      </c>
      <c r="AH34" s="1292">
        <f t="shared" ref="AH34" si="12">AH26-AH33</f>
        <v>0</v>
      </c>
      <c r="AI34" s="1292"/>
      <c r="AJ34" s="3235">
        <f t="shared" ref="AJ34" si="13">AJ26-AJ33</f>
        <v>0</v>
      </c>
      <c r="AK34" s="2548" t="s">
        <v>2280</v>
      </c>
      <c r="AL34" s="1111"/>
      <c r="AM34" s="1111"/>
    </row>
    <row r="35" spans="1:43" s="1063" customFormat="1" ht="20.25">
      <c r="A35" s="1118" t="s">
        <v>2052</v>
      </c>
      <c r="B35" s="979"/>
      <c r="C35" s="979"/>
      <c r="D35" s="979"/>
      <c r="E35" s="979"/>
      <c r="F35" s="979"/>
      <c r="G35" s="3224" t="str">
        <f>IFERROR(G34/G26,"")</f>
        <v/>
      </c>
      <c r="H35" s="3224" t="str">
        <f t="shared" ref="H35:AH35" si="14">IFERROR(H34/H26,"")</f>
        <v/>
      </c>
      <c r="I35" s="3224" t="str">
        <f t="shared" ca="1" si="14"/>
        <v/>
      </c>
      <c r="J35" s="3224" t="str">
        <f t="shared" ca="1" si="14"/>
        <v/>
      </c>
      <c r="K35" s="3224" t="str">
        <f t="shared" ca="1" si="14"/>
        <v/>
      </c>
      <c r="L35" s="3224" t="str">
        <f t="shared" ca="1" si="14"/>
        <v/>
      </c>
      <c r="M35" s="3224" t="str">
        <f t="shared" ca="1" si="14"/>
        <v/>
      </c>
      <c r="N35" s="3224" t="str">
        <f t="shared" ca="1" si="14"/>
        <v/>
      </c>
      <c r="O35" s="3224" t="str">
        <f t="shared" ca="1" si="14"/>
        <v/>
      </c>
      <c r="P35" s="3224" t="str">
        <f t="shared" ca="1" si="14"/>
        <v/>
      </c>
      <c r="Q35" s="3224" t="str">
        <f t="shared" ca="1" si="14"/>
        <v/>
      </c>
      <c r="R35" s="3224" t="str">
        <f t="shared" ca="1" si="14"/>
        <v/>
      </c>
      <c r="S35" s="3224" t="str">
        <f t="shared" ca="1" si="14"/>
        <v/>
      </c>
      <c r="T35" s="3224" t="str">
        <f t="shared" ca="1" si="14"/>
        <v/>
      </c>
      <c r="U35" s="3224" t="str">
        <f t="shared" ca="1" si="14"/>
        <v/>
      </c>
      <c r="V35" s="3224" t="str">
        <f t="shared" ca="1" si="14"/>
        <v/>
      </c>
      <c r="W35" s="3224" t="str">
        <f t="shared" ca="1" si="14"/>
        <v/>
      </c>
      <c r="X35" s="3224" t="str">
        <f t="shared" ca="1" si="14"/>
        <v/>
      </c>
      <c r="Y35" s="3224" t="str">
        <f t="shared" ca="1" si="14"/>
        <v/>
      </c>
      <c r="Z35" s="3224" t="str">
        <f t="shared" ca="1" si="14"/>
        <v/>
      </c>
      <c r="AA35" s="3224" t="str">
        <f t="shared" ca="1" si="14"/>
        <v/>
      </c>
      <c r="AB35" s="3224" t="str">
        <f t="shared" ca="1" si="14"/>
        <v/>
      </c>
      <c r="AC35" s="3224" t="str">
        <f t="shared" ca="1" si="14"/>
        <v/>
      </c>
      <c r="AD35" s="3224" t="str">
        <f t="shared" ca="1" si="14"/>
        <v/>
      </c>
      <c r="AE35" s="3224" t="str">
        <f t="shared" ca="1" si="14"/>
        <v/>
      </c>
      <c r="AF35" s="3224" t="str">
        <f t="shared" ca="1" si="14"/>
        <v/>
      </c>
      <c r="AG35" s="3225"/>
      <c r="AH35" s="3224" t="str">
        <f t="shared" si="14"/>
        <v/>
      </c>
      <c r="AI35" s="3224"/>
      <c r="AJ35" s="3226" t="str">
        <f t="shared" ref="AJ35" si="15">IFERROR(AJ34/AJ26,"")</f>
        <v/>
      </c>
      <c r="AK35" s="2550"/>
      <c r="AL35" s="1111"/>
      <c r="AM35" s="1111"/>
    </row>
    <row r="36" spans="1:43" s="1063" customFormat="1" ht="20.25">
      <c r="A36" s="1122"/>
      <c r="B36" s="979"/>
      <c r="C36" s="979"/>
      <c r="D36" s="979"/>
      <c r="E36" s="979"/>
      <c r="F36" s="979"/>
      <c r="G36" s="1119"/>
      <c r="H36" s="1119"/>
      <c r="I36" s="1119"/>
      <c r="J36" s="1119"/>
      <c r="K36" s="1119"/>
      <c r="L36" s="1119"/>
      <c r="M36" s="1119"/>
      <c r="N36" s="1119"/>
      <c r="O36" s="1119"/>
      <c r="P36" s="1119"/>
      <c r="Q36" s="1119"/>
      <c r="R36" s="1119"/>
      <c r="S36" s="1119"/>
      <c r="T36" s="1119"/>
      <c r="U36" s="1119"/>
      <c r="V36" s="1119"/>
      <c r="W36" s="1119"/>
      <c r="X36" s="1119"/>
      <c r="Y36" s="1119"/>
      <c r="Z36" s="1119"/>
      <c r="AA36" s="1119"/>
      <c r="AB36" s="1119"/>
      <c r="AC36" s="1119"/>
      <c r="AD36" s="1119"/>
      <c r="AE36" s="1119"/>
      <c r="AF36" s="1119"/>
      <c r="AG36" s="2543"/>
      <c r="AH36" s="1119"/>
      <c r="AI36" s="1119"/>
      <c r="AJ36" s="2547"/>
      <c r="AK36" s="2549"/>
      <c r="AL36" s="1111"/>
      <c r="AM36" s="1111"/>
      <c r="AQ36" s="3283">
        <v>1</v>
      </c>
    </row>
    <row r="37" spans="1:43" s="1063" customFormat="1" ht="20.25">
      <c r="A37" s="1118" t="s">
        <v>313</v>
      </c>
      <c r="B37" s="979"/>
      <c r="C37" s="979"/>
      <c r="D37" s="3738"/>
      <c r="E37" s="3738"/>
      <c r="F37" s="979"/>
      <c r="G37" s="1061"/>
      <c r="H37" s="1061"/>
      <c r="I37" s="1061"/>
      <c r="J37" s="1061"/>
      <c r="K37" s="1061"/>
      <c r="L37" s="1061"/>
      <c r="M37" s="1061"/>
      <c r="N37" s="1061"/>
      <c r="O37" s="1061"/>
      <c r="P37" s="1061"/>
      <c r="Q37" s="1061"/>
      <c r="R37" s="1061"/>
      <c r="S37" s="1061"/>
      <c r="T37" s="1061"/>
      <c r="U37" s="1061"/>
      <c r="V37" s="1061"/>
      <c r="W37" s="1061"/>
      <c r="X37" s="1061"/>
      <c r="Y37" s="1061"/>
      <c r="Z37" s="1061"/>
      <c r="AA37" s="1061"/>
      <c r="AB37" s="1061"/>
      <c r="AC37" s="1061"/>
      <c r="AD37" s="1061"/>
      <c r="AE37" s="1123"/>
      <c r="AF37" s="1123"/>
      <c r="AG37" s="2543"/>
      <c r="AH37" s="1061"/>
      <c r="AI37" s="1061"/>
      <c r="AJ37" s="2546"/>
      <c r="AK37" s="2549"/>
      <c r="AL37" s="1111"/>
      <c r="AM37" s="1111"/>
      <c r="AQ37" s="3283">
        <v>1</v>
      </c>
    </row>
    <row r="38" spans="1:43" s="1063" customFormat="1" ht="20.25">
      <c r="A38" s="979" t="s">
        <v>852</v>
      </c>
      <c r="C38" s="979"/>
      <c r="D38" s="979"/>
      <c r="E38" s="979"/>
      <c r="F38" s="979"/>
      <c r="G38" s="3227">
        <v>0</v>
      </c>
      <c r="H38" s="3227">
        <v>0</v>
      </c>
      <c r="I38" s="3227">
        <f ca="1">IF(AND(Project_Expenses_Extrapolate,COUNTA($F$9:I$9)&gt;Projected_Income_Actual_Index),SUMIF(OFFSET($G$10,,,,Projected_Income_Actual_Index*2),I$10,OFFSET($G38,,,,Projected_Income_Actual_Index*2))/Projected_Income_Actual_Index,0)</f>
        <v>0</v>
      </c>
      <c r="J38" s="3227">
        <f ca="1">IF(AND(Project_Expenses_Extrapolate,COUNTA($F$9:J$9)&gt;Projected_Income_Actual_Index),SUMIF(OFFSET($G$10,,,,Projected_Income_Actual_Index*2),J$10,OFFSET($G38,,,,Projected_Income_Actual_Index*2))/Projected_Income_Actual_Index,0)</f>
        <v>0</v>
      </c>
      <c r="K38" s="3227">
        <f ca="1">IF(AND(Project_Expenses_Extrapolate,COUNTA($F$9:K$9)&gt;Projected_Income_Actual_Index),SUMIF(OFFSET($G$10,,,,Projected_Income_Actual_Index*2),K$10,OFFSET($G38,,,,Projected_Income_Actual_Index*2))/Projected_Income_Actual_Index,0)</f>
        <v>0</v>
      </c>
      <c r="L38" s="3227">
        <f ca="1">IF(AND(Project_Expenses_Extrapolate,COUNTA($F$9:L$9)&gt;Projected_Income_Actual_Index),SUMIF(OFFSET($G$10,,,,Projected_Income_Actual_Index*2),L$10,OFFSET($G38,,,,Projected_Income_Actual_Index*2))/Projected_Income_Actual_Index,0)</f>
        <v>0</v>
      </c>
      <c r="M38" s="3227">
        <f ca="1">IF(AND(Project_Expenses_Extrapolate,COUNTA($F$9:M$9)&gt;Projected_Income_Actual_Index),SUMIF(OFFSET($G$10,,,,Projected_Income_Actual_Index*2),M$10,OFFSET($G38,,,,Projected_Income_Actual_Index*2))/Projected_Income_Actual_Index,0)</f>
        <v>0</v>
      </c>
      <c r="N38" s="3227">
        <f ca="1">IF(AND(Project_Expenses_Extrapolate,COUNTA($F$9:N$9)&gt;Projected_Income_Actual_Index),SUMIF(OFFSET($G$10,,,,Projected_Income_Actual_Index*2),N$10,OFFSET($G38,,,,Projected_Income_Actual_Index*2))/Projected_Income_Actual_Index,0)</f>
        <v>0</v>
      </c>
      <c r="O38" s="3227">
        <f ca="1">IF(AND(Project_Expenses_Extrapolate,COUNTA($F$9:O$9)&gt;Projected_Income_Actual_Index),SUMIF(OFFSET($G$10,,,,Projected_Income_Actual_Index*2),O$10,OFFSET($G38,,,,Projected_Income_Actual_Index*2))/Projected_Income_Actual_Index,0)</f>
        <v>0</v>
      </c>
      <c r="P38" s="3227">
        <f ca="1">IF(AND(Project_Expenses_Extrapolate,COUNTA($F$9:P$9)&gt;Projected_Income_Actual_Index),SUMIF(OFFSET($G$10,,,,Projected_Income_Actual_Index*2),P$10,OFFSET($G38,,,,Projected_Income_Actual_Index*2))/Projected_Income_Actual_Index,0)</f>
        <v>0</v>
      </c>
      <c r="Q38" s="3227">
        <f ca="1">IF(AND(Project_Expenses_Extrapolate,COUNTA($F$9:Q$9)&gt;Projected_Income_Actual_Index),SUMIF(OFFSET($G$10,,,,Projected_Income_Actual_Index*2),Q$10,OFFSET($G38,,,,Projected_Income_Actual_Index*2))/Projected_Income_Actual_Index,0)</f>
        <v>0</v>
      </c>
      <c r="R38" s="3227">
        <f ca="1">IF(AND(Project_Expenses_Extrapolate,COUNTA($F$9:R$9)&gt;Projected_Income_Actual_Index),SUMIF(OFFSET($G$10,,,,Projected_Income_Actual_Index*2),R$10,OFFSET($G38,,,,Projected_Income_Actual_Index*2))/Projected_Income_Actual_Index,0)</f>
        <v>0</v>
      </c>
      <c r="S38" s="3227">
        <f ca="1">IF(AND(Project_Expenses_Extrapolate,COUNTA($F$9:S$9)&gt;Projected_Income_Actual_Index),SUMIF(OFFSET($G$10,,,,Projected_Income_Actual_Index*2),S$10,OFFSET($G38,,,,Projected_Income_Actual_Index*2))/Projected_Income_Actual_Index,0)</f>
        <v>0</v>
      </c>
      <c r="T38" s="3227">
        <f ca="1">IF(AND(Project_Expenses_Extrapolate,COUNTA($F$9:T$9)&gt;Projected_Income_Actual_Index),SUMIF(OFFSET($G$10,,,,Projected_Income_Actual_Index*2),T$10,OFFSET($G38,,,,Projected_Income_Actual_Index*2))/Projected_Income_Actual_Index,0)</f>
        <v>0</v>
      </c>
      <c r="U38" s="3227">
        <f ca="1">IF(AND(Project_Expenses_Extrapolate,COUNTA($F$9:U$9)&gt;Projected_Income_Actual_Index),SUMIF(OFFSET($G$10,,,,Projected_Income_Actual_Index*2),U$10,OFFSET($G38,,,,Projected_Income_Actual_Index*2))/Projected_Income_Actual_Index,0)</f>
        <v>0</v>
      </c>
      <c r="V38" s="3227">
        <f ca="1">IF(AND(Project_Expenses_Extrapolate,COUNTA($F$9:V$9)&gt;Projected_Income_Actual_Index),SUMIF(OFFSET($G$10,,,,Projected_Income_Actual_Index*2),V$10,OFFSET($G38,,,,Projected_Income_Actual_Index*2))/Projected_Income_Actual_Index,0)</f>
        <v>0</v>
      </c>
      <c r="W38" s="3227">
        <f ca="1">IF(AND(Project_Expenses_Extrapolate,COUNTA($F$9:W$9)&gt;Projected_Income_Actual_Index),SUMIF(OFFSET($G$10,,,,Projected_Income_Actual_Index*2),W$10,OFFSET($G38,,,,Projected_Income_Actual_Index*2))/Projected_Income_Actual_Index,0)</f>
        <v>0</v>
      </c>
      <c r="X38" s="3227">
        <f ca="1">IF(AND(Project_Expenses_Extrapolate,COUNTA($F$9:X$9)&gt;Projected_Income_Actual_Index),SUMIF(OFFSET($G$10,,,,Projected_Income_Actual_Index*2),X$10,OFFSET($G38,,,,Projected_Income_Actual_Index*2))/Projected_Income_Actual_Index,0)</f>
        <v>0</v>
      </c>
      <c r="Y38" s="3227">
        <f ca="1">IF(AND(Project_Expenses_Extrapolate,COUNTA($F$9:Y$9)&gt;Projected_Income_Actual_Index),SUMIF(OFFSET($G$10,,,,Projected_Income_Actual_Index*2),Y$10,OFFSET($G38,,,,Projected_Income_Actual_Index*2))/Projected_Income_Actual_Index,0)</f>
        <v>0</v>
      </c>
      <c r="Z38" s="3227">
        <f ca="1">IF(AND(Project_Expenses_Extrapolate,COUNTA($F$9:Z$9)&gt;Projected_Income_Actual_Index),SUMIF(OFFSET($G$10,,,,Projected_Income_Actual_Index*2),Z$10,OFFSET($G38,,,,Projected_Income_Actual_Index*2))/Projected_Income_Actual_Index,0)</f>
        <v>0</v>
      </c>
      <c r="AA38" s="3227">
        <f ca="1">IF(AND(Project_Expenses_Extrapolate,COUNTA($F$9:AA$9)&gt;Projected_Income_Actual_Index),SUMIF(OFFSET($G$10,,,,Projected_Income_Actual_Index*2),AA$10,OFFSET($G38,,,,Projected_Income_Actual_Index*2))/Projected_Income_Actual_Index,0)</f>
        <v>0</v>
      </c>
      <c r="AB38" s="3227">
        <f ca="1">IF(AND(Project_Expenses_Extrapolate,COUNTA($F$9:AB$9)&gt;Projected_Income_Actual_Index),SUMIF(OFFSET($G$10,,,,Projected_Income_Actual_Index*2),AB$10,OFFSET($G38,,,,Projected_Income_Actual_Index*2))/Projected_Income_Actual_Index,0)</f>
        <v>0</v>
      </c>
      <c r="AC38" s="3227">
        <f ca="1">IF(AND(Project_Expenses_Extrapolate,COUNTA($F$9:AC$9)&gt;Projected_Income_Actual_Index),SUMIF(OFFSET($G$10,,,,Projected_Income_Actual_Index*2),AC$10,OFFSET($G38,,,,Projected_Income_Actual_Index*2))/Projected_Income_Actual_Index,0)</f>
        <v>0</v>
      </c>
      <c r="AD38" s="3227">
        <f ca="1">IF(AND(Project_Expenses_Extrapolate,COUNTA($F$9:AD$9)&gt;Projected_Income_Actual_Index),SUMIF(OFFSET($G$10,,,,Projected_Income_Actual_Index*2),AD$10,OFFSET($G38,,,,Projected_Income_Actual_Index*2))/Projected_Income_Actual_Index,0)</f>
        <v>0</v>
      </c>
      <c r="AE38" s="3227">
        <f t="shared" ref="AE38:AF64" ca="1" si="16">SUMIF($G$10:$AD$10,AE$10,$G38:$AD38)</f>
        <v>0</v>
      </c>
      <c r="AF38" s="3227">
        <f t="shared" ca="1" si="16"/>
        <v>0</v>
      </c>
      <c r="AG38" s="2543">
        <f ca="1">SUM(AE38+AF38)-AH38-AI38</f>
        <v>0</v>
      </c>
      <c r="AH38" s="3227">
        <v>0</v>
      </c>
      <c r="AI38" s="3227">
        <v>0</v>
      </c>
      <c r="AJ38" s="3231">
        <v>0</v>
      </c>
      <c r="AK38" s="2548" t="s">
        <v>2280</v>
      </c>
      <c r="AL38" s="1111"/>
      <c r="AM38" s="1111"/>
      <c r="AQ38" s="3283">
        <f t="shared" ca="1" si="3"/>
        <v>0</v>
      </c>
    </row>
    <row r="39" spans="1:43" s="1063" customFormat="1" ht="20.25">
      <c r="A39" s="979" t="s">
        <v>853</v>
      </c>
      <c r="C39" s="979"/>
      <c r="D39" s="979"/>
      <c r="E39" s="979"/>
      <c r="F39" s="979"/>
      <c r="G39" s="3227">
        <v>0</v>
      </c>
      <c r="H39" s="3227">
        <v>0</v>
      </c>
      <c r="I39" s="3227">
        <f ca="1">IF(AND(Project_Expenses_Extrapolate,COUNTA($F$9:I$9)&gt;Projected_Income_Actual_Index),SUMIF(OFFSET($G$10,,,,Projected_Income_Actual_Index*2),I$10,OFFSET($G39,,,,Projected_Income_Actual_Index*2))/Projected_Income_Actual_Index,0)</f>
        <v>0</v>
      </c>
      <c r="J39" s="3227">
        <f ca="1">IF(AND(Project_Expenses_Extrapolate,COUNTA($F$9:J$9)&gt;Projected_Income_Actual_Index),SUMIF(OFFSET($G$10,,,,Projected_Income_Actual_Index*2),J$10,OFFSET($G39,,,,Projected_Income_Actual_Index*2))/Projected_Income_Actual_Index,0)</f>
        <v>0</v>
      </c>
      <c r="K39" s="3227">
        <f ca="1">IF(AND(Project_Expenses_Extrapolate,COUNTA($F$9:K$9)&gt;Projected_Income_Actual_Index),SUMIF(OFFSET($G$10,,,,Projected_Income_Actual_Index*2),K$10,OFFSET($G39,,,,Projected_Income_Actual_Index*2))/Projected_Income_Actual_Index,0)</f>
        <v>0</v>
      </c>
      <c r="L39" s="3227">
        <f ca="1">IF(AND(Project_Expenses_Extrapolate,COUNTA($F$9:L$9)&gt;Projected_Income_Actual_Index),SUMIF(OFFSET($G$10,,,,Projected_Income_Actual_Index*2),L$10,OFFSET($G39,,,,Projected_Income_Actual_Index*2))/Projected_Income_Actual_Index,0)</f>
        <v>0</v>
      </c>
      <c r="M39" s="3227">
        <f ca="1">IF(AND(Project_Expenses_Extrapolate,COUNTA($F$9:M$9)&gt;Projected_Income_Actual_Index),SUMIF(OFFSET($G$10,,,,Projected_Income_Actual_Index*2),M$10,OFFSET($G39,,,,Projected_Income_Actual_Index*2))/Projected_Income_Actual_Index,0)</f>
        <v>0</v>
      </c>
      <c r="N39" s="3227">
        <f ca="1">IF(AND(Project_Expenses_Extrapolate,COUNTA($F$9:N$9)&gt;Projected_Income_Actual_Index),SUMIF(OFFSET($G$10,,,,Projected_Income_Actual_Index*2),N$10,OFFSET($G39,,,,Projected_Income_Actual_Index*2))/Projected_Income_Actual_Index,0)</f>
        <v>0</v>
      </c>
      <c r="O39" s="3227">
        <f ca="1">IF(AND(Project_Expenses_Extrapolate,COUNTA($F$9:O$9)&gt;Projected_Income_Actual_Index),SUMIF(OFFSET($G$10,,,,Projected_Income_Actual_Index*2),O$10,OFFSET($G39,,,,Projected_Income_Actual_Index*2))/Projected_Income_Actual_Index,0)</f>
        <v>0</v>
      </c>
      <c r="P39" s="3227">
        <f ca="1">IF(AND(Project_Expenses_Extrapolate,COUNTA($F$9:P$9)&gt;Projected_Income_Actual_Index),SUMIF(OFFSET($G$10,,,,Projected_Income_Actual_Index*2),P$10,OFFSET($G39,,,,Projected_Income_Actual_Index*2))/Projected_Income_Actual_Index,0)</f>
        <v>0</v>
      </c>
      <c r="Q39" s="3227">
        <f ca="1">IF(AND(Project_Expenses_Extrapolate,COUNTA($F$9:Q$9)&gt;Projected_Income_Actual_Index),SUMIF(OFFSET($G$10,,,,Projected_Income_Actual_Index*2),Q$10,OFFSET($G39,,,,Projected_Income_Actual_Index*2))/Projected_Income_Actual_Index,0)</f>
        <v>0</v>
      </c>
      <c r="R39" s="3227">
        <f ca="1">IF(AND(Project_Expenses_Extrapolate,COUNTA($F$9:R$9)&gt;Projected_Income_Actual_Index),SUMIF(OFFSET($G$10,,,,Projected_Income_Actual_Index*2),R$10,OFFSET($G39,,,,Projected_Income_Actual_Index*2))/Projected_Income_Actual_Index,0)</f>
        <v>0</v>
      </c>
      <c r="S39" s="3227">
        <f ca="1">IF(AND(Project_Expenses_Extrapolate,COUNTA($F$9:S$9)&gt;Projected_Income_Actual_Index),SUMIF(OFFSET($G$10,,,,Projected_Income_Actual_Index*2),S$10,OFFSET($G39,,,,Projected_Income_Actual_Index*2))/Projected_Income_Actual_Index,0)</f>
        <v>0</v>
      </c>
      <c r="T39" s="3227">
        <f ca="1">IF(AND(Project_Expenses_Extrapolate,COUNTA($F$9:T$9)&gt;Projected_Income_Actual_Index),SUMIF(OFFSET($G$10,,,,Projected_Income_Actual_Index*2),T$10,OFFSET($G39,,,,Projected_Income_Actual_Index*2))/Projected_Income_Actual_Index,0)</f>
        <v>0</v>
      </c>
      <c r="U39" s="3227">
        <f ca="1">IF(AND(Project_Expenses_Extrapolate,COUNTA($F$9:U$9)&gt;Projected_Income_Actual_Index),SUMIF(OFFSET($G$10,,,,Projected_Income_Actual_Index*2),U$10,OFFSET($G39,,,,Projected_Income_Actual_Index*2))/Projected_Income_Actual_Index,0)</f>
        <v>0</v>
      </c>
      <c r="V39" s="3227">
        <f ca="1">IF(AND(Project_Expenses_Extrapolate,COUNTA($F$9:V$9)&gt;Projected_Income_Actual_Index),SUMIF(OFFSET($G$10,,,,Projected_Income_Actual_Index*2),V$10,OFFSET($G39,,,,Projected_Income_Actual_Index*2))/Projected_Income_Actual_Index,0)</f>
        <v>0</v>
      </c>
      <c r="W39" s="3227">
        <f ca="1">IF(AND(Project_Expenses_Extrapolate,COUNTA($F$9:W$9)&gt;Projected_Income_Actual_Index),SUMIF(OFFSET($G$10,,,,Projected_Income_Actual_Index*2),W$10,OFFSET($G39,,,,Projected_Income_Actual_Index*2))/Projected_Income_Actual_Index,0)</f>
        <v>0</v>
      </c>
      <c r="X39" s="3227">
        <f ca="1">IF(AND(Project_Expenses_Extrapolate,COUNTA($F$9:X$9)&gt;Projected_Income_Actual_Index),SUMIF(OFFSET($G$10,,,,Projected_Income_Actual_Index*2),X$10,OFFSET($G39,,,,Projected_Income_Actual_Index*2))/Projected_Income_Actual_Index,0)</f>
        <v>0</v>
      </c>
      <c r="Y39" s="3227">
        <f ca="1">IF(AND(Project_Expenses_Extrapolate,COUNTA($F$9:Y$9)&gt;Projected_Income_Actual_Index),SUMIF(OFFSET($G$10,,,,Projected_Income_Actual_Index*2),Y$10,OFFSET($G39,,,,Projected_Income_Actual_Index*2))/Projected_Income_Actual_Index,0)</f>
        <v>0</v>
      </c>
      <c r="Z39" s="3227">
        <f ca="1">IF(AND(Project_Expenses_Extrapolate,COUNTA($F$9:Z$9)&gt;Projected_Income_Actual_Index),SUMIF(OFFSET($G$10,,,,Projected_Income_Actual_Index*2),Z$10,OFFSET($G39,,,,Projected_Income_Actual_Index*2))/Projected_Income_Actual_Index,0)</f>
        <v>0</v>
      </c>
      <c r="AA39" s="3227">
        <f ca="1">IF(AND(Project_Expenses_Extrapolate,COUNTA($F$9:AA$9)&gt;Projected_Income_Actual_Index),SUMIF(OFFSET($G$10,,,,Projected_Income_Actual_Index*2),AA$10,OFFSET($G39,,,,Projected_Income_Actual_Index*2))/Projected_Income_Actual_Index,0)</f>
        <v>0</v>
      </c>
      <c r="AB39" s="3227">
        <f ca="1">IF(AND(Project_Expenses_Extrapolate,COUNTA($F$9:AB$9)&gt;Projected_Income_Actual_Index),SUMIF(OFFSET($G$10,,,,Projected_Income_Actual_Index*2),AB$10,OFFSET($G39,,,,Projected_Income_Actual_Index*2))/Projected_Income_Actual_Index,0)</f>
        <v>0</v>
      </c>
      <c r="AC39" s="3227">
        <f ca="1">IF(AND(Project_Expenses_Extrapolate,COUNTA($F$9:AC$9)&gt;Projected_Income_Actual_Index),SUMIF(OFFSET($G$10,,,,Projected_Income_Actual_Index*2),AC$10,OFFSET($G39,,,,Projected_Income_Actual_Index*2))/Projected_Income_Actual_Index,0)</f>
        <v>0</v>
      </c>
      <c r="AD39" s="3227">
        <f ca="1">IF(AND(Project_Expenses_Extrapolate,COUNTA($F$9:AD$9)&gt;Projected_Income_Actual_Index),SUMIF(OFFSET($G$10,,,,Projected_Income_Actual_Index*2),AD$10,OFFSET($G39,,,,Projected_Income_Actual_Index*2))/Projected_Income_Actual_Index,0)</f>
        <v>0</v>
      </c>
      <c r="AE39" s="3227">
        <f t="shared" ca="1" si="16"/>
        <v>0</v>
      </c>
      <c r="AF39" s="3227">
        <f t="shared" ca="1" si="16"/>
        <v>0</v>
      </c>
      <c r="AG39" s="2543">
        <f t="shared" ref="AG39:AG69" ca="1" si="17">SUM(AE39+AF39)-AH39-AI39</f>
        <v>0</v>
      </c>
      <c r="AH39" s="3227">
        <v>0</v>
      </c>
      <c r="AI39" s="3227">
        <v>0</v>
      </c>
      <c r="AJ39" s="3231">
        <v>0</v>
      </c>
      <c r="AK39" s="2548" t="s">
        <v>2280</v>
      </c>
      <c r="AL39" s="1111"/>
      <c r="AM39" s="1111"/>
      <c r="AQ39" s="3283">
        <f t="shared" ca="1" si="3"/>
        <v>0</v>
      </c>
    </row>
    <row r="40" spans="1:43" s="1063" customFormat="1" ht="20.25">
      <c r="A40" s="979" t="s">
        <v>854</v>
      </c>
      <c r="C40" s="979"/>
      <c r="D40" s="979"/>
      <c r="E40" s="979"/>
      <c r="F40" s="979"/>
      <c r="G40" s="3227">
        <v>0</v>
      </c>
      <c r="H40" s="3227">
        <v>0</v>
      </c>
      <c r="I40" s="3227">
        <f ca="1">IF(AND(Project_Expenses_Extrapolate,COUNTA($F$9:I$9)&gt;Projected_Income_Actual_Index),SUMIF(OFFSET($G$10,,,,Projected_Income_Actual_Index*2),I$10,OFFSET($G40,,,,Projected_Income_Actual_Index*2))/Projected_Income_Actual_Index,0)</f>
        <v>0</v>
      </c>
      <c r="J40" s="3227">
        <f ca="1">IF(AND(Project_Expenses_Extrapolate,COUNTA($F$9:J$9)&gt;Projected_Income_Actual_Index),SUMIF(OFFSET($G$10,,,,Projected_Income_Actual_Index*2),J$10,OFFSET($G40,,,,Projected_Income_Actual_Index*2))/Projected_Income_Actual_Index,0)</f>
        <v>0</v>
      </c>
      <c r="K40" s="3227">
        <f ca="1">IF(AND(Project_Expenses_Extrapolate,COUNTA($F$9:K$9)&gt;Projected_Income_Actual_Index),SUMIF(OFFSET($G$10,,,,Projected_Income_Actual_Index*2),K$10,OFFSET($G40,,,,Projected_Income_Actual_Index*2))/Projected_Income_Actual_Index,0)</f>
        <v>0</v>
      </c>
      <c r="L40" s="3227">
        <f ca="1">IF(AND(Project_Expenses_Extrapolate,COUNTA($F$9:L$9)&gt;Projected_Income_Actual_Index),SUMIF(OFFSET($G$10,,,,Projected_Income_Actual_Index*2),L$10,OFFSET($G40,,,,Projected_Income_Actual_Index*2))/Projected_Income_Actual_Index,0)</f>
        <v>0</v>
      </c>
      <c r="M40" s="3227">
        <f ca="1">IF(AND(Project_Expenses_Extrapolate,COUNTA($F$9:M$9)&gt;Projected_Income_Actual_Index),SUMIF(OFFSET($G$10,,,,Projected_Income_Actual_Index*2),M$10,OFFSET($G40,,,,Projected_Income_Actual_Index*2))/Projected_Income_Actual_Index,0)</f>
        <v>0</v>
      </c>
      <c r="N40" s="3227">
        <f ca="1">IF(AND(Project_Expenses_Extrapolate,COUNTA($F$9:N$9)&gt;Projected_Income_Actual_Index),SUMIF(OFFSET($G$10,,,,Projected_Income_Actual_Index*2),N$10,OFFSET($G40,,,,Projected_Income_Actual_Index*2))/Projected_Income_Actual_Index,0)</f>
        <v>0</v>
      </c>
      <c r="O40" s="3227">
        <f ca="1">IF(AND(Project_Expenses_Extrapolate,COUNTA($F$9:O$9)&gt;Projected_Income_Actual_Index),SUMIF(OFFSET($G$10,,,,Projected_Income_Actual_Index*2),O$10,OFFSET($G40,,,,Projected_Income_Actual_Index*2))/Projected_Income_Actual_Index,0)</f>
        <v>0</v>
      </c>
      <c r="P40" s="3227">
        <f ca="1">IF(AND(Project_Expenses_Extrapolate,COUNTA($F$9:P$9)&gt;Projected_Income_Actual_Index),SUMIF(OFFSET($G$10,,,,Projected_Income_Actual_Index*2),P$10,OFFSET($G40,,,,Projected_Income_Actual_Index*2))/Projected_Income_Actual_Index,0)</f>
        <v>0</v>
      </c>
      <c r="Q40" s="3227">
        <f ca="1">IF(AND(Project_Expenses_Extrapolate,COUNTA($F$9:Q$9)&gt;Projected_Income_Actual_Index),SUMIF(OFFSET($G$10,,,,Projected_Income_Actual_Index*2),Q$10,OFFSET($G40,,,,Projected_Income_Actual_Index*2))/Projected_Income_Actual_Index,0)</f>
        <v>0</v>
      </c>
      <c r="R40" s="3227">
        <f ca="1">IF(AND(Project_Expenses_Extrapolate,COUNTA($F$9:R$9)&gt;Projected_Income_Actual_Index),SUMIF(OFFSET($G$10,,,,Projected_Income_Actual_Index*2),R$10,OFFSET($G40,,,,Projected_Income_Actual_Index*2))/Projected_Income_Actual_Index,0)</f>
        <v>0</v>
      </c>
      <c r="S40" s="3227">
        <f ca="1">IF(AND(Project_Expenses_Extrapolate,COUNTA($F$9:S$9)&gt;Projected_Income_Actual_Index),SUMIF(OFFSET($G$10,,,,Projected_Income_Actual_Index*2),S$10,OFFSET($G40,,,,Projected_Income_Actual_Index*2))/Projected_Income_Actual_Index,0)</f>
        <v>0</v>
      </c>
      <c r="T40" s="3227">
        <f ca="1">IF(AND(Project_Expenses_Extrapolate,COUNTA($F$9:T$9)&gt;Projected_Income_Actual_Index),SUMIF(OFFSET($G$10,,,,Projected_Income_Actual_Index*2),T$10,OFFSET($G40,,,,Projected_Income_Actual_Index*2))/Projected_Income_Actual_Index,0)</f>
        <v>0</v>
      </c>
      <c r="U40" s="3227">
        <f ca="1">IF(AND(Project_Expenses_Extrapolate,COUNTA($F$9:U$9)&gt;Projected_Income_Actual_Index),SUMIF(OFFSET($G$10,,,,Projected_Income_Actual_Index*2),U$10,OFFSET($G40,,,,Projected_Income_Actual_Index*2))/Projected_Income_Actual_Index,0)</f>
        <v>0</v>
      </c>
      <c r="V40" s="3227">
        <f ca="1">IF(AND(Project_Expenses_Extrapolate,COUNTA($F$9:V$9)&gt;Projected_Income_Actual_Index),SUMIF(OFFSET($G$10,,,,Projected_Income_Actual_Index*2),V$10,OFFSET($G40,,,,Projected_Income_Actual_Index*2))/Projected_Income_Actual_Index,0)</f>
        <v>0</v>
      </c>
      <c r="W40" s="3227">
        <f ca="1">IF(AND(Project_Expenses_Extrapolate,COUNTA($F$9:W$9)&gt;Projected_Income_Actual_Index),SUMIF(OFFSET($G$10,,,,Projected_Income_Actual_Index*2),W$10,OFFSET($G40,,,,Projected_Income_Actual_Index*2))/Projected_Income_Actual_Index,0)</f>
        <v>0</v>
      </c>
      <c r="X40" s="3227">
        <f ca="1">IF(AND(Project_Expenses_Extrapolate,COUNTA($F$9:X$9)&gt;Projected_Income_Actual_Index),SUMIF(OFFSET($G$10,,,,Projected_Income_Actual_Index*2),X$10,OFFSET($G40,,,,Projected_Income_Actual_Index*2))/Projected_Income_Actual_Index,0)</f>
        <v>0</v>
      </c>
      <c r="Y40" s="3227">
        <f ca="1">IF(AND(Project_Expenses_Extrapolate,COUNTA($F$9:Y$9)&gt;Projected_Income_Actual_Index),SUMIF(OFFSET($G$10,,,,Projected_Income_Actual_Index*2),Y$10,OFFSET($G40,,,,Projected_Income_Actual_Index*2))/Projected_Income_Actual_Index,0)</f>
        <v>0</v>
      </c>
      <c r="Z40" s="3227">
        <f ca="1">IF(AND(Project_Expenses_Extrapolate,COUNTA($F$9:Z$9)&gt;Projected_Income_Actual_Index),SUMIF(OFFSET($G$10,,,,Projected_Income_Actual_Index*2),Z$10,OFFSET($G40,,,,Projected_Income_Actual_Index*2))/Projected_Income_Actual_Index,0)</f>
        <v>0</v>
      </c>
      <c r="AA40" s="3227">
        <f ca="1">IF(AND(Project_Expenses_Extrapolate,COUNTA($F$9:AA$9)&gt;Projected_Income_Actual_Index),SUMIF(OFFSET($G$10,,,,Projected_Income_Actual_Index*2),AA$10,OFFSET($G40,,,,Projected_Income_Actual_Index*2))/Projected_Income_Actual_Index,0)</f>
        <v>0</v>
      </c>
      <c r="AB40" s="3227">
        <f ca="1">IF(AND(Project_Expenses_Extrapolate,COUNTA($F$9:AB$9)&gt;Projected_Income_Actual_Index),SUMIF(OFFSET($G$10,,,,Projected_Income_Actual_Index*2),AB$10,OFFSET($G40,,,,Projected_Income_Actual_Index*2))/Projected_Income_Actual_Index,0)</f>
        <v>0</v>
      </c>
      <c r="AC40" s="3227">
        <f ca="1">IF(AND(Project_Expenses_Extrapolate,COUNTA($F$9:AC$9)&gt;Projected_Income_Actual_Index),SUMIF(OFFSET($G$10,,,,Projected_Income_Actual_Index*2),AC$10,OFFSET($G40,,,,Projected_Income_Actual_Index*2))/Projected_Income_Actual_Index,0)</f>
        <v>0</v>
      </c>
      <c r="AD40" s="3227">
        <f ca="1">IF(AND(Project_Expenses_Extrapolate,COUNTA($F$9:AD$9)&gt;Projected_Income_Actual_Index),SUMIF(OFFSET($G$10,,,,Projected_Income_Actual_Index*2),AD$10,OFFSET($G40,,,,Projected_Income_Actual_Index*2))/Projected_Income_Actual_Index,0)</f>
        <v>0</v>
      </c>
      <c r="AE40" s="3227">
        <f t="shared" ca="1" si="16"/>
        <v>0</v>
      </c>
      <c r="AF40" s="3227">
        <f t="shared" ca="1" si="16"/>
        <v>0</v>
      </c>
      <c r="AG40" s="2543">
        <f t="shared" ca="1" si="17"/>
        <v>0</v>
      </c>
      <c r="AH40" s="3227">
        <v>0</v>
      </c>
      <c r="AI40" s="3227">
        <v>0</v>
      </c>
      <c r="AJ40" s="3231">
        <v>0</v>
      </c>
      <c r="AK40" s="2548" t="s">
        <v>2280</v>
      </c>
      <c r="AL40" s="1111"/>
      <c r="AM40" s="1111"/>
      <c r="AQ40" s="3283">
        <f t="shared" ca="1" si="3"/>
        <v>0</v>
      </c>
    </row>
    <row r="41" spans="1:43" s="1063" customFormat="1" ht="20.25">
      <c r="A41" s="979" t="s">
        <v>1115</v>
      </c>
      <c r="C41" s="979"/>
      <c r="D41" s="979"/>
      <c r="E41" s="979"/>
      <c r="F41" s="979"/>
      <c r="G41" s="3227">
        <v>0</v>
      </c>
      <c r="H41" s="3227">
        <v>0</v>
      </c>
      <c r="I41" s="3227">
        <f ca="1">IF(AND(Project_Expenses_Extrapolate,COUNTA($F$9:I$9)&gt;Projected_Income_Actual_Index),SUMIF(OFFSET($G$10,,,,Projected_Income_Actual_Index*2),I$10,OFFSET($G41,,,,Projected_Income_Actual_Index*2))/Projected_Income_Actual_Index,0)</f>
        <v>0</v>
      </c>
      <c r="J41" s="3227">
        <f ca="1">IF(AND(Project_Expenses_Extrapolate,COUNTA($F$9:J$9)&gt;Projected_Income_Actual_Index),SUMIF(OFFSET($G$10,,,,Projected_Income_Actual_Index*2),J$10,OFFSET($G41,,,,Projected_Income_Actual_Index*2))/Projected_Income_Actual_Index,0)</f>
        <v>0</v>
      </c>
      <c r="K41" s="3227">
        <f ca="1">IF(AND(Project_Expenses_Extrapolate,COUNTA($F$9:K$9)&gt;Projected_Income_Actual_Index),SUMIF(OFFSET($G$10,,,,Projected_Income_Actual_Index*2),K$10,OFFSET($G41,,,,Projected_Income_Actual_Index*2))/Projected_Income_Actual_Index,0)</f>
        <v>0</v>
      </c>
      <c r="L41" s="3227">
        <f ca="1">IF(AND(Project_Expenses_Extrapolate,COUNTA($F$9:L$9)&gt;Projected_Income_Actual_Index),SUMIF(OFFSET($G$10,,,,Projected_Income_Actual_Index*2),L$10,OFFSET($G41,,,,Projected_Income_Actual_Index*2))/Projected_Income_Actual_Index,0)</f>
        <v>0</v>
      </c>
      <c r="M41" s="3227">
        <f ca="1">IF(AND(Project_Expenses_Extrapolate,COUNTA($F$9:M$9)&gt;Projected_Income_Actual_Index),SUMIF(OFFSET($G$10,,,,Projected_Income_Actual_Index*2),M$10,OFFSET($G41,,,,Projected_Income_Actual_Index*2))/Projected_Income_Actual_Index,0)</f>
        <v>0</v>
      </c>
      <c r="N41" s="3227">
        <f ca="1">IF(AND(Project_Expenses_Extrapolate,COUNTA($F$9:N$9)&gt;Projected_Income_Actual_Index),SUMIF(OFFSET($G$10,,,,Projected_Income_Actual_Index*2),N$10,OFFSET($G41,,,,Projected_Income_Actual_Index*2))/Projected_Income_Actual_Index,0)</f>
        <v>0</v>
      </c>
      <c r="O41" s="3227">
        <f ca="1">IF(AND(Project_Expenses_Extrapolate,COUNTA($F$9:O$9)&gt;Projected_Income_Actual_Index),SUMIF(OFFSET($G$10,,,,Projected_Income_Actual_Index*2),O$10,OFFSET($G41,,,,Projected_Income_Actual_Index*2))/Projected_Income_Actual_Index,0)</f>
        <v>0</v>
      </c>
      <c r="P41" s="3227">
        <f ca="1">IF(AND(Project_Expenses_Extrapolate,COUNTA($F$9:P$9)&gt;Projected_Income_Actual_Index),SUMIF(OFFSET($G$10,,,,Projected_Income_Actual_Index*2),P$10,OFFSET($G41,,,,Projected_Income_Actual_Index*2))/Projected_Income_Actual_Index,0)</f>
        <v>0</v>
      </c>
      <c r="Q41" s="3227">
        <f ca="1">IF(AND(Project_Expenses_Extrapolate,COUNTA($F$9:Q$9)&gt;Projected_Income_Actual_Index),SUMIF(OFFSET($G$10,,,,Projected_Income_Actual_Index*2),Q$10,OFFSET($G41,,,,Projected_Income_Actual_Index*2))/Projected_Income_Actual_Index,0)</f>
        <v>0</v>
      </c>
      <c r="R41" s="3227">
        <f ca="1">IF(AND(Project_Expenses_Extrapolate,COUNTA($F$9:R$9)&gt;Projected_Income_Actual_Index),SUMIF(OFFSET($G$10,,,,Projected_Income_Actual_Index*2),R$10,OFFSET($G41,,,,Projected_Income_Actual_Index*2))/Projected_Income_Actual_Index,0)</f>
        <v>0</v>
      </c>
      <c r="S41" s="3227">
        <f ca="1">IF(AND(Project_Expenses_Extrapolate,COUNTA($F$9:S$9)&gt;Projected_Income_Actual_Index),SUMIF(OFFSET($G$10,,,,Projected_Income_Actual_Index*2),S$10,OFFSET($G41,,,,Projected_Income_Actual_Index*2))/Projected_Income_Actual_Index,0)</f>
        <v>0</v>
      </c>
      <c r="T41" s="3227">
        <f ca="1">IF(AND(Project_Expenses_Extrapolate,COUNTA($F$9:T$9)&gt;Projected_Income_Actual_Index),SUMIF(OFFSET($G$10,,,,Projected_Income_Actual_Index*2),T$10,OFFSET($G41,,,,Projected_Income_Actual_Index*2))/Projected_Income_Actual_Index,0)</f>
        <v>0</v>
      </c>
      <c r="U41" s="3227">
        <f ca="1">IF(AND(Project_Expenses_Extrapolate,COUNTA($F$9:U$9)&gt;Projected_Income_Actual_Index),SUMIF(OFFSET($G$10,,,,Projected_Income_Actual_Index*2),U$10,OFFSET($G41,,,,Projected_Income_Actual_Index*2))/Projected_Income_Actual_Index,0)</f>
        <v>0</v>
      </c>
      <c r="V41" s="3227">
        <f ca="1">IF(AND(Project_Expenses_Extrapolate,COUNTA($F$9:V$9)&gt;Projected_Income_Actual_Index),SUMIF(OFFSET($G$10,,,,Projected_Income_Actual_Index*2),V$10,OFFSET($G41,,,,Projected_Income_Actual_Index*2))/Projected_Income_Actual_Index,0)</f>
        <v>0</v>
      </c>
      <c r="W41" s="3227">
        <f ca="1">IF(AND(Project_Expenses_Extrapolate,COUNTA($F$9:W$9)&gt;Projected_Income_Actual_Index),SUMIF(OFFSET($G$10,,,,Projected_Income_Actual_Index*2),W$10,OFFSET($G41,,,,Projected_Income_Actual_Index*2))/Projected_Income_Actual_Index,0)</f>
        <v>0</v>
      </c>
      <c r="X41" s="3227">
        <f ca="1">IF(AND(Project_Expenses_Extrapolate,COUNTA($F$9:X$9)&gt;Projected_Income_Actual_Index),SUMIF(OFFSET($G$10,,,,Projected_Income_Actual_Index*2),X$10,OFFSET($G41,,,,Projected_Income_Actual_Index*2))/Projected_Income_Actual_Index,0)</f>
        <v>0</v>
      </c>
      <c r="Y41" s="3227">
        <f ca="1">IF(AND(Project_Expenses_Extrapolate,COUNTA($F$9:Y$9)&gt;Projected_Income_Actual_Index),SUMIF(OFFSET($G$10,,,,Projected_Income_Actual_Index*2),Y$10,OFFSET($G41,,,,Projected_Income_Actual_Index*2))/Projected_Income_Actual_Index,0)</f>
        <v>0</v>
      </c>
      <c r="Z41" s="3227">
        <f ca="1">IF(AND(Project_Expenses_Extrapolate,COUNTA($F$9:Z$9)&gt;Projected_Income_Actual_Index),SUMIF(OFFSET($G$10,,,,Projected_Income_Actual_Index*2),Z$10,OFFSET($G41,,,,Projected_Income_Actual_Index*2))/Projected_Income_Actual_Index,0)</f>
        <v>0</v>
      </c>
      <c r="AA41" s="3227">
        <f ca="1">IF(AND(Project_Expenses_Extrapolate,COUNTA($F$9:AA$9)&gt;Projected_Income_Actual_Index),SUMIF(OFFSET($G$10,,,,Projected_Income_Actual_Index*2),AA$10,OFFSET($G41,,,,Projected_Income_Actual_Index*2))/Projected_Income_Actual_Index,0)</f>
        <v>0</v>
      </c>
      <c r="AB41" s="3227">
        <f ca="1">IF(AND(Project_Expenses_Extrapolate,COUNTA($F$9:AB$9)&gt;Projected_Income_Actual_Index),SUMIF(OFFSET($G$10,,,,Projected_Income_Actual_Index*2),AB$10,OFFSET($G41,,,,Projected_Income_Actual_Index*2))/Projected_Income_Actual_Index,0)</f>
        <v>0</v>
      </c>
      <c r="AC41" s="3227">
        <f ca="1">IF(AND(Project_Expenses_Extrapolate,COUNTA($F$9:AC$9)&gt;Projected_Income_Actual_Index),SUMIF(OFFSET($G$10,,,,Projected_Income_Actual_Index*2),AC$10,OFFSET($G41,,,,Projected_Income_Actual_Index*2))/Projected_Income_Actual_Index,0)</f>
        <v>0</v>
      </c>
      <c r="AD41" s="3227">
        <f ca="1">IF(AND(Project_Expenses_Extrapolate,COUNTA($F$9:AD$9)&gt;Projected_Income_Actual_Index),SUMIF(OFFSET($G$10,,,,Projected_Income_Actual_Index*2),AD$10,OFFSET($G41,,,,Projected_Income_Actual_Index*2))/Projected_Income_Actual_Index,0)</f>
        <v>0</v>
      </c>
      <c r="AE41" s="3227">
        <f t="shared" ca="1" si="16"/>
        <v>0</v>
      </c>
      <c r="AF41" s="3227">
        <f t="shared" ca="1" si="16"/>
        <v>0</v>
      </c>
      <c r="AG41" s="2543">
        <f t="shared" ca="1" si="17"/>
        <v>0</v>
      </c>
      <c r="AH41" s="3227">
        <v>0</v>
      </c>
      <c r="AI41" s="3227">
        <v>0</v>
      </c>
      <c r="AJ41" s="3231">
        <v>0</v>
      </c>
      <c r="AK41" s="2548" t="s">
        <v>2280</v>
      </c>
      <c r="AL41" s="1111"/>
      <c r="AM41" s="1111"/>
      <c r="AQ41" s="3283">
        <f t="shared" ca="1" si="3"/>
        <v>0</v>
      </c>
    </row>
    <row r="42" spans="1:43" s="1063" customFormat="1" ht="20.25">
      <c r="A42" s="979" t="s">
        <v>855</v>
      </c>
      <c r="C42" s="979"/>
      <c r="D42" s="979"/>
      <c r="E42" s="979"/>
      <c r="F42" s="979"/>
      <c r="G42" s="3227">
        <v>0</v>
      </c>
      <c r="H42" s="3227">
        <v>0</v>
      </c>
      <c r="I42" s="3227">
        <f ca="1">IF(AND(Project_Expenses_Extrapolate,COUNTA($F$9:I$9)&gt;Projected_Income_Actual_Index),SUMIF(OFFSET($G$10,,,,Projected_Income_Actual_Index*2),I$10,OFFSET($G42,,,,Projected_Income_Actual_Index*2))/Projected_Income_Actual_Index,0)</f>
        <v>0</v>
      </c>
      <c r="J42" s="3227">
        <f ca="1">IF(AND(Project_Expenses_Extrapolate,COUNTA($F$9:J$9)&gt;Projected_Income_Actual_Index),SUMIF(OFFSET($G$10,,,,Projected_Income_Actual_Index*2),J$10,OFFSET($G42,,,,Projected_Income_Actual_Index*2))/Projected_Income_Actual_Index,0)</f>
        <v>0</v>
      </c>
      <c r="K42" s="3227">
        <f ca="1">IF(AND(Project_Expenses_Extrapolate,COUNTA($F$9:K$9)&gt;Projected_Income_Actual_Index),SUMIF(OFFSET($G$10,,,,Projected_Income_Actual_Index*2),K$10,OFFSET($G42,,,,Projected_Income_Actual_Index*2))/Projected_Income_Actual_Index,0)</f>
        <v>0</v>
      </c>
      <c r="L42" s="3227">
        <f ca="1">IF(AND(Project_Expenses_Extrapolate,COUNTA($F$9:L$9)&gt;Projected_Income_Actual_Index),SUMIF(OFFSET($G$10,,,,Projected_Income_Actual_Index*2),L$10,OFFSET($G42,,,,Projected_Income_Actual_Index*2))/Projected_Income_Actual_Index,0)</f>
        <v>0</v>
      </c>
      <c r="M42" s="3227">
        <f ca="1">IF(AND(Project_Expenses_Extrapolate,COUNTA($F$9:M$9)&gt;Projected_Income_Actual_Index),SUMIF(OFFSET($G$10,,,,Projected_Income_Actual_Index*2),M$10,OFFSET($G42,,,,Projected_Income_Actual_Index*2))/Projected_Income_Actual_Index,0)</f>
        <v>0</v>
      </c>
      <c r="N42" s="3227">
        <f ca="1">IF(AND(Project_Expenses_Extrapolate,COUNTA($F$9:N$9)&gt;Projected_Income_Actual_Index),SUMIF(OFFSET($G$10,,,,Projected_Income_Actual_Index*2),N$10,OFFSET($G42,,,,Projected_Income_Actual_Index*2))/Projected_Income_Actual_Index,0)</f>
        <v>0</v>
      </c>
      <c r="O42" s="3227">
        <f ca="1">IF(AND(Project_Expenses_Extrapolate,COUNTA($F$9:O$9)&gt;Projected_Income_Actual_Index),SUMIF(OFFSET($G$10,,,,Projected_Income_Actual_Index*2),O$10,OFFSET($G42,,,,Projected_Income_Actual_Index*2))/Projected_Income_Actual_Index,0)</f>
        <v>0</v>
      </c>
      <c r="P42" s="3227">
        <f ca="1">IF(AND(Project_Expenses_Extrapolate,COUNTA($F$9:P$9)&gt;Projected_Income_Actual_Index),SUMIF(OFFSET($G$10,,,,Projected_Income_Actual_Index*2),P$10,OFFSET($G42,,,,Projected_Income_Actual_Index*2))/Projected_Income_Actual_Index,0)</f>
        <v>0</v>
      </c>
      <c r="Q42" s="3227">
        <f ca="1">IF(AND(Project_Expenses_Extrapolate,COUNTA($F$9:Q$9)&gt;Projected_Income_Actual_Index),SUMIF(OFFSET($G$10,,,,Projected_Income_Actual_Index*2),Q$10,OFFSET($G42,,,,Projected_Income_Actual_Index*2))/Projected_Income_Actual_Index,0)</f>
        <v>0</v>
      </c>
      <c r="R42" s="3227">
        <f ca="1">IF(AND(Project_Expenses_Extrapolate,COUNTA($F$9:R$9)&gt;Projected_Income_Actual_Index),SUMIF(OFFSET($G$10,,,,Projected_Income_Actual_Index*2),R$10,OFFSET($G42,,,,Projected_Income_Actual_Index*2))/Projected_Income_Actual_Index,0)</f>
        <v>0</v>
      </c>
      <c r="S42" s="3227">
        <f ca="1">IF(AND(Project_Expenses_Extrapolate,COUNTA($F$9:S$9)&gt;Projected_Income_Actual_Index),SUMIF(OFFSET($G$10,,,,Projected_Income_Actual_Index*2),S$10,OFFSET($G42,,,,Projected_Income_Actual_Index*2))/Projected_Income_Actual_Index,0)</f>
        <v>0</v>
      </c>
      <c r="T42" s="3227">
        <f ca="1">IF(AND(Project_Expenses_Extrapolate,COUNTA($F$9:T$9)&gt;Projected_Income_Actual_Index),SUMIF(OFFSET($G$10,,,,Projected_Income_Actual_Index*2),T$10,OFFSET($G42,,,,Projected_Income_Actual_Index*2))/Projected_Income_Actual_Index,0)</f>
        <v>0</v>
      </c>
      <c r="U42" s="3227">
        <f ca="1">IF(AND(Project_Expenses_Extrapolate,COUNTA($F$9:U$9)&gt;Projected_Income_Actual_Index),SUMIF(OFFSET($G$10,,,,Projected_Income_Actual_Index*2),U$10,OFFSET($G42,,,,Projected_Income_Actual_Index*2))/Projected_Income_Actual_Index,0)</f>
        <v>0</v>
      </c>
      <c r="V42" s="3227">
        <f ca="1">IF(AND(Project_Expenses_Extrapolate,COUNTA($F$9:V$9)&gt;Projected_Income_Actual_Index),SUMIF(OFFSET($G$10,,,,Projected_Income_Actual_Index*2),V$10,OFFSET($G42,,,,Projected_Income_Actual_Index*2))/Projected_Income_Actual_Index,0)</f>
        <v>0</v>
      </c>
      <c r="W42" s="3227">
        <f ca="1">IF(AND(Project_Expenses_Extrapolate,COUNTA($F$9:W$9)&gt;Projected_Income_Actual_Index),SUMIF(OFFSET($G$10,,,,Projected_Income_Actual_Index*2),W$10,OFFSET($G42,,,,Projected_Income_Actual_Index*2))/Projected_Income_Actual_Index,0)</f>
        <v>0</v>
      </c>
      <c r="X42" s="3227">
        <f ca="1">IF(AND(Project_Expenses_Extrapolate,COUNTA($F$9:X$9)&gt;Projected_Income_Actual_Index),SUMIF(OFFSET($G$10,,,,Projected_Income_Actual_Index*2),X$10,OFFSET($G42,,,,Projected_Income_Actual_Index*2))/Projected_Income_Actual_Index,0)</f>
        <v>0</v>
      </c>
      <c r="Y42" s="3227">
        <f ca="1">IF(AND(Project_Expenses_Extrapolate,COUNTA($F$9:Y$9)&gt;Projected_Income_Actual_Index),SUMIF(OFFSET($G$10,,,,Projected_Income_Actual_Index*2),Y$10,OFFSET($G42,,,,Projected_Income_Actual_Index*2))/Projected_Income_Actual_Index,0)</f>
        <v>0</v>
      </c>
      <c r="Z42" s="3227">
        <f ca="1">IF(AND(Project_Expenses_Extrapolate,COUNTA($F$9:Z$9)&gt;Projected_Income_Actual_Index),SUMIF(OFFSET($G$10,,,,Projected_Income_Actual_Index*2),Z$10,OFFSET($G42,,,,Projected_Income_Actual_Index*2))/Projected_Income_Actual_Index,0)</f>
        <v>0</v>
      </c>
      <c r="AA42" s="3227">
        <f ca="1">IF(AND(Project_Expenses_Extrapolate,COUNTA($F$9:AA$9)&gt;Projected_Income_Actual_Index),SUMIF(OFFSET($G$10,,,,Projected_Income_Actual_Index*2),AA$10,OFFSET($G42,,,,Projected_Income_Actual_Index*2))/Projected_Income_Actual_Index,0)</f>
        <v>0</v>
      </c>
      <c r="AB42" s="3227">
        <f ca="1">IF(AND(Project_Expenses_Extrapolate,COUNTA($F$9:AB$9)&gt;Projected_Income_Actual_Index),SUMIF(OFFSET($G$10,,,,Projected_Income_Actual_Index*2),AB$10,OFFSET($G42,,,,Projected_Income_Actual_Index*2))/Projected_Income_Actual_Index,0)</f>
        <v>0</v>
      </c>
      <c r="AC42" s="3227">
        <f ca="1">IF(AND(Project_Expenses_Extrapolate,COUNTA($F$9:AC$9)&gt;Projected_Income_Actual_Index),SUMIF(OFFSET($G$10,,,,Projected_Income_Actual_Index*2),AC$10,OFFSET($G42,,,,Projected_Income_Actual_Index*2))/Projected_Income_Actual_Index,0)</f>
        <v>0</v>
      </c>
      <c r="AD42" s="3227">
        <f ca="1">IF(AND(Project_Expenses_Extrapolate,COUNTA($F$9:AD$9)&gt;Projected_Income_Actual_Index),SUMIF(OFFSET($G$10,,,,Projected_Income_Actual_Index*2),AD$10,OFFSET($G42,,,,Projected_Income_Actual_Index*2))/Projected_Income_Actual_Index,0)</f>
        <v>0</v>
      </c>
      <c r="AE42" s="3227">
        <f t="shared" ca="1" si="16"/>
        <v>0</v>
      </c>
      <c r="AF42" s="3227">
        <f t="shared" ca="1" si="16"/>
        <v>0</v>
      </c>
      <c r="AG42" s="2543">
        <f t="shared" ca="1" si="17"/>
        <v>0</v>
      </c>
      <c r="AH42" s="3227">
        <v>0</v>
      </c>
      <c r="AI42" s="3227">
        <v>0</v>
      </c>
      <c r="AJ42" s="3231">
        <v>0</v>
      </c>
      <c r="AK42" s="2548" t="s">
        <v>2280</v>
      </c>
      <c r="AL42" s="1111"/>
      <c r="AM42" s="1111"/>
      <c r="AQ42" s="3283">
        <f t="shared" ca="1" si="3"/>
        <v>0</v>
      </c>
    </row>
    <row r="43" spans="1:43" s="1063" customFormat="1" ht="20.25">
      <c r="A43" s="979" t="s">
        <v>1119</v>
      </c>
      <c r="C43" s="979"/>
      <c r="D43" s="979"/>
      <c r="E43" s="979"/>
      <c r="F43" s="979"/>
      <c r="G43" s="3227">
        <v>0</v>
      </c>
      <c r="H43" s="3227">
        <v>0</v>
      </c>
      <c r="I43" s="3227">
        <f ca="1">IF(AND(Project_Expenses_Extrapolate,COUNTA($F$9:I$9)&gt;Projected_Income_Actual_Index),SUMIF(OFFSET($G$10,,,,Projected_Income_Actual_Index*2),I$10,OFFSET($G43,,,,Projected_Income_Actual_Index*2))/Projected_Income_Actual_Index,0)</f>
        <v>0</v>
      </c>
      <c r="J43" s="3227">
        <f ca="1">IF(AND(Project_Expenses_Extrapolate,COUNTA($F$9:J$9)&gt;Projected_Income_Actual_Index),SUMIF(OFFSET($G$10,,,,Projected_Income_Actual_Index*2),J$10,OFFSET($G43,,,,Projected_Income_Actual_Index*2))/Projected_Income_Actual_Index,0)</f>
        <v>0</v>
      </c>
      <c r="K43" s="3227">
        <f ca="1">IF(AND(Project_Expenses_Extrapolate,COUNTA($F$9:K$9)&gt;Projected_Income_Actual_Index),SUMIF(OFFSET($G$10,,,,Projected_Income_Actual_Index*2),K$10,OFFSET($G43,,,,Projected_Income_Actual_Index*2))/Projected_Income_Actual_Index,0)</f>
        <v>0</v>
      </c>
      <c r="L43" s="3227">
        <f ca="1">IF(AND(Project_Expenses_Extrapolate,COUNTA($F$9:L$9)&gt;Projected_Income_Actual_Index),SUMIF(OFFSET($G$10,,,,Projected_Income_Actual_Index*2),L$10,OFFSET($G43,,,,Projected_Income_Actual_Index*2))/Projected_Income_Actual_Index,0)</f>
        <v>0</v>
      </c>
      <c r="M43" s="3227">
        <f ca="1">IF(AND(Project_Expenses_Extrapolate,COUNTA($F$9:M$9)&gt;Projected_Income_Actual_Index),SUMIF(OFFSET($G$10,,,,Projected_Income_Actual_Index*2),M$10,OFFSET($G43,,,,Projected_Income_Actual_Index*2))/Projected_Income_Actual_Index,0)</f>
        <v>0</v>
      </c>
      <c r="N43" s="3227">
        <f ca="1">IF(AND(Project_Expenses_Extrapolate,COUNTA($F$9:N$9)&gt;Projected_Income_Actual_Index),SUMIF(OFFSET($G$10,,,,Projected_Income_Actual_Index*2),N$10,OFFSET($G43,,,,Projected_Income_Actual_Index*2))/Projected_Income_Actual_Index,0)</f>
        <v>0</v>
      </c>
      <c r="O43" s="3227">
        <f ca="1">IF(AND(Project_Expenses_Extrapolate,COUNTA($F$9:O$9)&gt;Projected_Income_Actual_Index),SUMIF(OFFSET($G$10,,,,Projected_Income_Actual_Index*2),O$10,OFFSET($G43,,,,Projected_Income_Actual_Index*2))/Projected_Income_Actual_Index,0)</f>
        <v>0</v>
      </c>
      <c r="P43" s="3227">
        <f ca="1">IF(AND(Project_Expenses_Extrapolate,COUNTA($F$9:P$9)&gt;Projected_Income_Actual_Index),SUMIF(OFFSET($G$10,,,,Projected_Income_Actual_Index*2),P$10,OFFSET($G43,,,,Projected_Income_Actual_Index*2))/Projected_Income_Actual_Index,0)</f>
        <v>0</v>
      </c>
      <c r="Q43" s="3227">
        <f ca="1">IF(AND(Project_Expenses_Extrapolate,COUNTA($F$9:Q$9)&gt;Projected_Income_Actual_Index),SUMIF(OFFSET($G$10,,,,Projected_Income_Actual_Index*2),Q$10,OFFSET($G43,,,,Projected_Income_Actual_Index*2))/Projected_Income_Actual_Index,0)</f>
        <v>0</v>
      </c>
      <c r="R43" s="3227">
        <f ca="1">IF(AND(Project_Expenses_Extrapolate,COUNTA($F$9:R$9)&gt;Projected_Income_Actual_Index),SUMIF(OFFSET($G$10,,,,Projected_Income_Actual_Index*2),R$10,OFFSET($G43,,,,Projected_Income_Actual_Index*2))/Projected_Income_Actual_Index,0)</f>
        <v>0</v>
      </c>
      <c r="S43" s="3227">
        <f ca="1">IF(AND(Project_Expenses_Extrapolate,COUNTA($F$9:S$9)&gt;Projected_Income_Actual_Index),SUMIF(OFFSET($G$10,,,,Projected_Income_Actual_Index*2),S$10,OFFSET($G43,,,,Projected_Income_Actual_Index*2))/Projected_Income_Actual_Index,0)</f>
        <v>0</v>
      </c>
      <c r="T43" s="3227">
        <f ca="1">IF(AND(Project_Expenses_Extrapolate,COUNTA($F$9:T$9)&gt;Projected_Income_Actual_Index),SUMIF(OFFSET($G$10,,,,Projected_Income_Actual_Index*2),T$10,OFFSET($G43,,,,Projected_Income_Actual_Index*2))/Projected_Income_Actual_Index,0)</f>
        <v>0</v>
      </c>
      <c r="U43" s="3227">
        <f ca="1">IF(AND(Project_Expenses_Extrapolate,COUNTA($F$9:U$9)&gt;Projected_Income_Actual_Index),SUMIF(OFFSET($G$10,,,,Projected_Income_Actual_Index*2),U$10,OFFSET($G43,,,,Projected_Income_Actual_Index*2))/Projected_Income_Actual_Index,0)</f>
        <v>0</v>
      </c>
      <c r="V43" s="3227">
        <f ca="1">IF(AND(Project_Expenses_Extrapolate,COUNTA($F$9:V$9)&gt;Projected_Income_Actual_Index),SUMIF(OFFSET($G$10,,,,Projected_Income_Actual_Index*2),V$10,OFFSET($G43,,,,Projected_Income_Actual_Index*2))/Projected_Income_Actual_Index,0)</f>
        <v>0</v>
      </c>
      <c r="W43" s="3227">
        <f ca="1">IF(AND(Project_Expenses_Extrapolate,COUNTA($F$9:W$9)&gt;Projected_Income_Actual_Index),SUMIF(OFFSET($G$10,,,,Projected_Income_Actual_Index*2),W$10,OFFSET($G43,,,,Projected_Income_Actual_Index*2))/Projected_Income_Actual_Index,0)</f>
        <v>0</v>
      </c>
      <c r="X43" s="3227">
        <f ca="1">IF(AND(Project_Expenses_Extrapolate,COUNTA($F$9:X$9)&gt;Projected_Income_Actual_Index),SUMIF(OFFSET($G$10,,,,Projected_Income_Actual_Index*2),X$10,OFFSET($G43,,,,Projected_Income_Actual_Index*2))/Projected_Income_Actual_Index,0)</f>
        <v>0</v>
      </c>
      <c r="Y43" s="3227">
        <f ca="1">IF(AND(Project_Expenses_Extrapolate,COUNTA($F$9:Y$9)&gt;Projected_Income_Actual_Index),SUMIF(OFFSET($G$10,,,,Projected_Income_Actual_Index*2),Y$10,OFFSET($G43,,,,Projected_Income_Actual_Index*2))/Projected_Income_Actual_Index,0)</f>
        <v>0</v>
      </c>
      <c r="Z43" s="3227">
        <f ca="1">IF(AND(Project_Expenses_Extrapolate,COUNTA($F$9:Z$9)&gt;Projected_Income_Actual_Index),SUMIF(OFFSET($G$10,,,,Projected_Income_Actual_Index*2),Z$10,OFFSET($G43,,,,Projected_Income_Actual_Index*2))/Projected_Income_Actual_Index,0)</f>
        <v>0</v>
      </c>
      <c r="AA43" s="3227">
        <f ca="1">IF(AND(Project_Expenses_Extrapolate,COUNTA($F$9:AA$9)&gt;Projected_Income_Actual_Index),SUMIF(OFFSET($G$10,,,,Projected_Income_Actual_Index*2),AA$10,OFFSET($G43,,,,Projected_Income_Actual_Index*2))/Projected_Income_Actual_Index,0)</f>
        <v>0</v>
      </c>
      <c r="AB43" s="3227">
        <f ca="1">IF(AND(Project_Expenses_Extrapolate,COUNTA($F$9:AB$9)&gt;Projected_Income_Actual_Index),SUMIF(OFFSET($G$10,,,,Projected_Income_Actual_Index*2),AB$10,OFFSET($G43,,,,Projected_Income_Actual_Index*2))/Projected_Income_Actual_Index,0)</f>
        <v>0</v>
      </c>
      <c r="AC43" s="3227">
        <f ca="1">IF(AND(Project_Expenses_Extrapolate,COUNTA($F$9:AC$9)&gt;Projected_Income_Actual_Index),SUMIF(OFFSET($G$10,,,,Projected_Income_Actual_Index*2),AC$10,OFFSET($G43,,,,Projected_Income_Actual_Index*2))/Projected_Income_Actual_Index,0)</f>
        <v>0</v>
      </c>
      <c r="AD43" s="3227">
        <f ca="1">IF(AND(Project_Expenses_Extrapolate,COUNTA($F$9:AD$9)&gt;Projected_Income_Actual_Index),SUMIF(OFFSET($G$10,,,,Projected_Income_Actual_Index*2),AD$10,OFFSET($G43,,,,Projected_Income_Actual_Index*2))/Projected_Income_Actual_Index,0)</f>
        <v>0</v>
      </c>
      <c r="AE43" s="3227">
        <f t="shared" ca="1" si="16"/>
        <v>0</v>
      </c>
      <c r="AF43" s="3227">
        <f t="shared" ca="1" si="16"/>
        <v>0</v>
      </c>
      <c r="AG43" s="2543">
        <f t="shared" ca="1" si="17"/>
        <v>0</v>
      </c>
      <c r="AH43" s="3227">
        <v>0</v>
      </c>
      <c r="AI43" s="3227">
        <v>0</v>
      </c>
      <c r="AJ43" s="3231">
        <v>0</v>
      </c>
      <c r="AK43" s="2548" t="s">
        <v>2280</v>
      </c>
      <c r="AL43" s="1111"/>
      <c r="AM43" s="1111"/>
      <c r="AQ43" s="3283">
        <f t="shared" ca="1" si="3"/>
        <v>0</v>
      </c>
    </row>
    <row r="44" spans="1:43" s="1063" customFormat="1" ht="20.25">
      <c r="A44" s="979" t="s">
        <v>856</v>
      </c>
      <c r="C44" s="979"/>
      <c r="D44" s="979"/>
      <c r="E44" s="979"/>
      <c r="F44" s="979"/>
      <c r="G44" s="3227">
        <v>0</v>
      </c>
      <c r="H44" s="3227">
        <v>0</v>
      </c>
      <c r="I44" s="3227">
        <f ca="1">IF(AND(Project_Expenses_Extrapolate,COUNTA($F$9:I$9)&gt;Projected_Income_Actual_Index),SUMIF(OFFSET($G$10,,,,Projected_Income_Actual_Index*2),I$10,OFFSET($G44,,,,Projected_Income_Actual_Index*2))/Projected_Income_Actual_Index,0)</f>
        <v>0</v>
      </c>
      <c r="J44" s="3227">
        <f ca="1">IF(AND(Project_Expenses_Extrapolate,COUNTA($F$9:J$9)&gt;Projected_Income_Actual_Index),SUMIF(OFFSET($G$10,,,,Projected_Income_Actual_Index*2),J$10,OFFSET($G44,,,,Projected_Income_Actual_Index*2))/Projected_Income_Actual_Index,0)</f>
        <v>0</v>
      </c>
      <c r="K44" s="3227">
        <f ca="1">IF(AND(Project_Expenses_Extrapolate,COUNTA($F$9:K$9)&gt;Projected_Income_Actual_Index),SUMIF(OFFSET($G$10,,,,Projected_Income_Actual_Index*2),K$10,OFFSET($G44,,,,Projected_Income_Actual_Index*2))/Projected_Income_Actual_Index,0)</f>
        <v>0</v>
      </c>
      <c r="L44" s="3227">
        <f ca="1">IF(AND(Project_Expenses_Extrapolate,COUNTA($F$9:L$9)&gt;Projected_Income_Actual_Index),SUMIF(OFFSET($G$10,,,,Projected_Income_Actual_Index*2),L$10,OFFSET($G44,,,,Projected_Income_Actual_Index*2))/Projected_Income_Actual_Index,0)</f>
        <v>0</v>
      </c>
      <c r="M44" s="3227">
        <f ca="1">IF(AND(Project_Expenses_Extrapolate,COUNTA($F$9:M$9)&gt;Projected_Income_Actual_Index),SUMIF(OFFSET($G$10,,,,Projected_Income_Actual_Index*2),M$10,OFFSET($G44,,,,Projected_Income_Actual_Index*2))/Projected_Income_Actual_Index,0)</f>
        <v>0</v>
      </c>
      <c r="N44" s="3227">
        <f ca="1">IF(AND(Project_Expenses_Extrapolate,COUNTA($F$9:N$9)&gt;Projected_Income_Actual_Index),SUMIF(OFFSET($G$10,,,,Projected_Income_Actual_Index*2),N$10,OFFSET($G44,,,,Projected_Income_Actual_Index*2))/Projected_Income_Actual_Index,0)</f>
        <v>0</v>
      </c>
      <c r="O44" s="3227">
        <f ca="1">IF(AND(Project_Expenses_Extrapolate,COUNTA($F$9:O$9)&gt;Projected_Income_Actual_Index),SUMIF(OFFSET($G$10,,,,Projected_Income_Actual_Index*2),O$10,OFFSET($G44,,,,Projected_Income_Actual_Index*2))/Projected_Income_Actual_Index,0)</f>
        <v>0</v>
      </c>
      <c r="P44" s="3227">
        <f ca="1">IF(AND(Project_Expenses_Extrapolate,COUNTA($F$9:P$9)&gt;Projected_Income_Actual_Index),SUMIF(OFFSET($G$10,,,,Projected_Income_Actual_Index*2),P$10,OFFSET($G44,,,,Projected_Income_Actual_Index*2))/Projected_Income_Actual_Index,0)</f>
        <v>0</v>
      </c>
      <c r="Q44" s="3227">
        <f ca="1">IF(AND(Project_Expenses_Extrapolate,COUNTA($F$9:Q$9)&gt;Projected_Income_Actual_Index),SUMIF(OFFSET($G$10,,,,Projected_Income_Actual_Index*2),Q$10,OFFSET($G44,,,,Projected_Income_Actual_Index*2))/Projected_Income_Actual_Index,0)</f>
        <v>0</v>
      </c>
      <c r="R44" s="3227">
        <f ca="1">IF(AND(Project_Expenses_Extrapolate,COUNTA($F$9:R$9)&gt;Projected_Income_Actual_Index),SUMIF(OFFSET($G$10,,,,Projected_Income_Actual_Index*2),R$10,OFFSET($G44,,,,Projected_Income_Actual_Index*2))/Projected_Income_Actual_Index,0)</f>
        <v>0</v>
      </c>
      <c r="S44" s="3227">
        <f ca="1">IF(AND(Project_Expenses_Extrapolate,COUNTA($F$9:S$9)&gt;Projected_Income_Actual_Index),SUMIF(OFFSET($G$10,,,,Projected_Income_Actual_Index*2),S$10,OFFSET($G44,,,,Projected_Income_Actual_Index*2))/Projected_Income_Actual_Index,0)</f>
        <v>0</v>
      </c>
      <c r="T44" s="3227">
        <f ca="1">IF(AND(Project_Expenses_Extrapolate,COUNTA($F$9:T$9)&gt;Projected_Income_Actual_Index),SUMIF(OFFSET($G$10,,,,Projected_Income_Actual_Index*2),T$10,OFFSET($G44,,,,Projected_Income_Actual_Index*2))/Projected_Income_Actual_Index,0)</f>
        <v>0</v>
      </c>
      <c r="U44" s="3227">
        <f ca="1">IF(AND(Project_Expenses_Extrapolate,COUNTA($F$9:U$9)&gt;Projected_Income_Actual_Index),SUMIF(OFFSET($G$10,,,,Projected_Income_Actual_Index*2),U$10,OFFSET($G44,,,,Projected_Income_Actual_Index*2))/Projected_Income_Actual_Index,0)</f>
        <v>0</v>
      </c>
      <c r="V44" s="3227">
        <f ca="1">IF(AND(Project_Expenses_Extrapolate,COUNTA($F$9:V$9)&gt;Projected_Income_Actual_Index),SUMIF(OFFSET($G$10,,,,Projected_Income_Actual_Index*2),V$10,OFFSET($G44,,,,Projected_Income_Actual_Index*2))/Projected_Income_Actual_Index,0)</f>
        <v>0</v>
      </c>
      <c r="W44" s="3227">
        <f ca="1">IF(AND(Project_Expenses_Extrapolate,COUNTA($F$9:W$9)&gt;Projected_Income_Actual_Index),SUMIF(OFFSET($G$10,,,,Projected_Income_Actual_Index*2),W$10,OFFSET($G44,,,,Projected_Income_Actual_Index*2))/Projected_Income_Actual_Index,0)</f>
        <v>0</v>
      </c>
      <c r="X44" s="3227">
        <f ca="1">IF(AND(Project_Expenses_Extrapolate,COUNTA($F$9:X$9)&gt;Projected_Income_Actual_Index),SUMIF(OFFSET($G$10,,,,Projected_Income_Actual_Index*2),X$10,OFFSET($G44,,,,Projected_Income_Actual_Index*2))/Projected_Income_Actual_Index,0)</f>
        <v>0</v>
      </c>
      <c r="Y44" s="3227">
        <f ca="1">IF(AND(Project_Expenses_Extrapolate,COUNTA($F$9:Y$9)&gt;Projected_Income_Actual_Index),SUMIF(OFFSET($G$10,,,,Projected_Income_Actual_Index*2),Y$10,OFFSET($G44,,,,Projected_Income_Actual_Index*2))/Projected_Income_Actual_Index,0)</f>
        <v>0</v>
      </c>
      <c r="Z44" s="3227">
        <f ca="1">IF(AND(Project_Expenses_Extrapolate,COUNTA($F$9:Z$9)&gt;Projected_Income_Actual_Index),SUMIF(OFFSET($G$10,,,,Projected_Income_Actual_Index*2),Z$10,OFFSET($G44,,,,Projected_Income_Actual_Index*2))/Projected_Income_Actual_Index,0)</f>
        <v>0</v>
      </c>
      <c r="AA44" s="3227">
        <f ca="1">IF(AND(Project_Expenses_Extrapolate,COUNTA($F$9:AA$9)&gt;Projected_Income_Actual_Index),SUMIF(OFFSET($G$10,,,,Projected_Income_Actual_Index*2),AA$10,OFFSET($G44,,,,Projected_Income_Actual_Index*2))/Projected_Income_Actual_Index,0)</f>
        <v>0</v>
      </c>
      <c r="AB44" s="3227">
        <f ca="1">IF(AND(Project_Expenses_Extrapolate,COUNTA($F$9:AB$9)&gt;Projected_Income_Actual_Index),SUMIF(OFFSET($G$10,,,,Projected_Income_Actual_Index*2),AB$10,OFFSET($G44,,,,Projected_Income_Actual_Index*2))/Projected_Income_Actual_Index,0)</f>
        <v>0</v>
      </c>
      <c r="AC44" s="3227">
        <f ca="1">IF(AND(Project_Expenses_Extrapolate,COUNTA($F$9:AC$9)&gt;Projected_Income_Actual_Index),SUMIF(OFFSET($G$10,,,,Projected_Income_Actual_Index*2),AC$10,OFFSET($G44,,,,Projected_Income_Actual_Index*2))/Projected_Income_Actual_Index,0)</f>
        <v>0</v>
      </c>
      <c r="AD44" s="3227">
        <f ca="1">IF(AND(Project_Expenses_Extrapolate,COUNTA($F$9:AD$9)&gt;Projected_Income_Actual_Index),SUMIF(OFFSET($G$10,,,,Projected_Income_Actual_Index*2),AD$10,OFFSET($G44,,,,Projected_Income_Actual_Index*2))/Projected_Income_Actual_Index,0)</f>
        <v>0</v>
      </c>
      <c r="AE44" s="3227">
        <f t="shared" ca="1" si="16"/>
        <v>0</v>
      </c>
      <c r="AF44" s="3227">
        <f t="shared" ca="1" si="16"/>
        <v>0</v>
      </c>
      <c r="AG44" s="2543">
        <f t="shared" ca="1" si="17"/>
        <v>0</v>
      </c>
      <c r="AH44" s="3227">
        <v>0</v>
      </c>
      <c r="AI44" s="3227">
        <v>0</v>
      </c>
      <c r="AJ44" s="3231">
        <v>0</v>
      </c>
      <c r="AK44" s="2548" t="s">
        <v>2280</v>
      </c>
      <c r="AL44" s="1111"/>
      <c r="AM44" s="1111"/>
      <c r="AQ44" s="3283">
        <f t="shared" ca="1" si="3"/>
        <v>0</v>
      </c>
    </row>
    <row r="45" spans="1:43" s="1063" customFormat="1" ht="20.25">
      <c r="A45" s="979" t="s">
        <v>857</v>
      </c>
      <c r="C45" s="979"/>
      <c r="D45" s="979"/>
      <c r="E45" s="979"/>
      <c r="F45" s="979"/>
      <c r="G45" s="3227">
        <v>0</v>
      </c>
      <c r="H45" s="3227">
        <v>0</v>
      </c>
      <c r="I45" s="3227">
        <f ca="1">IF(AND(Project_Expenses_Extrapolate,COUNTA($F$9:I$9)&gt;Projected_Income_Actual_Index),SUMIF(OFFSET($G$10,,,,Projected_Income_Actual_Index*2),I$10,OFFSET($G45,,,,Projected_Income_Actual_Index*2))/Projected_Income_Actual_Index,0)</f>
        <v>0</v>
      </c>
      <c r="J45" s="3227">
        <f ca="1">IF(AND(Project_Expenses_Extrapolate,COUNTA($F$9:J$9)&gt;Projected_Income_Actual_Index),SUMIF(OFFSET($G$10,,,,Projected_Income_Actual_Index*2),J$10,OFFSET($G45,,,,Projected_Income_Actual_Index*2))/Projected_Income_Actual_Index,0)</f>
        <v>0</v>
      </c>
      <c r="K45" s="3227">
        <f ca="1">IF(AND(Project_Expenses_Extrapolate,COUNTA($F$9:K$9)&gt;Projected_Income_Actual_Index),SUMIF(OFFSET($G$10,,,,Projected_Income_Actual_Index*2),K$10,OFFSET($G45,,,,Projected_Income_Actual_Index*2))/Projected_Income_Actual_Index,0)</f>
        <v>0</v>
      </c>
      <c r="L45" s="3227">
        <f ca="1">IF(AND(Project_Expenses_Extrapolate,COUNTA($F$9:L$9)&gt;Projected_Income_Actual_Index),SUMIF(OFFSET($G$10,,,,Projected_Income_Actual_Index*2),L$10,OFFSET($G45,,,,Projected_Income_Actual_Index*2))/Projected_Income_Actual_Index,0)</f>
        <v>0</v>
      </c>
      <c r="M45" s="3227">
        <f ca="1">IF(AND(Project_Expenses_Extrapolate,COUNTA($F$9:M$9)&gt;Projected_Income_Actual_Index),SUMIF(OFFSET($G$10,,,,Projected_Income_Actual_Index*2),M$10,OFFSET($G45,,,,Projected_Income_Actual_Index*2))/Projected_Income_Actual_Index,0)</f>
        <v>0</v>
      </c>
      <c r="N45" s="3227">
        <f ca="1">IF(AND(Project_Expenses_Extrapolate,COUNTA($F$9:N$9)&gt;Projected_Income_Actual_Index),SUMIF(OFFSET($G$10,,,,Projected_Income_Actual_Index*2),N$10,OFFSET($G45,,,,Projected_Income_Actual_Index*2))/Projected_Income_Actual_Index,0)</f>
        <v>0</v>
      </c>
      <c r="O45" s="3227">
        <f ca="1">IF(AND(Project_Expenses_Extrapolate,COUNTA($F$9:O$9)&gt;Projected_Income_Actual_Index),SUMIF(OFFSET($G$10,,,,Projected_Income_Actual_Index*2),O$10,OFFSET($G45,,,,Projected_Income_Actual_Index*2))/Projected_Income_Actual_Index,0)</f>
        <v>0</v>
      </c>
      <c r="P45" s="3227">
        <f ca="1">IF(AND(Project_Expenses_Extrapolate,COUNTA($F$9:P$9)&gt;Projected_Income_Actual_Index),SUMIF(OFFSET($G$10,,,,Projected_Income_Actual_Index*2),P$10,OFFSET($G45,,,,Projected_Income_Actual_Index*2))/Projected_Income_Actual_Index,0)</f>
        <v>0</v>
      </c>
      <c r="Q45" s="3227">
        <f ca="1">IF(AND(Project_Expenses_Extrapolate,COUNTA($F$9:Q$9)&gt;Projected_Income_Actual_Index),SUMIF(OFFSET($G$10,,,,Projected_Income_Actual_Index*2),Q$10,OFFSET($G45,,,,Projected_Income_Actual_Index*2))/Projected_Income_Actual_Index,0)</f>
        <v>0</v>
      </c>
      <c r="R45" s="3227">
        <f ca="1">IF(AND(Project_Expenses_Extrapolate,COUNTA($F$9:R$9)&gt;Projected_Income_Actual_Index),SUMIF(OFFSET($G$10,,,,Projected_Income_Actual_Index*2),R$10,OFFSET($G45,,,,Projected_Income_Actual_Index*2))/Projected_Income_Actual_Index,0)</f>
        <v>0</v>
      </c>
      <c r="S45" s="3227">
        <f ca="1">IF(AND(Project_Expenses_Extrapolate,COUNTA($F$9:S$9)&gt;Projected_Income_Actual_Index),SUMIF(OFFSET($G$10,,,,Projected_Income_Actual_Index*2),S$10,OFFSET($G45,,,,Projected_Income_Actual_Index*2))/Projected_Income_Actual_Index,0)</f>
        <v>0</v>
      </c>
      <c r="T45" s="3227">
        <f ca="1">IF(AND(Project_Expenses_Extrapolate,COUNTA($F$9:T$9)&gt;Projected_Income_Actual_Index),SUMIF(OFFSET($G$10,,,,Projected_Income_Actual_Index*2),T$10,OFFSET($G45,,,,Projected_Income_Actual_Index*2))/Projected_Income_Actual_Index,0)</f>
        <v>0</v>
      </c>
      <c r="U45" s="3227">
        <f ca="1">IF(AND(Project_Expenses_Extrapolate,COUNTA($F$9:U$9)&gt;Projected_Income_Actual_Index),SUMIF(OFFSET($G$10,,,,Projected_Income_Actual_Index*2),U$10,OFFSET($G45,,,,Projected_Income_Actual_Index*2))/Projected_Income_Actual_Index,0)</f>
        <v>0</v>
      </c>
      <c r="V45" s="3227">
        <f ca="1">IF(AND(Project_Expenses_Extrapolate,COUNTA($F$9:V$9)&gt;Projected_Income_Actual_Index),SUMIF(OFFSET($G$10,,,,Projected_Income_Actual_Index*2),V$10,OFFSET($G45,,,,Projected_Income_Actual_Index*2))/Projected_Income_Actual_Index,0)</f>
        <v>0</v>
      </c>
      <c r="W45" s="3227">
        <f ca="1">IF(AND(Project_Expenses_Extrapolate,COUNTA($F$9:W$9)&gt;Projected_Income_Actual_Index),SUMIF(OFFSET($G$10,,,,Projected_Income_Actual_Index*2),W$10,OFFSET($G45,,,,Projected_Income_Actual_Index*2))/Projected_Income_Actual_Index,0)</f>
        <v>0</v>
      </c>
      <c r="X45" s="3227">
        <f ca="1">IF(AND(Project_Expenses_Extrapolate,COUNTA($F$9:X$9)&gt;Projected_Income_Actual_Index),SUMIF(OFFSET($G$10,,,,Projected_Income_Actual_Index*2),X$10,OFFSET($G45,,,,Projected_Income_Actual_Index*2))/Projected_Income_Actual_Index,0)</f>
        <v>0</v>
      </c>
      <c r="Y45" s="3227">
        <f ca="1">IF(AND(Project_Expenses_Extrapolate,COUNTA($F$9:Y$9)&gt;Projected_Income_Actual_Index),SUMIF(OFFSET($G$10,,,,Projected_Income_Actual_Index*2),Y$10,OFFSET($G45,,,,Projected_Income_Actual_Index*2))/Projected_Income_Actual_Index,0)</f>
        <v>0</v>
      </c>
      <c r="Z45" s="3227">
        <f ca="1">IF(AND(Project_Expenses_Extrapolate,COUNTA($F$9:Z$9)&gt;Projected_Income_Actual_Index),SUMIF(OFFSET($G$10,,,,Projected_Income_Actual_Index*2),Z$10,OFFSET($G45,,,,Projected_Income_Actual_Index*2))/Projected_Income_Actual_Index,0)</f>
        <v>0</v>
      </c>
      <c r="AA45" s="3227">
        <f ca="1">IF(AND(Project_Expenses_Extrapolate,COUNTA($F$9:AA$9)&gt;Projected_Income_Actual_Index),SUMIF(OFFSET($G$10,,,,Projected_Income_Actual_Index*2),AA$10,OFFSET($G45,,,,Projected_Income_Actual_Index*2))/Projected_Income_Actual_Index,0)</f>
        <v>0</v>
      </c>
      <c r="AB45" s="3227">
        <f ca="1">IF(AND(Project_Expenses_Extrapolate,COUNTA($F$9:AB$9)&gt;Projected_Income_Actual_Index),SUMIF(OFFSET($G$10,,,,Projected_Income_Actual_Index*2),AB$10,OFFSET($G45,,,,Projected_Income_Actual_Index*2))/Projected_Income_Actual_Index,0)</f>
        <v>0</v>
      </c>
      <c r="AC45" s="3227">
        <f ca="1">IF(AND(Project_Expenses_Extrapolate,COUNTA($F$9:AC$9)&gt;Projected_Income_Actual_Index),SUMIF(OFFSET($G$10,,,,Projected_Income_Actual_Index*2),AC$10,OFFSET($G45,,,,Projected_Income_Actual_Index*2))/Projected_Income_Actual_Index,0)</f>
        <v>0</v>
      </c>
      <c r="AD45" s="3227">
        <f ca="1">IF(AND(Project_Expenses_Extrapolate,COUNTA($F$9:AD$9)&gt;Projected_Income_Actual_Index),SUMIF(OFFSET($G$10,,,,Projected_Income_Actual_Index*2),AD$10,OFFSET($G45,,,,Projected_Income_Actual_Index*2))/Projected_Income_Actual_Index,0)</f>
        <v>0</v>
      </c>
      <c r="AE45" s="3227">
        <f t="shared" ca="1" si="16"/>
        <v>0</v>
      </c>
      <c r="AF45" s="3227">
        <f t="shared" ca="1" si="16"/>
        <v>0</v>
      </c>
      <c r="AG45" s="2543">
        <f t="shared" ca="1" si="17"/>
        <v>0</v>
      </c>
      <c r="AH45" s="3227">
        <v>0</v>
      </c>
      <c r="AI45" s="3227">
        <v>0</v>
      </c>
      <c r="AJ45" s="3231">
        <v>0</v>
      </c>
      <c r="AK45" s="2548" t="s">
        <v>2280</v>
      </c>
      <c r="AL45" s="1111"/>
      <c r="AM45" s="1111"/>
      <c r="AQ45" s="3283">
        <f t="shared" ca="1" si="3"/>
        <v>0</v>
      </c>
    </row>
    <row r="46" spans="1:43" s="1063" customFormat="1" ht="20.25">
      <c r="A46" s="979" t="s">
        <v>858</v>
      </c>
      <c r="C46" s="979"/>
      <c r="D46" s="979"/>
      <c r="E46" s="979"/>
      <c r="F46" s="979"/>
      <c r="G46" s="3227">
        <v>0</v>
      </c>
      <c r="H46" s="3227">
        <v>0</v>
      </c>
      <c r="I46" s="3227">
        <f ca="1">IF(AND(Project_Expenses_Extrapolate,COUNTA($F$9:I$9)&gt;Projected_Income_Actual_Index),SUMIF(OFFSET($G$10,,,,Projected_Income_Actual_Index*2),I$10,OFFSET($G46,,,,Projected_Income_Actual_Index*2))/Projected_Income_Actual_Index,0)</f>
        <v>0</v>
      </c>
      <c r="J46" s="3227">
        <f ca="1">IF(AND(Project_Expenses_Extrapolate,COUNTA($F$9:J$9)&gt;Projected_Income_Actual_Index),SUMIF(OFFSET($G$10,,,,Projected_Income_Actual_Index*2),J$10,OFFSET($G46,,,,Projected_Income_Actual_Index*2))/Projected_Income_Actual_Index,0)</f>
        <v>0</v>
      </c>
      <c r="K46" s="3227">
        <f ca="1">IF(AND(Project_Expenses_Extrapolate,COUNTA($F$9:K$9)&gt;Projected_Income_Actual_Index),SUMIF(OFFSET($G$10,,,,Projected_Income_Actual_Index*2),K$10,OFFSET($G46,,,,Projected_Income_Actual_Index*2))/Projected_Income_Actual_Index,0)</f>
        <v>0</v>
      </c>
      <c r="L46" s="3227">
        <f ca="1">IF(AND(Project_Expenses_Extrapolate,COUNTA($F$9:L$9)&gt;Projected_Income_Actual_Index),SUMIF(OFFSET($G$10,,,,Projected_Income_Actual_Index*2),L$10,OFFSET($G46,,,,Projected_Income_Actual_Index*2))/Projected_Income_Actual_Index,0)</f>
        <v>0</v>
      </c>
      <c r="M46" s="3227">
        <f ca="1">IF(AND(Project_Expenses_Extrapolate,COUNTA($F$9:M$9)&gt;Projected_Income_Actual_Index),SUMIF(OFFSET($G$10,,,,Projected_Income_Actual_Index*2),M$10,OFFSET($G46,,,,Projected_Income_Actual_Index*2))/Projected_Income_Actual_Index,0)</f>
        <v>0</v>
      </c>
      <c r="N46" s="3227">
        <f ca="1">IF(AND(Project_Expenses_Extrapolate,COUNTA($F$9:N$9)&gt;Projected_Income_Actual_Index),SUMIF(OFFSET($G$10,,,,Projected_Income_Actual_Index*2),N$10,OFFSET($G46,,,,Projected_Income_Actual_Index*2))/Projected_Income_Actual_Index,0)</f>
        <v>0</v>
      </c>
      <c r="O46" s="3227">
        <f ca="1">IF(AND(Project_Expenses_Extrapolate,COUNTA($F$9:O$9)&gt;Projected_Income_Actual_Index),SUMIF(OFFSET($G$10,,,,Projected_Income_Actual_Index*2),O$10,OFFSET($G46,,,,Projected_Income_Actual_Index*2))/Projected_Income_Actual_Index,0)</f>
        <v>0</v>
      </c>
      <c r="P46" s="3227">
        <f ca="1">IF(AND(Project_Expenses_Extrapolate,COUNTA($F$9:P$9)&gt;Projected_Income_Actual_Index),SUMIF(OFFSET($G$10,,,,Projected_Income_Actual_Index*2),P$10,OFFSET($G46,,,,Projected_Income_Actual_Index*2))/Projected_Income_Actual_Index,0)</f>
        <v>0</v>
      </c>
      <c r="Q46" s="3227">
        <f ca="1">IF(AND(Project_Expenses_Extrapolate,COUNTA($F$9:Q$9)&gt;Projected_Income_Actual_Index),SUMIF(OFFSET($G$10,,,,Projected_Income_Actual_Index*2),Q$10,OFFSET($G46,,,,Projected_Income_Actual_Index*2))/Projected_Income_Actual_Index,0)</f>
        <v>0</v>
      </c>
      <c r="R46" s="3227">
        <f ca="1">IF(AND(Project_Expenses_Extrapolate,COUNTA($F$9:R$9)&gt;Projected_Income_Actual_Index),SUMIF(OFFSET($G$10,,,,Projected_Income_Actual_Index*2),R$10,OFFSET($G46,,,,Projected_Income_Actual_Index*2))/Projected_Income_Actual_Index,0)</f>
        <v>0</v>
      </c>
      <c r="S46" s="3227">
        <f ca="1">IF(AND(Project_Expenses_Extrapolate,COUNTA($F$9:S$9)&gt;Projected_Income_Actual_Index),SUMIF(OFFSET($G$10,,,,Projected_Income_Actual_Index*2),S$10,OFFSET($G46,,,,Projected_Income_Actual_Index*2))/Projected_Income_Actual_Index,0)</f>
        <v>0</v>
      </c>
      <c r="T46" s="3227">
        <f ca="1">IF(AND(Project_Expenses_Extrapolate,COUNTA($F$9:T$9)&gt;Projected_Income_Actual_Index),SUMIF(OFFSET($G$10,,,,Projected_Income_Actual_Index*2),T$10,OFFSET($G46,,,,Projected_Income_Actual_Index*2))/Projected_Income_Actual_Index,0)</f>
        <v>0</v>
      </c>
      <c r="U46" s="3227">
        <f ca="1">IF(AND(Project_Expenses_Extrapolate,COUNTA($F$9:U$9)&gt;Projected_Income_Actual_Index),SUMIF(OFFSET($G$10,,,,Projected_Income_Actual_Index*2),U$10,OFFSET($G46,,,,Projected_Income_Actual_Index*2))/Projected_Income_Actual_Index,0)</f>
        <v>0</v>
      </c>
      <c r="V46" s="3227">
        <f ca="1">IF(AND(Project_Expenses_Extrapolate,COUNTA($F$9:V$9)&gt;Projected_Income_Actual_Index),SUMIF(OFFSET($G$10,,,,Projected_Income_Actual_Index*2),V$10,OFFSET($G46,,,,Projected_Income_Actual_Index*2))/Projected_Income_Actual_Index,0)</f>
        <v>0</v>
      </c>
      <c r="W46" s="3227">
        <f ca="1">IF(AND(Project_Expenses_Extrapolate,COUNTA($F$9:W$9)&gt;Projected_Income_Actual_Index),SUMIF(OFFSET($G$10,,,,Projected_Income_Actual_Index*2),W$10,OFFSET($G46,,,,Projected_Income_Actual_Index*2))/Projected_Income_Actual_Index,0)</f>
        <v>0</v>
      </c>
      <c r="X46" s="3227">
        <f ca="1">IF(AND(Project_Expenses_Extrapolate,COUNTA($F$9:X$9)&gt;Projected_Income_Actual_Index),SUMIF(OFFSET($G$10,,,,Projected_Income_Actual_Index*2),X$10,OFFSET($G46,,,,Projected_Income_Actual_Index*2))/Projected_Income_Actual_Index,0)</f>
        <v>0</v>
      </c>
      <c r="Y46" s="3227">
        <f ca="1">IF(AND(Project_Expenses_Extrapolate,COUNTA($F$9:Y$9)&gt;Projected_Income_Actual_Index),SUMIF(OFFSET($G$10,,,,Projected_Income_Actual_Index*2),Y$10,OFFSET($G46,,,,Projected_Income_Actual_Index*2))/Projected_Income_Actual_Index,0)</f>
        <v>0</v>
      </c>
      <c r="Z46" s="3227">
        <f ca="1">IF(AND(Project_Expenses_Extrapolate,COUNTA($F$9:Z$9)&gt;Projected_Income_Actual_Index),SUMIF(OFFSET($G$10,,,,Projected_Income_Actual_Index*2),Z$10,OFFSET($G46,,,,Projected_Income_Actual_Index*2))/Projected_Income_Actual_Index,0)</f>
        <v>0</v>
      </c>
      <c r="AA46" s="3227">
        <f ca="1">IF(AND(Project_Expenses_Extrapolate,COUNTA($F$9:AA$9)&gt;Projected_Income_Actual_Index),SUMIF(OFFSET($G$10,,,,Projected_Income_Actual_Index*2),AA$10,OFFSET($G46,,,,Projected_Income_Actual_Index*2))/Projected_Income_Actual_Index,0)</f>
        <v>0</v>
      </c>
      <c r="AB46" s="3227">
        <f ca="1">IF(AND(Project_Expenses_Extrapolate,COUNTA($F$9:AB$9)&gt;Projected_Income_Actual_Index),SUMIF(OFFSET($G$10,,,,Projected_Income_Actual_Index*2),AB$10,OFFSET($G46,,,,Projected_Income_Actual_Index*2))/Projected_Income_Actual_Index,0)</f>
        <v>0</v>
      </c>
      <c r="AC46" s="3227">
        <f ca="1">IF(AND(Project_Expenses_Extrapolate,COUNTA($F$9:AC$9)&gt;Projected_Income_Actual_Index),SUMIF(OFFSET($G$10,,,,Projected_Income_Actual_Index*2),AC$10,OFFSET($G46,,,,Projected_Income_Actual_Index*2))/Projected_Income_Actual_Index,0)</f>
        <v>0</v>
      </c>
      <c r="AD46" s="3227">
        <f ca="1">IF(AND(Project_Expenses_Extrapolate,COUNTA($F$9:AD$9)&gt;Projected_Income_Actual_Index),SUMIF(OFFSET($G$10,,,,Projected_Income_Actual_Index*2),AD$10,OFFSET($G46,,,,Projected_Income_Actual_Index*2))/Projected_Income_Actual_Index,0)</f>
        <v>0</v>
      </c>
      <c r="AE46" s="3227">
        <f t="shared" ca="1" si="16"/>
        <v>0</v>
      </c>
      <c r="AF46" s="3227">
        <f t="shared" ca="1" si="16"/>
        <v>0</v>
      </c>
      <c r="AG46" s="2543">
        <f t="shared" ca="1" si="17"/>
        <v>0</v>
      </c>
      <c r="AH46" s="3227">
        <v>0</v>
      </c>
      <c r="AI46" s="3227">
        <v>0</v>
      </c>
      <c r="AJ46" s="3231">
        <v>0</v>
      </c>
      <c r="AK46" s="2548" t="s">
        <v>2280</v>
      </c>
      <c r="AL46" s="1111"/>
      <c r="AM46" s="1111"/>
      <c r="AQ46" s="3283">
        <f t="shared" ca="1" si="3"/>
        <v>0</v>
      </c>
    </row>
    <row r="47" spans="1:43" s="1063" customFormat="1" ht="20.25">
      <c r="A47" s="979" t="s">
        <v>859</v>
      </c>
      <c r="C47" s="979"/>
      <c r="D47" s="979"/>
      <c r="E47" s="979"/>
      <c r="F47" s="979"/>
      <c r="G47" s="3227">
        <v>0</v>
      </c>
      <c r="H47" s="3227">
        <v>0</v>
      </c>
      <c r="I47" s="3227">
        <f ca="1">IF(AND(Project_Expenses_Extrapolate,COUNTA($F$9:I$9)&gt;Projected_Income_Actual_Index),SUMIF(OFFSET($G$10,,,,Projected_Income_Actual_Index*2),I$10,OFFSET($G47,,,,Projected_Income_Actual_Index*2))/Projected_Income_Actual_Index,0)</f>
        <v>0</v>
      </c>
      <c r="J47" s="3227">
        <f ca="1">IF(AND(Project_Expenses_Extrapolate,COUNTA($F$9:J$9)&gt;Projected_Income_Actual_Index),SUMIF(OFFSET($G$10,,,,Projected_Income_Actual_Index*2),J$10,OFFSET($G47,,,,Projected_Income_Actual_Index*2))/Projected_Income_Actual_Index,0)</f>
        <v>0</v>
      </c>
      <c r="K47" s="3227">
        <f ca="1">IF(AND(Project_Expenses_Extrapolate,COUNTA($F$9:K$9)&gt;Projected_Income_Actual_Index),SUMIF(OFFSET($G$10,,,,Projected_Income_Actual_Index*2),K$10,OFFSET($G47,,,,Projected_Income_Actual_Index*2))/Projected_Income_Actual_Index,0)</f>
        <v>0</v>
      </c>
      <c r="L47" s="3227">
        <f ca="1">IF(AND(Project_Expenses_Extrapolate,COUNTA($F$9:L$9)&gt;Projected_Income_Actual_Index),SUMIF(OFFSET($G$10,,,,Projected_Income_Actual_Index*2),L$10,OFFSET($G47,,,,Projected_Income_Actual_Index*2))/Projected_Income_Actual_Index,0)</f>
        <v>0</v>
      </c>
      <c r="M47" s="3227">
        <f ca="1">IF(AND(Project_Expenses_Extrapolate,COUNTA($F$9:M$9)&gt;Projected_Income_Actual_Index),SUMIF(OFFSET($G$10,,,,Projected_Income_Actual_Index*2),M$10,OFFSET($G47,,,,Projected_Income_Actual_Index*2))/Projected_Income_Actual_Index,0)</f>
        <v>0</v>
      </c>
      <c r="N47" s="3227">
        <f ca="1">IF(AND(Project_Expenses_Extrapolate,COUNTA($F$9:N$9)&gt;Projected_Income_Actual_Index),SUMIF(OFFSET($G$10,,,,Projected_Income_Actual_Index*2),N$10,OFFSET($G47,,,,Projected_Income_Actual_Index*2))/Projected_Income_Actual_Index,0)</f>
        <v>0</v>
      </c>
      <c r="O47" s="3227">
        <f ca="1">IF(AND(Project_Expenses_Extrapolate,COUNTA($F$9:O$9)&gt;Projected_Income_Actual_Index),SUMIF(OFFSET($G$10,,,,Projected_Income_Actual_Index*2),O$10,OFFSET($G47,,,,Projected_Income_Actual_Index*2))/Projected_Income_Actual_Index,0)</f>
        <v>0</v>
      </c>
      <c r="P47" s="3227">
        <f ca="1">IF(AND(Project_Expenses_Extrapolate,COUNTA($F$9:P$9)&gt;Projected_Income_Actual_Index),SUMIF(OFFSET($G$10,,,,Projected_Income_Actual_Index*2),P$10,OFFSET($G47,,,,Projected_Income_Actual_Index*2))/Projected_Income_Actual_Index,0)</f>
        <v>0</v>
      </c>
      <c r="Q47" s="3227">
        <f ca="1">IF(AND(Project_Expenses_Extrapolate,COUNTA($F$9:Q$9)&gt;Projected_Income_Actual_Index),SUMIF(OFFSET($G$10,,,,Projected_Income_Actual_Index*2),Q$10,OFFSET($G47,,,,Projected_Income_Actual_Index*2))/Projected_Income_Actual_Index,0)</f>
        <v>0</v>
      </c>
      <c r="R47" s="3227">
        <f ca="1">IF(AND(Project_Expenses_Extrapolate,COUNTA($F$9:R$9)&gt;Projected_Income_Actual_Index),SUMIF(OFFSET($G$10,,,,Projected_Income_Actual_Index*2),R$10,OFFSET($G47,,,,Projected_Income_Actual_Index*2))/Projected_Income_Actual_Index,0)</f>
        <v>0</v>
      </c>
      <c r="S47" s="3227">
        <f ca="1">IF(AND(Project_Expenses_Extrapolate,COUNTA($F$9:S$9)&gt;Projected_Income_Actual_Index),SUMIF(OFFSET($G$10,,,,Projected_Income_Actual_Index*2),S$10,OFFSET($G47,,,,Projected_Income_Actual_Index*2))/Projected_Income_Actual_Index,0)</f>
        <v>0</v>
      </c>
      <c r="T47" s="3227">
        <f ca="1">IF(AND(Project_Expenses_Extrapolate,COUNTA($F$9:T$9)&gt;Projected_Income_Actual_Index),SUMIF(OFFSET($G$10,,,,Projected_Income_Actual_Index*2),T$10,OFFSET($G47,,,,Projected_Income_Actual_Index*2))/Projected_Income_Actual_Index,0)</f>
        <v>0</v>
      </c>
      <c r="U47" s="3227">
        <f ca="1">IF(AND(Project_Expenses_Extrapolate,COUNTA($F$9:U$9)&gt;Projected_Income_Actual_Index),SUMIF(OFFSET($G$10,,,,Projected_Income_Actual_Index*2),U$10,OFFSET($G47,,,,Projected_Income_Actual_Index*2))/Projected_Income_Actual_Index,0)</f>
        <v>0</v>
      </c>
      <c r="V47" s="3227">
        <f ca="1">IF(AND(Project_Expenses_Extrapolate,COUNTA($F$9:V$9)&gt;Projected_Income_Actual_Index),SUMIF(OFFSET($G$10,,,,Projected_Income_Actual_Index*2),V$10,OFFSET($G47,,,,Projected_Income_Actual_Index*2))/Projected_Income_Actual_Index,0)</f>
        <v>0</v>
      </c>
      <c r="W47" s="3227">
        <f ca="1">IF(AND(Project_Expenses_Extrapolate,COUNTA($F$9:W$9)&gt;Projected_Income_Actual_Index),SUMIF(OFFSET($G$10,,,,Projected_Income_Actual_Index*2),W$10,OFFSET($G47,,,,Projected_Income_Actual_Index*2))/Projected_Income_Actual_Index,0)</f>
        <v>0</v>
      </c>
      <c r="X47" s="3227">
        <f ca="1">IF(AND(Project_Expenses_Extrapolate,COUNTA($F$9:X$9)&gt;Projected_Income_Actual_Index),SUMIF(OFFSET($G$10,,,,Projected_Income_Actual_Index*2),X$10,OFFSET($G47,,,,Projected_Income_Actual_Index*2))/Projected_Income_Actual_Index,0)</f>
        <v>0</v>
      </c>
      <c r="Y47" s="3227">
        <f ca="1">IF(AND(Project_Expenses_Extrapolate,COUNTA($F$9:Y$9)&gt;Projected_Income_Actual_Index),SUMIF(OFFSET($G$10,,,,Projected_Income_Actual_Index*2),Y$10,OFFSET($G47,,,,Projected_Income_Actual_Index*2))/Projected_Income_Actual_Index,0)</f>
        <v>0</v>
      </c>
      <c r="Z47" s="3227">
        <f ca="1">IF(AND(Project_Expenses_Extrapolate,COUNTA($F$9:Z$9)&gt;Projected_Income_Actual_Index),SUMIF(OFFSET($G$10,,,,Projected_Income_Actual_Index*2),Z$10,OFFSET($G47,,,,Projected_Income_Actual_Index*2))/Projected_Income_Actual_Index,0)</f>
        <v>0</v>
      </c>
      <c r="AA47" s="3227">
        <f ca="1">IF(AND(Project_Expenses_Extrapolate,COUNTA($F$9:AA$9)&gt;Projected_Income_Actual_Index),SUMIF(OFFSET($G$10,,,,Projected_Income_Actual_Index*2),AA$10,OFFSET($G47,,,,Projected_Income_Actual_Index*2))/Projected_Income_Actual_Index,0)</f>
        <v>0</v>
      </c>
      <c r="AB47" s="3227">
        <f ca="1">IF(AND(Project_Expenses_Extrapolate,COUNTA($F$9:AB$9)&gt;Projected_Income_Actual_Index),SUMIF(OFFSET($G$10,,,,Projected_Income_Actual_Index*2),AB$10,OFFSET($G47,,,,Projected_Income_Actual_Index*2))/Projected_Income_Actual_Index,0)</f>
        <v>0</v>
      </c>
      <c r="AC47" s="3227">
        <f ca="1">IF(AND(Project_Expenses_Extrapolate,COUNTA($F$9:AC$9)&gt;Projected_Income_Actual_Index),SUMIF(OFFSET($G$10,,,,Projected_Income_Actual_Index*2),AC$10,OFFSET($G47,,,,Projected_Income_Actual_Index*2))/Projected_Income_Actual_Index,0)</f>
        <v>0</v>
      </c>
      <c r="AD47" s="3227">
        <f ca="1">IF(AND(Project_Expenses_Extrapolate,COUNTA($F$9:AD$9)&gt;Projected_Income_Actual_Index),SUMIF(OFFSET($G$10,,,,Projected_Income_Actual_Index*2),AD$10,OFFSET($G47,,,,Projected_Income_Actual_Index*2))/Projected_Income_Actual_Index,0)</f>
        <v>0</v>
      </c>
      <c r="AE47" s="3227">
        <f t="shared" ca="1" si="16"/>
        <v>0</v>
      </c>
      <c r="AF47" s="3227">
        <f t="shared" ca="1" si="16"/>
        <v>0</v>
      </c>
      <c r="AG47" s="2543">
        <f t="shared" ca="1" si="17"/>
        <v>0</v>
      </c>
      <c r="AH47" s="3227">
        <v>0</v>
      </c>
      <c r="AI47" s="3227">
        <v>0</v>
      </c>
      <c r="AJ47" s="3231">
        <v>0</v>
      </c>
      <c r="AK47" s="2548" t="s">
        <v>2280</v>
      </c>
      <c r="AL47" s="1111"/>
      <c r="AM47" s="1111"/>
      <c r="AQ47" s="3283">
        <f t="shared" ca="1" si="3"/>
        <v>0</v>
      </c>
    </row>
    <row r="48" spans="1:43" s="1063" customFormat="1" ht="20.25">
      <c r="A48" s="979" t="s">
        <v>860</v>
      </c>
      <c r="C48" s="979"/>
      <c r="D48" s="979"/>
      <c r="E48" s="979"/>
      <c r="F48" s="979"/>
      <c r="G48" s="3227">
        <v>0</v>
      </c>
      <c r="H48" s="3227">
        <v>0</v>
      </c>
      <c r="I48" s="3227">
        <f ca="1">IF(AND(Project_Expenses_Extrapolate,COUNTA($F$9:I$9)&gt;Projected_Income_Actual_Index),SUMIF(OFFSET($G$10,,,,Projected_Income_Actual_Index*2),I$10,OFFSET($G48,,,,Projected_Income_Actual_Index*2))/Projected_Income_Actual_Index,0)</f>
        <v>0</v>
      </c>
      <c r="J48" s="3227">
        <f ca="1">IF(AND(Project_Expenses_Extrapolate,COUNTA($F$9:J$9)&gt;Projected_Income_Actual_Index),SUMIF(OFFSET($G$10,,,,Projected_Income_Actual_Index*2),J$10,OFFSET($G48,,,,Projected_Income_Actual_Index*2))/Projected_Income_Actual_Index,0)</f>
        <v>0</v>
      </c>
      <c r="K48" s="3227">
        <f ca="1">IF(AND(Project_Expenses_Extrapolate,COUNTA($F$9:K$9)&gt;Projected_Income_Actual_Index),SUMIF(OFFSET($G$10,,,,Projected_Income_Actual_Index*2),K$10,OFFSET($G48,,,,Projected_Income_Actual_Index*2))/Projected_Income_Actual_Index,0)</f>
        <v>0</v>
      </c>
      <c r="L48" s="3227">
        <f ca="1">IF(AND(Project_Expenses_Extrapolate,COUNTA($F$9:L$9)&gt;Projected_Income_Actual_Index),SUMIF(OFFSET($G$10,,,,Projected_Income_Actual_Index*2),L$10,OFFSET($G48,,,,Projected_Income_Actual_Index*2))/Projected_Income_Actual_Index,0)</f>
        <v>0</v>
      </c>
      <c r="M48" s="3227">
        <f ca="1">IF(AND(Project_Expenses_Extrapolate,COUNTA($F$9:M$9)&gt;Projected_Income_Actual_Index),SUMIF(OFFSET($G$10,,,,Projected_Income_Actual_Index*2),M$10,OFFSET($G48,,,,Projected_Income_Actual_Index*2))/Projected_Income_Actual_Index,0)</f>
        <v>0</v>
      </c>
      <c r="N48" s="3227">
        <f ca="1">IF(AND(Project_Expenses_Extrapolate,COUNTA($F$9:N$9)&gt;Projected_Income_Actual_Index),SUMIF(OFFSET($G$10,,,,Projected_Income_Actual_Index*2),N$10,OFFSET($G48,,,,Projected_Income_Actual_Index*2))/Projected_Income_Actual_Index,0)</f>
        <v>0</v>
      </c>
      <c r="O48" s="3227">
        <f ca="1">IF(AND(Project_Expenses_Extrapolate,COUNTA($F$9:O$9)&gt;Projected_Income_Actual_Index),SUMIF(OFFSET($G$10,,,,Projected_Income_Actual_Index*2),O$10,OFFSET($G48,,,,Projected_Income_Actual_Index*2))/Projected_Income_Actual_Index,0)</f>
        <v>0</v>
      </c>
      <c r="P48" s="3227">
        <f ca="1">IF(AND(Project_Expenses_Extrapolate,COUNTA($F$9:P$9)&gt;Projected_Income_Actual_Index),SUMIF(OFFSET($G$10,,,,Projected_Income_Actual_Index*2),P$10,OFFSET($G48,,,,Projected_Income_Actual_Index*2))/Projected_Income_Actual_Index,0)</f>
        <v>0</v>
      </c>
      <c r="Q48" s="3227">
        <f ca="1">IF(AND(Project_Expenses_Extrapolate,COUNTA($F$9:Q$9)&gt;Projected_Income_Actual_Index),SUMIF(OFFSET($G$10,,,,Projected_Income_Actual_Index*2),Q$10,OFFSET($G48,,,,Projected_Income_Actual_Index*2))/Projected_Income_Actual_Index,0)</f>
        <v>0</v>
      </c>
      <c r="R48" s="3227">
        <f ca="1">IF(AND(Project_Expenses_Extrapolate,COUNTA($F$9:R$9)&gt;Projected_Income_Actual_Index),SUMIF(OFFSET($G$10,,,,Projected_Income_Actual_Index*2),R$10,OFFSET($G48,,,,Projected_Income_Actual_Index*2))/Projected_Income_Actual_Index,0)</f>
        <v>0</v>
      </c>
      <c r="S48" s="3227">
        <f ca="1">IF(AND(Project_Expenses_Extrapolate,COUNTA($F$9:S$9)&gt;Projected_Income_Actual_Index),SUMIF(OFFSET($G$10,,,,Projected_Income_Actual_Index*2),S$10,OFFSET($G48,,,,Projected_Income_Actual_Index*2))/Projected_Income_Actual_Index,0)</f>
        <v>0</v>
      </c>
      <c r="T48" s="3227">
        <f ca="1">IF(AND(Project_Expenses_Extrapolate,COUNTA($F$9:T$9)&gt;Projected_Income_Actual_Index),SUMIF(OFFSET($G$10,,,,Projected_Income_Actual_Index*2),T$10,OFFSET($G48,,,,Projected_Income_Actual_Index*2))/Projected_Income_Actual_Index,0)</f>
        <v>0</v>
      </c>
      <c r="U48" s="3227">
        <f ca="1">IF(AND(Project_Expenses_Extrapolate,COUNTA($F$9:U$9)&gt;Projected_Income_Actual_Index),SUMIF(OFFSET($G$10,,,,Projected_Income_Actual_Index*2),U$10,OFFSET($G48,,,,Projected_Income_Actual_Index*2))/Projected_Income_Actual_Index,0)</f>
        <v>0</v>
      </c>
      <c r="V48" s="3227">
        <f ca="1">IF(AND(Project_Expenses_Extrapolate,COUNTA($F$9:V$9)&gt;Projected_Income_Actual_Index),SUMIF(OFFSET($G$10,,,,Projected_Income_Actual_Index*2),V$10,OFFSET($G48,,,,Projected_Income_Actual_Index*2))/Projected_Income_Actual_Index,0)</f>
        <v>0</v>
      </c>
      <c r="W48" s="3227">
        <f ca="1">IF(AND(Project_Expenses_Extrapolate,COUNTA($F$9:W$9)&gt;Projected_Income_Actual_Index),SUMIF(OFFSET($G$10,,,,Projected_Income_Actual_Index*2),W$10,OFFSET($G48,,,,Projected_Income_Actual_Index*2))/Projected_Income_Actual_Index,0)</f>
        <v>0</v>
      </c>
      <c r="X48" s="3227">
        <f ca="1">IF(AND(Project_Expenses_Extrapolate,COUNTA($F$9:X$9)&gt;Projected_Income_Actual_Index),SUMIF(OFFSET($G$10,,,,Projected_Income_Actual_Index*2),X$10,OFFSET($G48,,,,Projected_Income_Actual_Index*2))/Projected_Income_Actual_Index,0)</f>
        <v>0</v>
      </c>
      <c r="Y48" s="3227">
        <f ca="1">IF(AND(Project_Expenses_Extrapolate,COUNTA($F$9:Y$9)&gt;Projected_Income_Actual_Index),SUMIF(OFFSET($G$10,,,,Projected_Income_Actual_Index*2),Y$10,OFFSET($G48,,,,Projected_Income_Actual_Index*2))/Projected_Income_Actual_Index,0)</f>
        <v>0</v>
      </c>
      <c r="Z48" s="3227">
        <f ca="1">IF(AND(Project_Expenses_Extrapolate,COUNTA($F$9:Z$9)&gt;Projected_Income_Actual_Index),SUMIF(OFFSET($G$10,,,,Projected_Income_Actual_Index*2),Z$10,OFFSET($G48,,,,Projected_Income_Actual_Index*2))/Projected_Income_Actual_Index,0)</f>
        <v>0</v>
      </c>
      <c r="AA48" s="3227">
        <f ca="1">IF(AND(Project_Expenses_Extrapolate,COUNTA($F$9:AA$9)&gt;Projected_Income_Actual_Index),SUMIF(OFFSET($G$10,,,,Projected_Income_Actual_Index*2),AA$10,OFFSET($G48,,,,Projected_Income_Actual_Index*2))/Projected_Income_Actual_Index,0)</f>
        <v>0</v>
      </c>
      <c r="AB48" s="3227">
        <f ca="1">IF(AND(Project_Expenses_Extrapolate,COUNTA($F$9:AB$9)&gt;Projected_Income_Actual_Index),SUMIF(OFFSET($G$10,,,,Projected_Income_Actual_Index*2),AB$10,OFFSET($G48,,,,Projected_Income_Actual_Index*2))/Projected_Income_Actual_Index,0)</f>
        <v>0</v>
      </c>
      <c r="AC48" s="3227">
        <f ca="1">IF(AND(Project_Expenses_Extrapolate,COUNTA($F$9:AC$9)&gt;Projected_Income_Actual_Index),SUMIF(OFFSET($G$10,,,,Projected_Income_Actual_Index*2),AC$10,OFFSET($G48,,,,Projected_Income_Actual_Index*2))/Projected_Income_Actual_Index,0)</f>
        <v>0</v>
      </c>
      <c r="AD48" s="3227">
        <f ca="1">IF(AND(Project_Expenses_Extrapolate,COUNTA($F$9:AD$9)&gt;Projected_Income_Actual_Index),SUMIF(OFFSET($G$10,,,,Projected_Income_Actual_Index*2),AD$10,OFFSET($G48,,,,Projected_Income_Actual_Index*2))/Projected_Income_Actual_Index,0)</f>
        <v>0</v>
      </c>
      <c r="AE48" s="3227">
        <f t="shared" ca="1" si="16"/>
        <v>0</v>
      </c>
      <c r="AF48" s="3227">
        <f t="shared" ca="1" si="16"/>
        <v>0</v>
      </c>
      <c r="AG48" s="2543">
        <f t="shared" ca="1" si="17"/>
        <v>0</v>
      </c>
      <c r="AH48" s="3227">
        <v>0</v>
      </c>
      <c r="AI48" s="3227">
        <v>0</v>
      </c>
      <c r="AJ48" s="3231">
        <v>0</v>
      </c>
      <c r="AK48" s="2548" t="s">
        <v>2280</v>
      </c>
      <c r="AL48" s="1111"/>
      <c r="AM48" s="1111"/>
      <c r="AQ48" s="3283">
        <f t="shared" ca="1" si="3"/>
        <v>0</v>
      </c>
    </row>
    <row r="49" spans="1:43" s="1063" customFormat="1" ht="20.25">
      <c r="A49" s="979" t="s">
        <v>1288</v>
      </c>
      <c r="C49" s="979"/>
      <c r="D49" s="979"/>
      <c r="E49" s="979"/>
      <c r="F49" s="979"/>
      <c r="G49" s="3227">
        <v>0</v>
      </c>
      <c r="H49" s="3227">
        <v>0</v>
      </c>
      <c r="I49" s="3227">
        <f ca="1">IF(AND(Project_Expenses_Extrapolate,COUNTA($F$9:I$9)&gt;Projected_Income_Actual_Index),SUMIF(OFFSET($G$10,,,,Projected_Income_Actual_Index*2),I$10,OFFSET($G49,,,,Projected_Income_Actual_Index*2))/Projected_Income_Actual_Index,0)</f>
        <v>0</v>
      </c>
      <c r="J49" s="3227">
        <f ca="1">IF(AND(Project_Expenses_Extrapolate,COUNTA($F$9:J$9)&gt;Projected_Income_Actual_Index),SUMIF(OFFSET($G$10,,,,Projected_Income_Actual_Index*2),J$10,OFFSET($G49,,,,Projected_Income_Actual_Index*2))/Projected_Income_Actual_Index,0)</f>
        <v>0</v>
      </c>
      <c r="K49" s="3227">
        <f ca="1">IF(AND(Project_Expenses_Extrapolate,COUNTA($F$9:K$9)&gt;Projected_Income_Actual_Index),SUMIF(OFFSET($G$10,,,,Projected_Income_Actual_Index*2),K$10,OFFSET($G49,,,,Projected_Income_Actual_Index*2))/Projected_Income_Actual_Index,0)</f>
        <v>0</v>
      </c>
      <c r="L49" s="3227">
        <f ca="1">IF(AND(Project_Expenses_Extrapolate,COUNTA($F$9:L$9)&gt;Projected_Income_Actual_Index),SUMIF(OFFSET($G$10,,,,Projected_Income_Actual_Index*2),L$10,OFFSET($G49,,,,Projected_Income_Actual_Index*2))/Projected_Income_Actual_Index,0)</f>
        <v>0</v>
      </c>
      <c r="M49" s="3227">
        <f ca="1">IF(AND(Project_Expenses_Extrapolate,COUNTA($F$9:M$9)&gt;Projected_Income_Actual_Index),SUMIF(OFFSET($G$10,,,,Projected_Income_Actual_Index*2),M$10,OFFSET($G49,,,,Projected_Income_Actual_Index*2))/Projected_Income_Actual_Index,0)</f>
        <v>0</v>
      </c>
      <c r="N49" s="3227">
        <f ca="1">IF(AND(Project_Expenses_Extrapolate,COUNTA($F$9:N$9)&gt;Projected_Income_Actual_Index),SUMIF(OFFSET($G$10,,,,Projected_Income_Actual_Index*2),N$10,OFFSET($G49,,,,Projected_Income_Actual_Index*2))/Projected_Income_Actual_Index,0)</f>
        <v>0</v>
      </c>
      <c r="O49" s="3227">
        <f ca="1">IF(AND(Project_Expenses_Extrapolate,COUNTA($F$9:O$9)&gt;Projected_Income_Actual_Index),SUMIF(OFFSET($G$10,,,,Projected_Income_Actual_Index*2),O$10,OFFSET($G49,,,,Projected_Income_Actual_Index*2))/Projected_Income_Actual_Index,0)</f>
        <v>0</v>
      </c>
      <c r="P49" s="3227">
        <f ca="1">IF(AND(Project_Expenses_Extrapolate,COUNTA($F$9:P$9)&gt;Projected_Income_Actual_Index),SUMIF(OFFSET($G$10,,,,Projected_Income_Actual_Index*2),P$10,OFFSET($G49,,,,Projected_Income_Actual_Index*2))/Projected_Income_Actual_Index,0)</f>
        <v>0</v>
      </c>
      <c r="Q49" s="3227">
        <f ca="1">IF(AND(Project_Expenses_Extrapolate,COUNTA($F$9:Q$9)&gt;Projected_Income_Actual_Index),SUMIF(OFFSET($G$10,,,,Projected_Income_Actual_Index*2),Q$10,OFFSET($G49,,,,Projected_Income_Actual_Index*2))/Projected_Income_Actual_Index,0)</f>
        <v>0</v>
      </c>
      <c r="R49" s="3227">
        <f ca="1">IF(AND(Project_Expenses_Extrapolate,COUNTA($F$9:R$9)&gt;Projected_Income_Actual_Index),SUMIF(OFFSET($G$10,,,,Projected_Income_Actual_Index*2),R$10,OFFSET($G49,,,,Projected_Income_Actual_Index*2))/Projected_Income_Actual_Index,0)</f>
        <v>0</v>
      </c>
      <c r="S49" s="3227">
        <f ca="1">IF(AND(Project_Expenses_Extrapolate,COUNTA($F$9:S$9)&gt;Projected_Income_Actual_Index),SUMIF(OFFSET($G$10,,,,Projected_Income_Actual_Index*2),S$10,OFFSET($G49,,,,Projected_Income_Actual_Index*2))/Projected_Income_Actual_Index,0)</f>
        <v>0</v>
      </c>
      <c r="T49" s="3227">
        <f ca="1">IF(AND(Project_Expenses_Extrapolate,COUNTA($F$9:T$9)&gt;Projected_Income_Actual_Index),SUMIF(OFFSET($G$10,,,,Projected_Income_Actual_Index*2),T$10,OFFSET($G49,,,,Projected_Income_Actual_Index*2))/Projected_Income_Actual_Index,0)</f>
        <v>0</v>
      </c>
      <c r="U49" s="3227">
        <f ca="1">IF(AND(Project_Expenses_Extrapolate,COUNTA($F$9:U$9)&gt;Projected_Income_Actual_Index),SUMIF(OFFSET($G$10,,,,Projected_Income_Actual_Index*2),U$10,OFFSET($G49,,,,Projected_Income_Actual_Index*2))/Projected_Income_Actual_Index,0)</f>
        <v>0</v>
      </c>
      <c r="V49" s="3227">
        <f ca="1">IF(AND(Project_Expenses_Extrapolate,COUNTA($F$9:V$9)&gt;Projected_Income_Actual_Index),SUMIF(OFFSET($G$10,,,,Projected_Income_Actual_Index*2),V$10,OFFSET($G49,,,,Projected_Income_Actual_Index*2))/Projected_Income_Actual_Index,0)</f>
        <v>0</v>
      </c>
      <c r="W49" s="3227">
        <f ca="1">IF(AND(Project_Expenses_Extrapolate,COUNTA($F$9:W$9)&gt;Projected_Income_Actual_Index),SUMIF(OFFSET($G$10,,,,Projected_Income_Actual_Index*2),W$10,OFFSET($G49,,,,Projected_Income_Actual_Index*2))/Projected_Income_Actual_Index,0)</f>
        <v>0</v>
      </c>
      <c r="X49" s="3227">
        <f ca="1">IF(AND(Project_Expenses_Extrapolate,COUNTA($F$9:X$9)&gt;Projected_Income_Actual_Index),SUMIF(OFFSET($G$10,,,,Projected_Income_Actual_Index*2),X$10,OFFSET($G49,,,,Projected_Income_Actual_Index*2))/Projected_Income_Actual_Index,0)</f>
        <v>0</v>
      </c>
      <c r="Y49" s="3227">
        <f ca="1">IF(AND(Project_Expenses_Extrapolate,COUNTA($F$9:Y$9)&gt;Projected_Income_Actual_Index),SUMIF(OFFSET($G$10,,,,Projected_Income_Actual_Index*2),Y$10,OFFSET($G49,,,,Projected_Income_Actual_Index*2))/Projected_Income_Actual_Index,0)</f>
        <v>0</v>
      </c>
      <c r="Z49" s="3227">
        <f ca="1">IF(AND(Project_Expenses_Extrapolate,COUNTA($F$9:Z$9)&gt;Projected_Income_Actual_Index),SUMIF(OFFSET($G$10,,,,Projected_Income_Actual_Index*2),Z$10,OFFSET($G49,,,,Projected_Income_Actual_Index*2))/Projected_Income_Actual_Index,0)</f>
        <v>0</v>
      </c>
      <c r="AA49" s="3227">
        <f ca="1">IF(AND(Project_Expenses_Extrapolate,COUNTA($F$9:AA$9)&gt;Projected_Income_Actual_Index),SUMIF(OFFSET($G$10,,,,Projected_Income_Actual_Index*2),AA$10,OFFSET($G49,,,,Projected_Income_Actual_Index*2))/Projected_Income_Actual_Index,0)</f>
        <v>0</v>
      </c>
      <c r="AB49" s="3227">
        <f ca="1">IF(AND(Project_Expenses_Extrapolate,COUNTA($F$9:AB$9)&gt;Projected_Income_Actual_Index),SUMIF(OFFSET($G$10,,,,Projected_Income_Actual_Index*2),AB$10,OFFSET($G49,,,,Projected_Income_Actual_Index*2))/Projected_Income_Actual_Index,0)</f>
        <v>0</v>
      </c>
      <c r="AC49" s="3227">
        <f ca="1">IF(AND(Project_Expenses_Extrapolate,COUNTA($F$9:AC$9)&gt;Projected_Income_Actual_Index),SUMIF(OFFSET($G$10,,,,Projected_Income_Actual_Index*2),AC$10,OFFSET($G49,,,,Projected_Income_Actual_Index*2))/Projected_Income_Actual_Index,0)</f>
        <v>0</v>
      </c>
      <c r="AD49" s="3227">
        <f ca="1">IF(AND(Project_Expenses_Extrapolate,COUNTA($F$9:AD$9)&gt;Projected_Income_Actual_Index),SUMIF(OFFSET($G$10,,,,Projected_Income_Actual_Index*2),AD$10,OFFSET($G49,,,,Projected_Income_Actual_Index*2))/Projected_Income_Actual_Index,0)</f>
        <v>0</v>
      </c>
      <c r="AE49" s="3227">
        <f t="shared" ca="1" si="16"/>
        <v>0</v>
      </c>
      <c r="AF49" s="3227">
        <f t="shared" ca="1" si="16"/>
        <v>0</v>
      </c>
      <c r="AG49" s="2543">
        <f t="shared" ca="1" si="17"/>
        <v>0</v>
      </c>
      <c r="AH49" s="3227">
        <v>0</v>
      </c>
      <c r="AI49" s="3227">
        <v>0</v>
      </c>
      <c r="AJ49" s="3231">
        <v>0</v>
      </c>
      <c r="AK49" s="2548" t="s">
        <v>2280</v>
      </c>
      <c r="AL49" s="1111"/>
      <c r="AM49" s="1111"/>
      <c r="AQ49" s="3283">
        <f t="shared" ca="1" si="3"/>
        <v>0</v>
      </c>
    </row>
    <row r="50" spans="1:43" s="1063" customFormat="1" ht="20.25">
      <c r="A50" s="979" t="s">
        <v>861</v>
      </c>
      <c r="C50" s="979"/>
      <c r="D50" s="979"/>
      <c r="E50" s="979"/>
      <c r="F50" s="979"/>
      <c r="G50" s="3227">
        <v>0</v>
      </c>
      <c r="H50" s="3227">
        <v>0</v>
      </c>
      <c r="I50" s="3227">
        <f ca="1">IF(AND(Project_Expenses_Extrapolate,COUNTA($F$9:I$9)&gt;Projected_Income_Actual_Index),SUMIF(OFFSET($G$10,,,,Projected_Income_Actual_Index*2),I$10,OFFSET($G50,,,,Projected_Income_Actual_Index*2))/Projected_Income_Actual_Index,0)</f>
        <v>0</v>
      </c>
      <c r="J50" s="3227">
        <f ca="1">IF(AND(Project_Expenses_Extrapolate,COUNTA($F$9:J$9)&gt;Projected_Income_Actual_Index),SUMIF(OFFSET($G$10,,,,Projected_Income_Actual_Index*2),J$10,OFFSET($G50,,,,Projected_Income_Actual_Index*2))/Projected_Income_Actual_Index,0)</f>
        <v>0</v>
      </c>
      <c r="K50" s="3227">
        <f ca="1">IF(AND(Project_Expenses_Extrapolate,COUNTA($F$9:K$9)&gt;Projected_Income_Actual_Index),SUMIF(OFFSET($G$10,,,,Projected_Income_Actual_Index*2),K$10,OFFSET($G50,,,,Projected_Income_Actual_Index*2))/Projected_Income_Actual_Index,0)</f>
        <v>0</v>
      </c>
      <c r="L50" s="3227">
        <f ca="1">IF(AND(Project_Expenses_Extrapolate,COUNTA($F$9:L$9)&gt;Projected_Income_Actual_Index),SUMIF(OFFSET($G$10,,,,Projected_Income_Actual_Index*2),L$10,OFFSET($G50,,,,Projected_Income_Actual_Index*2))/Projected_Income_Actual_Index,0)</f>
        <v>0</v>
      </c>
      <c r="M50" s="3227">
        <f ca="1">IF(AND(Project_Expenses_Extrapolate,COUNTA($F$9:M$9)&gt;Projected_Income_Actual_Index),SUMIF(OFFSET($G$10,,,,Projected_Income_Actual_Index*2),M$10,OFFSET($G50,,,,Projected_Income_Actual_Index*2))/Projected_Income_Actual_Index,0)</f>
        <v>0</v>
      </c>
      <c r="N50" s="3227">
        <f ca="1">IF(AND(Project_Expenses_Extrapolate,COUNTA($F$9:N$9)&gt;Projected_Income_Actual_Index),SUMIF(OFFSET($G$10,,,,Projected_Income_Actual_Index*2),N$10,OFFSET($G50,,,,Projected_Income_Actual_Index*2))/Projected_Income_Actual_Index,0)</f>
        <v>0</v>
      </c>
      <c r="O50" s="3227">
        <f ca="1">IF(AND(Project_Expenses_Extrapolate,COUNTA($F$9:O$9)&gt;Projected_Income_Actual_Index),SUMIF(OFFSET($G$10,,,,Projected_Income_Actual_Index*2),O$10,OFFSET($G50,,,,Projected_Income_Actual_Index*2))/Projected_Income_Actual_Index,0)</f>
        <v>0</v>
      </c>
      <c r="P50" s="3227">
        <f ca="1">IF(AND(Project_Expenses_Extrapolate,COUNTA($F$9:P$9)&gt;Projected_Income_Actual_Index),SUMIF(OFFSET($G$10,,,,Projected_Income_Actual_Index*2),P$10,OFFSET($G50,,,,Projected_Income_Actual_Index*2))/Projected_Income_Actual_Index,0)</f>
        <v>0</v>
      </c>
      <c r="Q50" s="3227">
        <f ca="1">IF(AND(Project_Expenses_Extrapolate,COUNTA($F$9:Q$9)&gt;Projected_Income_Actual_Index),SUMIF(OFFSET($G$10,,,,Projected_Income_Actual_Index*2),Q$10,OFFSET($G50,,,,Projected_Income_Actual_Index*2))/Projected_Income_Actual_Index,0)</f>
        <v>0</v>
      </c>
      <c r="R50" s="3227">
        <f ca="1">IF(AND(Project_Expenses_Extrapolate,COUNTA($F$9:R$9)&gt;Projected_Income_Actual_Index),SUMIF(OFFSET($G$10,,,,Projected_Income_Actual_Index*2),R$10,OFFSET($G50,,,,Projected_Income_Actual_Index*2))/Projected_Income_Actual_Index,0)</f>
        <v>0</v>
      </c>
      <c r="S50" s="3227">
        <f ca="1">IF(AND(Project_Expenses_Extrapolate,COUNTA($F$9:S$9)&gt;Projected_Income_Actual_Index),SUMIF(OFFSET($G$10,,,,Projected_Income_Actual_Index*2),S$10,OFFSET($G50,,,,Projected_Income_Actual_Index*2))/Projected_Income_Actual_Index,0)</f>
        <v>0</v>
      </c>
      <c r="T50" s="3227">
        <f ca="1">IF(AND(Project_Expenses_Extrapolate,COUNTA($F$9:T$9)&gt;Projected_Income_Actual_Index),SUMIF(OFFSET($G$10,,,,Projected_Income_Actual_Index*2),T$10,OFFSET($G50,,,,Projected_Income_Actual_Index*2))/Projected_Income_Actual_Index,0)</f>
        <v>0</v>
      </c>
      <c r="U50" s="3227">
        <f ca="1">IF(AND(Project_Expenses_Extrapolate,COUNTA($F$9:U$9)&gt;Projected_Income_Actual_Index),SUMIF(OFFSET($G$10,,,,Projected_Income_Actual_Index*2),U$10,OFFSET($G50,,,,Projected_Income_Actual_Index*2))/Projected_Income_Actual_Index,0)</f>
        <v>0</v>
      </c>
      <c r="V50" s="3227">
        <f ca="1">IF(AND(Project_Expenses_Extrapolate,COUNTA($F$9:V$9)&gt;Projected_Income_Actual_Index),SUMIF(OFFSET($G$10,,,,Projected_Income_Actual_Index*2),V$10,OFFSET($G50,,,,Projected_Income_Actual_Index*2))/Projected_Income_Actual_Index,0)</f>
        <v>0</v>
      </c>
      <c r="W50" s="3227">
        <f ca="1">IF(AND(Project_Expenses_Extrapolate,COUNTA($F$9:W$9)&gt;Projected_Income_Actual_Index),SUMIF(OFFSET($G$10,,,,Projected_Income_Actual_Index*2),W$10,OFFSET($G50,,,,Projected_Income_Actual_Index*2))/Projected_Income_Actual_Index,0)</f>
        <v>0</v>
      </c>
      <c r="X50" s="3227">
        <f ca="1">IF(AND(Project_Expenses_Extrapolate,COUNTA($F$9:X$9)&gt;Projected_Income_Actual_Index),SUMIF(OFFSET($G$10,,,,Projected_Income_Actual_Index*2),X$10,OFFSET($G50,,,,Projected_Income_Actual_Index*2))/Projected_Income_Actual_Index,0)</f>
        <v>0</v>
      </c>
      <c r="Y50" s="3227">
        <f ca="1">IF(AND(Project_Expenses_Extrapolate,COUNTA($F$9:Y$9)&gt;Projected_Income_Actual_Index),SUMIF(OFFSET($G$10,,,,Projected_Income_Actual_Index*2),Y$10,OFFSET($G50,,,,Projected_Income_Actual_Index*2))/Projected_Income_Actual_Index,0)</f>
        <v>0</v>
      </c>
      <c r="Z50" s="3227">
        <f ca="1">IF(AND(Project_Expenses_Extrapolate,COUNTA($F$9:Z$9)&gt;Projected_Income_Actual_Index),SUMIF(OFFSET($G$10,,,,Projected_Income_Actual_Index*2),Z$10,OFFSET($G50,,,,Projected_Income_Actual_Index*2))/Projected_Income_Actual_Index,0)</f>
        <v>0</v>
      </c>
      <c r="AA50" s="3227">
        <f ca="1">IF(AND(Project_Expenses_Extrapolate,COUNTA($F$9:AA$9)&gt;Projected_Income_Actual_Index),SUMIF(OFFSET($G$10,,,,Projected_Income_Actual_Index*2),AA$10,OFFSET($G50,,,,Projected_Income_Actual_Index*2))/Projected_Income_Actual_Index,0)</f>
        <v>0</v>
      </c>
      <c r="AB50" s="3227">
        <f ca="1">IF(AND(Project_Expenses_Extrapolate,COUNTA($F$9:AB$9)&gt;Projected_Income_Actual_Index),SUMIF(OFFSET($G$10,,,,Projected_Income_Actual_Index*2),AB$10,OFFSET($G50,,,,Projected_Income_Actual_Index*2))/Projected_Income_Actual_Index,0)</f>
        <v>0</v>
      </c>
      <c r="AC50" s="3227">
        <f ca="1">IF(AND(Project_Expenses_Extrapolate,COUNTA($F$9:AC$9)&gt;Projected_Income_Actual_Index),SUMIF(OFFSET($G$10,,,,Projected_Income_Actual_Index*2),AC$10,OFFSET($G50,,,,Projected_Income_Actual_Index*2))/Projected_Income_Actual_Index,0)</f>
        <v>0</v>
      </c>
      <c r="AD50" s="3227">
        <f ca="1">IF(AND(Project_Expenses_Extrapolate,COUNTA($F$9:AD$9)&gt;Projected_Income_Actual_Index),SUMIF(OFFSET($G$10,,,,Projected_Income_Actual_Index*2),AD$10,OFFSET($G50,,,,Projected_Income_Actual_Index*2))/Projected_Income_Actual_Index,0)</f>
        <v>0</v>
      </c>
      <c r="AE50" s="3227">
        <f t="shared" ca="1" si="16"/>
        <v>0</v>
      </c>
      <c r="AF50" s="3227">
        <f t="shared" ca="1" si="16"/>
        <v>0</v>
      </c>
      <c r="AG50" s="2543">
        <f t="shared" ca="1" si="17"/>
        <v>0</v>
      </c>
      <c r="AH50" s="3227">
        <v>0</v>
      </c>
      <c r="AI50" s="3227">
        <v>0</v>
      </c>
      <c r="AJ50" s="3231">
        <v>0</v>
      </c>
      <c r="AK50" s="2548" t="s">
        <v>2280</v>
      </c>
      <c r="AL50" s="1111"/>
      <c r="AM50" s="1111"/>
      <c r="AQ50" s="3283">
        <f t="shared" ca="1" si="3"/>
        <v>0</v>
      </c>
    </row>
    <row r="51" spans="1:43" s="1063" customFormat="1" ht="20.25">
      <c r="A51" s="979" t="s">
        <v>862</v>
      </c>
      <c r="C51" s="979"/>
      <c r="D51" s="979"/>
      <c r="E51" s="979"/>
      <c r="F51" s="979"/>
      <c r="G51" s="3227">
        <v>0</v>
      </c>
      <c r="H51" s="3227">
        <v>0</v>
      </c>
      <c r="I51" s="3227">
        <f ca="1">IF(AND(Project_Expenses_Extrapolate,COUNTA($F$9:I$9)&gt;Projected_Income_Actual_Index),SUMIF(OFFSET($G$10,,,,Projected_Income_Actual_Index*2),I$10,OFFSET($G51,,,,Projected_Income_Actual_Index*2))/Projected_Income_Actual_Index,0)</f>
        <v>0</v>
      </c>
      <c r="J51" s="3227">
        <f ca="1">IF(AND(Project_Expenses_Extrapolate,COUNTA($F$9:J$9)&gt;Projected_Income_Actual_Index),SUMIF(OFFSET($G$10,,,,Projected_Income_Actual_Index*2),J$10,OFFSET($G51,,,,Projected_Income_Actual_Index*2))/Projected_Income_Actual_Index,0)</f>
        <v>0</v>
      </c>
      <c r="K51" s="3227">
        <f ca="1">IF(AND(Project_Expenses_Extrapolate,COUNTA($F$9:K$9)&gt;Projected_Income_Actual_Index),SUMIF(OFFSET($G$10,,,,Projected_Income_Actual_Index*2),K$10,OFFSET($G51,,,,Projected_Income_Actual_Index*2))/Projected_Income_Actual_Index,0)</f>
        <v>0</v>
      </c>
      <c r="L51" s="3227">
        <f ca="1">IF(AND(Project_Expenses_Extrapolate,COUNTA($F$9:L$9)&gt;Projected_Income_Actual_Index),SUMIF(OFFSET($G$10,,,,Projected_Income_Actual_Index*2),L$10,OFFSET($G51,,,,Projected_Income_Actual_Index*2))/Projected_Income_Actual_Index,0)</f>
        <v>0</v>
      </c>
      <c r="M51" s="3227">
        <f ca="1">IF(AND(Project_Expenses_Extrapolate,COUNTA($F$9:M$9)&gt;Projected_Income_Actual_Index),SUMIF(OFFSET($G$10,,,,Projected_Income_Actual_Index*2),M$10,OFFSET($G51,,,,Projected_Income_Actual_Index*2))/Projected_Income_Actual_Index,0)</f>
        <v>0</v>
      </c>
      <c r="N51" s="3227">
        <f ca="1">IF(AND(Project_Expenses_Extrapolate,COUNTA($F$9:N$9)&gt;Projected_Income_Actual_Index),SUMIF(OFFSET($G$10,,,,Projected_Income_Actual_Index*2),N$10,OFFSET($G51,,,,Projected_Income_Actual_Index*2))/Projected_Income_Actual_Index,0)</f>
        <v>0</v>
      </c>
      <c r="O51" s="3227">
        <f ca="1">IF(AND(Project_Expenses_Extrapolate,COUNTA($F$9:O$9)&gt;Projected_Income_Actual_Index),SUMIF(OFFSET($G$10,,,,Projected_Income_Actual_Index*2),O$10,OFFSET($G51,,,,Projected_Income_Actual_Index*2))/Projected_Income_Actual_Index,0)</f>
        <v>0</v>
      </c>
      <c r="P51" s="3227">
        <f ca="1">IF(AND(Project_Expenses_Extrapolate,COUNTA($F$9:P$9)&gt;Projected_Income_Actual_Index),SUMIF(OFFSET($G$10,,,,Projected_Income_Actual_Index*2),P$10,OFFSET($G51,,,,Projected_Income_Actual_Index*2))/Projected_Income_Actual_Index,0)</f>
        <v>0</v>
      </c>
      <c r="Q51" s="3227">
        <f ca="1">IF(AND(Project_Expenses_Extrapolate,COUNTA($F$9:Q$9)&gt;Projected_Income_Actual_Index),SUMIF(OFFSET($G$10,,,,Projected_Income_Actual_Index*2),Q$10,OFFSET($G51,,,,Projected_Income_Actual_Index*2))/Projected_Income_Actual_Index,0)</f>
        <v>0</v>
      </c>
      <c r="R51" s="3227">
        <f ca="1">IF(AND(Project_Expenses_Extrapolate,COUNTA($F$9:R$9)&gt;Projected_Income_Actual_Index),SUMIF(OFFSET($G$10,,,,Projected_Income_Actual_Index*2),R$10,OFFSET($G51,,,,Projected_Income_Actual_Index*2))/Projected_Income_Actual_Index,0)</f>
        <v>0</v>
      </c>
      <c r="S51" s="3227">
        <f ca="1">IF(AND(Project_Expenses_Extrapolate,COUNTA($F$9:S$9)&gt;Projected_Income_Actual_Index),SUMIF(OFFSET($G$10,,,,Projected_Income_Actual_Index*2),S$10,OFFSET($G51,,,,Projected_Income_Actual_Index*2))/Projected_Income_Actual_Index,0)</f>
        <v>0</v>
      </c>
      <c r="T51" s="3227">
        <f ca="1">IF(AND(Project_Expenses_Extrapolate,COUNTA($F$9:T$9)&gt;Projected_Income_Actual_Index),SUMIF(OFFSET($G$10,,,,Projected_Income_Actual_Index*2),T$10,OFFSET($G51,,,,Projected_Income_Actual_Index*2))/Projected_Income_Actual_Index,0)</f>
        <v>0</v>
      </c>
      <c r="U51" s="3227">
        <f ca="1">IF(AND(Project_Expenses_Extrapolate,COUNTA($F$9:U$9)&gt;Projected_Income_Actual_Index),SUMIF(OFFSET($G$10,,,,Projected_Income_Actual_Index*2),U$10,OFFSET($G51,,,,Projected_Income_Actual_Index*2))/Projected_Income_Actual_Index,0)</f>
        <v>0</v>
      </c>
      <c r="V51" s="3227">
        <f ca="1">IF(AND(Project_Expenses_Extrapolate,COUNTA($F$9:V$9)&gt;Projected_Income_Actual_Index),SUMIF(OFFSET($G$10,,,,Projected_Income_Actual_Index*2),V$10,OFFSET($G51,,,,Projected_Income_Actual_Index*2))/Projected_Income_Actual_Index,0)</f>
        <v>0</v>
      </c>
      <c r="W51" s="3227">
        <f ca="1">IF(AND(Project_Expenses_Extrapolate,COUNTA($F$9:W$9)&gt;Projected_Income_Actual_Index),SUMIF(OFFSET($G$10,,,,Projected_Income_Actual_Index*2),W$10,OFFSET($G51,,,,Projected_Income_Actual_Index*2))/Projected_Income_Actual_Index,0)</f>
        <v>0</v>
      </c>
      <c r="X51" s="3227">
        <f ca="1">IF(AND(Project_Expenses_Extrapolate,COUNTA($F$9:X$9)&gt;Projected_Income_Actual_Index),SUMIF(OFFSET($G$10,,,,Projected_Income_Actual_Index*2),X$10,OFFSET($G51,,,,Projected_Income_Actual_Index*2))/Projected_Income_Actual_Index,0)</f>
        <v>0</v>
      </c>
      <c r="Y51" s="3227">
        <f ca="1">IF(AND(Project_Expenses_Extrapolate,COUNTA($F$9:Y$9)&gt;Projected_Income_Actual_Index),SUMIF(OFFSET($G$10,,,,Projected_Income_Actual_Index*2),Y$10,OFFSET($G51,,,,Projected_Income_Actual_Index*2))/Projected_Income_Actual_Index,0)</f>
        <v>0</v>
      </c>
      <c r="Z51" s="3227">
        <f ca="1">IF(AND(Project_Expenses_Extrapolate,COUNTA($F$9:Z$9)&gt;Projected_Income_Actual_Index),SUMIF(OFFSET($G$10,,,,Projected_Income_Actual_Index*2),Z$10,OFFSET($G51,,,,Projected_Income_Actual_Index*2))/Projected_Income_Actual_Index,0)</f>
        <v>0</v>
      </c>
      <c r="AA51" s="3227">
        <f ca="1">IF(AND(Project_Expenses_Extrapolate,COUNTA($F$9:AA$9)&gt;Projected_Income_Actual_Index),SUMIF(OFFSET($G$10,,,,Projected_Income_Actual_Index*2),AA$10,OFFSET($G51,,,,Projected_Income_Actual_Index*2))/Projected_Income_Actual_Index,0)</f>
        <v>0</v>
      </c>
      <c r="AB51" s="3227">
        <f ca="1">IF(AND(Project_Expenses_Extrapolate,COUNTA($F$9:AB$9)&gt;Projected_Income_Actual_Index),SUMIF(OFFSET($G$10,,,,Projected_Income_Actual_Index*2),AB$10,OFFSET($G51,,,,Projected_Income_Actual_Index*2))/Projected_Income_Actual_Index,0)</f>
        <v>0</v>
      </c>
      <c r="AC51" s="3227">
        <f ca="1">IF(AND(Project_Expenses_Extrapolate,COUNTA($F$9:AC$9)&gt;Projected_Income_Actual_Index),SUMIF(OFFSET($G$10,,,,Projected_Income_Actual_Index*2),AC$10,OFFSET($G51,,,,Projected_Income_Actual_Index*2))/Projected_Income_Actual_Index,0)</f>
        <v>0</v>
      </c>
      <c r="AD51" s="3227">
        <f ca="1">IF(AND(Project_Expenses_Extrapolate,COUNTA($F$9:AD$9)&gt;Projected_Income_Actual_Index),SUMIF(OFFSET($G$10,,,,Projected_Income_Actual_Index*2),AD$10,OFFSET($G51,,,,Projected_Income_Actual_Index*2))/Projected_Income_Actual_Index,0)</f>
        <v>0</v>
      </c>
      <c r="AE51" s="3227">
        <f t="shared" ca="1" si="16"/>
        <v>0</v>
      </c>
      <c r="AF51" s="3227">
        <f t="shared" ca="1" si="16"/>
        <v>0</v>
      </c>
      <c r="AG51" s="2543">
        <f t="shared" ca="1" si="17"/>
        <v>0</v>
      </c>
      <c r="AH51" s="3227">
        <v>0</v>
      </c>
      <c r="AI51" s="3227">
        <v>0</v>
      </c>
      <c r="AJ51" s="3231">
        <v>0</v>
      </c>
      <c r="AK51" s="2548" t="s">
        <v>2280</v>
      </c>
      <c r="AL51" s="1111"/>
      <c r="AM51" s="1111"/>
      <c r="AQ51" s="3283">
        <f t="shared" ca="1" si="3"/>
        <v>0</v>
      </c>
    </row>
    <row r="52" spans="1:43" s="1063" customFormat="1" ht="20.25">
      <c r="A52" s="979" t="s">
        <v>863</v>
      </c>
      <c r="C52" s="979"/>
      <c r="D52" s="979"/>
      <c r="E52" s="979"/>
      <c r="F52" s="979"/>
      <c r="G52" s="3227">
        <v>0</v>
      </c>
      <c r="H52" s="3227">
        <v>0</v>
      </c>
      <c r="I52" s="3227">
        <f ca="1">IF(AND(Project_Expenses_Extrapolate,COUNTA($F$9:I$9)&gt;Projected_Income_Actual_Index),SUMIF(OFFSET($G$10,,,,Projected_Income_Actual_Index*2),I$10,OFFSET($G52,,,,Projected_Income_Actual_Index*2))/Projected_Income_Actual_Index,0)</f>
        <v>0</v>
      </c>
      <c r="J52" s="3227">
        <f ca="1">IF(AND(Project_Expenses_Extrapolate,COUNTA($F$9:J$9)&gt;Projected_Income_Actual_Index),SUMIF(OFFSET($G$10,,,,Projected_Income_Actual_Index*2),J$10,OFFSET($G52,,,,Projected_Income_Actual_Index*2))/Projected_Income_Actual_Index,0)</f>
        <v>0</v>
      </c>
      <c r="K52" s="3227">
        <f ca="1">IF(AND(Project_Expenses_Extrapolate,COUNTA($F$9:K$9)&gt;Projected_Income_Actual_Index),SUMIF(OFFSET($G$10,,,,Projected_Income_Actual_Index*2),K$10,OFFSET($G52,,,,Projected_Income_Actual_Index*2))/Projected_Income_Actual_Index,0)</f>
        <v>0</v>
      </c>
      <c r="L52" s="3227">
        <f ca="1">IF(AND(Project_Expenses_Extrapolate,COUNTA($F$9:L$9)&gt;Projected_Income_Actual_Index),SUMIF(OFFSET($G$10,,,,Projected_Income_Actual_Index*2),L$10,OFFSET($G52,,,,Projected_Income_Actual_Index*2))/Projected_Income_Actual_Index,0)</f>
        <v>0</v>
      </c>
      <c r="M52" s="3227">
        <f ca="1">IF(AND(Project_Expenses_Extrapolate,COUNTA($F$9:M$9)&gt;Projected_Income_Actual_Index),SUMIF(OFFSET($G$10,,,,Projected_Income_Actual_Index*2),M$10,OFFSET($G52,,,,Projected_Income_Actual_Index*2))/Projected_Income_Actual_Index,0)</f>
        <v>0</v>
      </c>
      <c r="N52" s="3227">
        <f ca="1">IF(AND(Project_Expenses_Extrapolate,COUNTA($F$9:N$9)&gt;Projected_Income_Actual_Index),SUMIF(OFFSET($G$10,,,,Projected_Income_Actual_Index*2),N$10,OFFSET($G52,,,,Projected_Income_Actual_Index*2))/Projected_Income_Actual_Index,0)</f>
        <v>0</v>
      </c>
      <c r="O52" s="3227">
        <f ca="1">IF(AND(Project_Expenses_Extrapolate,COUNTA($F$9:O$9)&gt;Projected_Income_Actual_Index),SUMIF(OFFSET($G$10,,,,Projected_Income_Actual_Index*2),O$10,OFFSET($G52,,,,Projected_Income_Actual_Index*2))/Projected_Income_Actual_Index,0)</f>
        <v>0</v>
      </c>
      <c r="P52" s="3227">
        <f ca="1">IF(AND(Project_Expenses_Extrapolate,COUNTA($F$9:P$9)&gt;Projected_Income_Actual_Index),SUMIF(OFFSET($G$10,,,,Projected_Income_Actual_Index*2),P$10,OFFSET($G52,,,,Projected_Income_Actual_Index*2))/Projected_Income_Actual_Index,0)</f>
        <v>0</v>
      </c>
      <c r="Q52" s="3227">
        <f ca="1">IF(AND(Project_Expenses_Extrapolate,COUNTA($F$9:Q$9)&gt;Projected_Income_Actual_Index),SUMIF(OFFSET($G$10,,,,Projected_Income_Actual_Index*2),Q$10,OFFSET($G52,,,,Projected_Income_Actual_Index*2))/Projected_Income_Actual_Index,0)</f>
        <v>0</v>
      </c>
      <c r="R52" s="3227">
        <f ca="1">IF(AND(Project_Expenses_Extrapolate,COUNTA($F$9:R$9)&gt;Projected_Income_Actual_Index),SUMIF(OFFSET($G$10,,,,Projected_Income_Actual_Index*2),R$10,OFFSET($G52,,,,Projected_Income_Actual_Index*2))/Projected_Income_Actual_Index,0)</f>
        <v>0</v>
      </c>
      <c r="S52" s="3227">
        <f ca="1">IF(AND(Project_Expenses_Extrapolate,COUNTA($F$9:S$9)&gt;Projected_Income_Actual_Index),SUMIF(OFFSET($G$10,,,,Projected_Income_Actual_Index*2),S$10,OFFSET($G52,,,,Projected_Income_Actual_Index*2))/Projected_Income_Actual_Index,0)</f>
        <v>0</v>
      </c>
      <c r="T52" s="3227">
        <f ca="1">IF(AND(Project_Expenses_Extrapolate,COUNTA($F$9:T$9)&gt;Projected_Income_Actual_Index),SUMIF(OFFSET($G$10,,,,Projected_Income_Actual_Index*2),T$10,OFFSET($G52,,,,Projected_Income_Actual_Index*2))/Projected_Income_Actual_Index,0)</f>
        <v>0</v>
      </c>
      <c r="U52" s="3227">
        <f ca="1">IF(AND(Project_Expenses_Extrapolate,COUNTA($F$9:U$9)&gt;Projected_Income_Actual_Index),SUMIF(OFFSET($G$10,,,,Projected_Income_Actual_Index*2),U$10,OFFSET($G52,,,,Projected_Income_Actual_Index*2))/Projected_Income_Actual_Index,0)</f>
        <v>0</v>
      </c>
      <c r="V52" s="3227">
        <f ca="1">IF(AND(Project_Expenses_Extrapolate,COUNTA($F$9:V$9)&gt;Projected_Income_Actual_Index),SUMIF(OFFSET($G$10,,,,Projected_Income_Actual_Index*2),V$10,OFFSET($G52,,,,Projected_Income_Actual_Index*2))/Projected_Income_Actual_Index,0)</f>
        <v>0</v>
      </c>
      <c r="W52" s="3227">
        <f ca="1">IF(AND(Project_Expenses_Extrapolate,COUNTA($F$9:W$9)&gt;Projected_Income_Actual_Index),SUMIF(OFFSET($G$10,,,,Projected_Income_Actual_Index*2),W$10,OFFSET($G52,,,,Projected_Income_Actual_Index*2))/Projected_Income_Actual_Index,0)</f>
        <v>0</v>
      </c>
      <c r="X52" s="3227">
        <f ca="1">IF(AND(Project_Expenses_Extrapolate,COUNTA($F$9:X$9)&gt;Projected_Income_Actual_Index),SUMIF(OFFSET($G$10,,,,Projected_Income_Actual_Index*2),X$10,OFFSET($G52,,,,Projected_Income_Actual_Index*2))/Projected_Income_Actual_Index,0)</f>
        <v>0</v>
      </c>
      <c r="Y52" s="3227">
        <f ca="1">IF(AND(Project_Expenses_Extrapolate,COUNTA($F$9:Y$9)&gt;Projected_Income_Actual_Index),SUMIF(OFFSET($G$10,,,,Projected_Income_Actual_Index*2),Y$10,OFFSET($G52,,,,Projected_Income_Actual_Index*2))/Projected_Income_Actual_Index,0)</f>
        <v>0</v>
      </c>
      <c r="Z52" s="3227">
        <f ca="1">IF(AND(Project_Expenses_Extrapolate,COUNTA($F$9:Z$9)&gt;Projected_Income_Actual_Index),SUMIF(OFFSET($G$10,,,,Projected_Income_Actual_Index*2),Z$10,OFFSET($G52,,,,Projected_Income_Actual_Index*2))/Projected_Income_Actual_Index,0)</f>
        <v>0</v>
      </c>
      <c r="AA52" s="3227">
        <f ca="1">IF(AND(Project_Expenses_Extrapolate,COUNTA($F$9:AA$9)&gt;Projected_Income_Actual_Index),SUMIF(OFFSET($G$10,,,,Projected_Income_Actual_Index*2),AA$10,OFFSET($G52,,,,Projected_Income_Actual_Index*2))/Projected_Income_Actual_Index,0)</f>
        <v>0</v>
      </c>
      <c r="AB52" s="3227">
        <f ca="1">IF(AND(Project_Expenses_Extrapolate,COUNTA($F$9:AB$9)&gt;Projected_Income_Actual_Index),SUMIF(OFFSET($G$10,,,,Projected_Income_Actual_Index*2),AB$10,OFFSET($G52,,,,Projected_Income_Actual_Index*2))/Projected_Income_Actual_Index,0)</f>
        <v>0</v>
      </c>
      <c r="AC52" s="3227">
        <f ca="1">IF(AND(Project_Expenses_Extrapolate,COUNTA($F$9:AC$9)&gt;Projected_Income_Actual_Index),SUMIF(OFFSET($G$10,,,,Projected_Income_Actual_Index*2),AC$10,OFFSET($G52,,,,Projected_Income_Actual_Index*2))/Projected_Income_Actual_Index,0)</f>
        <v>0</v>
      </c>
      <c r="AD52" s="3227">
        <f ca="1">IF(AND(Project_Expenses_Extrapolate,COUNTA($F$9:AD$9)&gt;Projected_Income_Actual_Index),SUMIF(OFFSET($G$10,,,,Projected_Income_Actual_Index*2),AD$10,OFFSET($G52,,,,Projected_Income_Actual_Index*2))/Projected_Income_Actual_Index,0)</f>
        <v>0</v>
      </c>
      <c r="AE52" s="3227">
        <f t="shared" ca="1" si="16"/>
        <v>0</v>
      </c>
      <c r="AF52" s="3227">
        <f t="shared" ca="1" si="16"/>
        <v>0</v>
      </c>
      <c r="AG52" s="2543">
        <f t="shared" ca="1" si="17"/>
        <v>0</v>
      </c>
      <c r="AH52" s="3227">
        <v>0</v>
      </c>
      <c r="AI52" s="3227">
        <v>0</v>
      </c>
      <c r="AJ52" s="3231">
        <v>0</v>
      </c>
      <c r="AK52" s="2548" t="s">
        <v>2280</v>
      </c>
      <c r="AL52" s="1111"/>
      <c r="AM52" s="1111"/>
      <c r="AQ52" s="3283">
        <f t="shared" ca="1" si="3"/>
        <v>0</v>
      </c>
    </row>
    <row r="53" spans="1:43" s="1063" customFormat="1" ht="20.25">
      <c r="A53" s="979" t="s">
        <v>864</v>
      </c>
      <c r="C53" s="979"/>
      <c r="D53" s="979"/>
      <c r="E53" s="979"/>
      <c r="F53" s="979"/>
      <c r="G53" s="3227">
        <v>0</v>
      </c>
      <c r="H53" s="3227">
        <v>0</v>
      </c>
      <c r="I53" s="3227">
        <f ca="1">IF(AND(Project_Expenses_Extrapolate,COUNTA($F$9:I$9)&gt;Projected_Income_Actual_Index),SUMIF(OFFSET($G$10,,,,Projected_Income_Actual_Index*2),I$10,OFFSET($G53,,,,Projected_Income_Actual_Index*2))/Projected_Income_Actual_Index,0)</f>
        <v>0</v>
      </c>
      <c r="J53" s="3227">
        <f ca="1">IF(AND(Project_Expenses_Extrapolate,COUNTA($F$9:J$9)&gt;Projected_Income_Actual_Index),SUMIF(OFFSET($G$10,,,,Projected_Income_Actual_Index*2),J$10,OFFSET($G53,,,,Projected_Income_Actual_Index*2))/Projected_Income_Actual_Index,0)</f>
        <v>0</v>
      </c>
      <c r="K53" s="3227">
        <f ca="1">IF(AND(Project_Expenses_Extrapolate,COUNTA($F$9:K$9)&gt;Projected_Income_Actual_Index),SUMIF(OFFSET($G$10,,,,Projected_Income_Actual_Index*2),K$10,OFFSET($G53,,,,Projected_Income_Actual_Index*2))/Projected_Income_Actual_Index,0)</f>
        <v>0</v>
      </c>
      <c r="L53" s="3227">
        <f ca="1">IF(AND(Project_Expenses_Extrapolate,COUNTA($F$9:L$9)&gt;Projected_Income_Actual_Index),SUMIF(OFFSET($G$10,,,,Projected_Income_Actual_Index*2),L$10,OFFSET($G53,,,,Projected_Income_Actual_Index*2))/Projected_Income_Actual_Index,0)</f>
        <v>0</v>
      </c>
      <c r="M53" s="3227">
        <f ca="1">IF(AND(Project_Expenses_Extrapolate,COUNTA($F$9:M$9)&gt;Projected_Income_Actual_Index),SUMIF(OFFSET($G$10,,,,Projected_Income_Actual_Index*2),M$10,OFFSET($G53,,,,Projected_Income_Actual_Index*2))/Projected_Income_Actual_Index,0)</f>
        <v>0</v>
      </c>
      <c r="N53" s="3227">
        <f ca="1">IF(AND(Project_Expenses_Extrapolate,COUNTA($F$9:N$9)&gt;Projected_Income_Actual_Index),SUMIF(OFFSET($G$10,,,,Projected_Income_Actual_Index*2),N$10,OFFSET($G53,,,,Projected_Income_Actual_Index*2))/Projected_Income_Actual_Index,0)</f>
        <v>0</v>
      </c>
      <c r="O53" s="3227">
        <f ca="1">IF(AND(Project_Expenses_Extrapolate,COUNTA($F$9:O$9)&gt;Projected_Income_Actual_Index),SUMIF(OFFSET($G$10,,,,Projected_Income_Actual_Index*2),O$10,OFFSET($G53,,,,Projected_Income_Actual_Index*2))/Projected_Income_Actual_Index,0)</f>
        <v>0</v>
      </c>
      <c r="P53" s="3227">
        <f ca="1">IF(AND(Project_Expenses_Extrapolate,COUNTA($F$9:P$9)&gt;Projected_Income_Actual_Index),SUMIF(OFFSET($G$10,,,,Projected_Income_Actual_Index*2),P$10,OFFSET($G53,,,,Projected_Income_Actual_Index*2))/Projected_Income_Actual_Index,0)</f>
        <v>0</v>
      </c>
      <c r="Q53" s="3227">
        <f ca="1">IF(AND(Project_Expenses_Extrapolate,COUNTA($F$9:Q$9)&gt;Projected_Income_Actual_Index),SUMIF(OFFSET($G$10,,,,Projected_Income_Actual_Index*2),Q$10,OFFSET($G53,,,,Projected_Income_Actual_Index*2))/Projected_Income_Actual_Index,0)</f>
        <v>0</v>
      </c>
      <c r="R53" s="3227">
        <f ca="1">IF(AND(Project_Expenses_Extrapolate,COUNTA($F$9:R$9)&gt;Projected_Income_Actual_Index),SUMIF(OFFSET($G$10,,,,Projected_Income_Actual_Index*2),R$10,OFFSET($G53,,,,Projected_Income_Actual_Index*2))/Projected_Income_Actual_Index,0)</f>
        <v>0</v>
      </c>
      <c r="S53" s="3227">
        <f ca="1">IF(AND(Project_Expenses_Extrapolate,COUNTA($F$9:S$9)&gt;Projected_Income_Actual_Index),SUMIF(OFFSET($G$10,,,,Projected_Income_Actual_Index*2),S$10,OFFSET($G53,,,,Projected_Income_Actual_Index*2))/Projected_Income_Actual_Index,0)</f>
        <v>0</v>
      </c>
      <c r="T53" s="3227">
        <f ca="1">IF(AND(Project_Expenses_Extrapolate,COUNTA($F$9:T$9)&gt;Projected_Income_Actual_Index),SUMIF(OFFSET($G$10,,,,Projected_Income_Actual_Index*2),T$10,OFFSET($G53,,,,Projected_Income_Actual_Index*2))/Projected_Income_Actual_Index,0)</f>
        <v>0</v>
      </c>
      <c r="U53" s="3227">
        <f ca="1">IF(AND(Project_Expenses_Extrapolate,COUNTA($F$9:U$9)&gt;Projected_Income_Actual_Index),SUMIF(OFFSET($G$10,,,,Projected_Income_Actual_Index*2),U$10,OFFSET($G53,,,,Projected_Income_Actual_Index*2))/Projected_Income_Actual_Index,0)</f>
        <v>0</v>
      </c>
      <c r="V53" s="3227">
        <f ca="1">IF(AND(Project_Expenses_Extrapolate,COUNTA($F$9:V$9)&gt;Projected_Income_Actual_Index),SUMIF(OFFSET($G$10,,,,Projected_Income_Actual_Index*2),V$10,OFFSET($G53,,,,Projected_Income_Actual_Index*2))/Projected_Income_Actual_Index,0)</f>
        <v>0</v>
      </c>
      <c r="W53" s="3227">
        <f ca="1">IF(AND(Project_Expenses_Extrapolate,COUNTA($F$9:W$9)&gt;Projected_Income_Actual_Index),SUMIF(OFFSET($G$10,,,,Projected_Income_Actual_Index*2),W$10,OFFSET($G53,,,,Projected_Income_Actual_Index*2))/Projected_Income_Actual_Index,0)</f>
        <v>0</v>
      </c>
      <c r="X53" s="3227">
        <f ca="1">IF(AND(Project_Expenses_Extrapolate,COUNTA($F$9:X$9)&gt;Projected_Income_Actual_Index),SUMIF(OFFSET($G$10,,,,Projected_Income_Actual_Index*2),X$10,OFFSET($G53,,,,Projected_Income_Actual_Index*2))/Projected_Income_Actual_Index,0)</f>
        <v>0</v>
      </c>
      <c r="Y53" s="3227">
        <f ca="1">IF(AND(Project_Expenses_Extrapolate,COUNTA($F$9:Y$9)&gt;Projected_Income_Actual_Index),SUMIF(OFFSET($G$10,,,,Projected_Income_Actual_Index*2),Y$10,OFFSET($G53,,,,Projected_Income_Actual_Index*2))/Projected_Income_Actual_Index,0)</f>
        <v>0</v>
      </c>
      <c r="Z53" s="3227">
        <f ca="1">IF(AND(Project_Expenses_Extrapolate,COUNTA($F$9:Z$9)&gt;Projected_Income_Actual_Index),SUMIF(OFFSET($G$10,,,,Projected_Income_Actual_Index*2),Z$10,OFFSET($G53,,,,Projected_Income_Actual_Index*2))/Projected_Income_Actual_Index,0)</f>
        <v>0</v>
      </c>
      <c r="AA53" s="3227">
        <f ca="1">IF(AND(Project_Expenses_Extrapolate,COUNTA($F$9:AA$9)&gt;Projected_Income_Actual_Index),SUMIF(OFFSET($G$10,,,,Projected_Income_Actual_Index*2),AA$10,OFFSET($G53,,,,Projected_Income_Actual_Index*2))/Projected_Income_Actual_Index,0)</f>
        <v>0</v>
      </c>
      <c r="AB53" s="3227">
        <f ca="1">IF(AND(Project_Expenses_Extrapolate,COUNTA($F$9:AB$9)&gt;Projected_Income_Actual_Index),SUMIF(OFFSET($G$10,,,,Projected_Income_Actual_Index*2),AB$10,OFFSET($G53,,,,Projected_Income_Actual_Index*2))/Projected_Income_Actual_Index,0)</f>
        <v>0</v>
      </c>
      <c r="AC53" s="3227">
        <f ca="1">IF(AND(Project_Expenses_Extrapolate,COUNTA($F$9:AC$9)&gt;Projected_Income_Actual_Index),SUMIF(OFFSET($G$10,,,,Projected_Income_Actual_Index*2),AC$10,OFFSET($G53,,,,Projected_Income_Actual_Index*2))/Projected_Income_Actual_Index,0)</f>
        <v>0</v>
      </c>
      <c r="AD53" s="3227">
        <f ca="1">IF(AND(Project_Expenses_Extrapolate,COUNTA($F$9:AD$9)&gt;Projected_Income_Actual_Index),SUMIF(OFFSET($G$10,,,,Projected_Income_Actual_Index*2),AD$10,OFFSET($G53,,,,Projected_Income_Actual_Index*2))/Projected_Income_Actual_Index,0)</f>
        <v>0</v>
      </c>
      <c r="AE53" s="3227">
        <f t="shared" ca="1" si="16"/>
        <v>0</v>
      </c>
      <c r="AF53" s="3227">
        <f t="shared" ca="1" si="16"/>
        <v>0</v>
      </c>
      <c r="AG53" s="2543">
        <f t="shared" ca="1" si="17"/>
        <v>0</v>
      </c>
      <c r="AH53" s="3227">
        <v>0</v>
      </c>
      <c r="AI53" s="3227">
        <v>0</v>
      </c>
      <c r="AJ53" s="3231">
        <v>0</v>
      </c>
      <c r="AK53" s="2548" t="s">
        <v>2280</v>
      </c>
      <c r="AL53" s="1111"/>
      <c r="AM53" s="1111"/>
      <c r="AQ53" s="3283">
        <f t="shared" ca="1" si="3"/>
        <v>0</v>
      </c>
    </row>
    <row r="54" spans="1:43" s="1063" customFormat="1" ht="20.25">
      <c r="A54" s="979" t="s">
        <v>468</v>
      </c>
      <c r="C54" s="979"/>
      <c r="D54" s="979"/>
      <c r="E54" s="979"/>
      <c r="F54" s="979"/>
      <c r="G54" s="3227">
        <v>0</v>
      </c>
      <c r="H54" s="3227">
        <v>0</v>
      </c>
      <c r="I54" s="3227">
        <f ca="1">IF(AND(Project_Expenses_Extrapolate,COUNTA($F$9:I$9)&gt;Projected_Income_Actual_Index),SUMIF(OFFSET($G$10,,,,Projected_Income_Actual_Index*2),I$10,OFFSET($G54,,,,Projected_Income_Actual_Index*2))/Projected_Income_Actual_Index,0)</f>
        <v>0</v>
      </c>
      <c r="J54" s="3227">
        <f ca="1">IF(AND(Project_Expenses_Extrapolate,COUNTA($F$9:J$9)&gt;Projected_Income_Actual_Index),SUMIF(OFFSET($G$10,,,,Projected_Income_Actual_Index*2),J$10,OFFSET($G54,,,,Projected_Income_Actual_Index*2))/Projected_Income_Actual_Index,0)</f>
        <v>0</v>
      </c>
      <c r="K54" s="3227">
        <f ca="1">IF(AND(Project_Expenses_Extrapolate,COUNTA($F$9:K$9)&gt;Projected_Income_Actual_Index),SUMIF(OFFSET($G$10,,,,Projected_Income_Actual_Index*2),K$10,OFFSET($G54,,,,Projected_Income_Actual_Index*2))/Projected_Income_Actual_Index,0)</f>
        <v>0</v>
      </c>
      <c r="L54" s="3227">
        <f ca="1">IF(AND(Project_Expenses_Extrapolate,COUNTA($F$9:L$9)&gt;Projected_Income_Actual_Index),SUMIF(OFFSET($G$10,,,,Projected_Income_Actual_Index*2),L$10,OFFSET($G54,,,,Projected_Income_Actual_Index*2))/Projected_Income_Actual_Index,0)</f>
        <v>0</v>
      </c>
      <c r="M54" s="3227">
        <f ca="1">IF(AND(Project_Expenses_Extrapolate,COUNTA($F$9:M$9)&gt;Projected_Income_Actual_Index),SUMIF(OFFSET($G$10,,,,Projected_Income_Actual_Index*2),M$10,OFFSET($G54,,,,Projected_Income_Actual_Index*2))/Projected_Income_Actual_Index,0)</f>
        <v>0</v>
      </c>
      <c r="N54" s="3227">
        <f ca="1">IF(AND(Project_Expenses_Extrapolate,COUNTA($F$9:N$9)&gt;Projected_Income_Actual_Index),SUMIF(OFFSET($G$10,,,,Projected_Income_Actual_Index*2),N$10,OFFSET($G54,,,,Projected_Income_Actual_Index*2))/Projected_Income_Actual_Index,0)</f>
        <v>0</v>
      </c>
      <c r="O54" s="3227">
        <f ca="1">IF(AND(Project_Expenses_Extrapolate,COUNTA($F$9:O$9)&gt;Projected_Income_Actual_Index),SUMIF(OFFSET($G$10,,,,Projected_Income_Actual_Index*2),O$10,OFFSET($G54,,,,Projected_Income_Actual_Index*2))/Projected_Income_Actual_Index,0)</f>
        <v>0</v>
      </c>
      <c r="P54" s="3227">
        <f ca="1">IF(AND(Project_Expenses_Extrapolate,COUNTA($F$9:P$9)&gt;Projected_Income_Actual_Index),SUMIF(OFFSET($G$10,,,,Projected_Income_Actual_Index*2),P$10,OFFSET($G54,,,,Projected_Income_Actual_Index*2))/Projected_Income_Actual_Index,0)</f>
        <v>0</v>
      </c>
      <c r="Q54" s="3227">
        <f ca="1">IF(AND(Project_Expenses_Extrapolate,COUNTA($F$9:Q$9)&gt;Projected_Income_Actual_Index),SUMIF(OFFSET($G$10,,,,Projected_Income_Actual_Index*2),Q$10,OFFSET($G54,,,,Projected_Income_Actual_Index*2))/Projected_Income_Actual_Index,0)</f>
        <v>0</v>
      </c>
      <c r="R54" s="3227">
        <f ca="1">IF(AND(Project_Expenses_Extrapolate,COUNTA($F$9:R$9)&gt;Projected_Income_Actual_Index),SUMIF(OFFSET($G$10,,,,Projected_Income_Actual_Index*2),R$10,OFFSET($G54,,,,Projected_Income_Actual_Index*2))/Projected_Income_Actual_Index,0)</f>
        <v>0</v>
      </c>
      <c r="S54" s="3227">
        <f ca="1">IF(AND(Project_Expenses_Extrapolate,COUNTA($F$9:S$9)&gt;Projected_Income_Actual_Index),SUMIF(OFFSET($G$10,,,,Projected_Income_Actual_Index*2),S$10,OFFSET($G54,,,,Projected_Income_Actual_Index*2))/Projected_Income_Actual_Index,0)</f>
        <v>0</v>
      </c>
      <c r="T54" s="3227">
        <f ca="1">IF(AND(Project_Expenses_Extrapolate,COUNTA($F$9:T$9)&gt;Projected_Income_Actual_Index),SUMIF(OFFSET($G$10,,,,Projected_Income_Actual_Index*2),T$10,OFFSET($G54,,,,Projected_Income_Actual_Index*2))/Projected_Income_Actual_Index,0)</f>
        <v>0</v>
      </c>
      <c r="U54" s="3227">
        <f ca="1">IF(AND(Project_Expenses_Extrapolate,COUNTA($F$9:U$9)&gt;Projected_Income_Actual_Index),SUMIF(OFFSET($G$10,,,,Projected_Income_Actual_Index*2),U$10,OFFSET($G54,,,,Projected_Income_Actual_Index*2))/Projected_Income_Actual_Index,0)</f>
        <v>0</v>
      </c>
      <c r="V54" s="3227">
        <f ca="1">IF(AND(Project_Expenses_Extrapolate,COUNTA($F$9:V$9)&gt;Projected_Income_Actual_Index),SUMIF(OFFSET($G$10,,,,Projected_Income_Actual_Index*2),V$10,OFFSET($G54,,,,Projected_Income_Actual_Index*2))/Projected_Income_Actual_Index,0)</f>
        <v>0</v>
      </c>
      <c r="W54" s="3227">
        <f ca="1">IF(AND(Project_Expenses_Extrapolate,COUNTA($F$9:W$9)&gt;Projected_Income_Actual_Index),SUMIF(OFFSET($G$10,,,,Projected_Income_Actual_Index*2),W$10,OFFSET($G54,,,,Projected_Income_Actual_Index*2))/Projected_Income_Actual_Index,0)</f>
        <v>0</v>
      </c>
      <c r="X54" s="3227">
        <f ca="1">IF(AND(Project_Expenses_Extrapolate,COUNTA($F$9:X$9)&gt;Projected_Income_Actual_Index),SUMIF(OFFSET($G$10,,,,Projected_Income_Actual_Index*2),X$10,OFFSET($G54,,,,Projected_Income_Actual_Index*2))/Projected_Income_Actual_Index,0)</f>
        <v>0</v>
      </c>
      <c r="Y54" s="3227">
        <f ca="1">IF(AND(Project_Expenses_Extrapolate,COUNTA($F$9:Y$9)&gt;Projected_Income_Actual_Index),SUMIF(OFFSET($G$10,,,,Projected_Income_Actual_Index*2),Y$10,OFFSET($G54,,,,Projected_Income_Actual_Index*2))/Projected_Income_Actual_Index,0)</f>
        <v>0</v>
      </c>
      <c r="Z54" s="3227">
        <f ca="1">IF(AND(Project_Expenses_Extrapolate,COUNTA($F$9:Z$9)&gt;Projected_Income_Actual_Index),SUMIF(OFFSET($G$10,,,,Projected_Income_Actual_Index*2),Z$10,OFFSET($G54,,,,Projected_Income_Actual_Index*2))/Projected_Income_Actual_Index,0)</f>
        <v>0</v>
      </c>
      <c r="AA54" s="3227">
        <f ca="1">IF(AND(Project_Expenses_Extrapolate,COUNTA($F$9:AA$9)&gt;Projected_Income_Actual_Index),SUMIF(OFFSET($G$10,,,,Projected_Income_Actual_Index*2),AA$10,OFFSET($G54,,,,Projected_Income_Actual_Index*2))/Projected_Income_Actual_Index,0)</f>
        <v>0</v>
      </c>
      <c r="AB54" s="3227">
        <f ca="1">IF(AND(Project_Expenses_Extrapolate,COUNTA($F$9:AB$9)&gt;Projected_Income_Actual_Index),SUMIF(OFFSET($G$10,,,,Projected_Income_Actual_Index*2),AB$10,OFFSET($G54,,,,Projected_Income_Actual_Index*2))/Projected_Income_Actual_Index,0)</f>
        <v>0</v>
      </c>
      <c r="AC54" s="3227">
        <f ca="1">IF(AND(Project_Expenses_Extrapolate,COUNTA($F$9:AC$9)&gt;Projected_Income_Actual_Index),SUMIF(OFFSET($G$10,,,,Projected_Income_Actual_Index*2),AC$10,OFFSET($G54,,,,Projected_Income_Actual_Index*2))/Projected_Income_Actual_Index,0)</f>
        <v>0</v>
      </c>
      <c r="AD54" s="3227">
        <f ca="1">IF(AND(Project_Expenses_Extrapolate,COUNTA($F$9:AD$9)&gt;Projected_Income_Actual_Index),SUMIF(OFFSET($G$10,,,,Projected_Income_Actual_Index*2),AD$10,OFFSET($G54,,,,Projected_Income_Actual_Index*2))/Projected_Income_Actual_Index,0)</f>
        <v>0</v>
      </c>
      <c r="AE54" s="3227">
        <f t="shared" ca="1" si="16"/>
        <v>0</v>
      </c>
      <c r="AF54" s="3227">
        <f t="shared" ca="1" si="16"/>
        <v>0</v>
      </c>
      <c r="AG54" s="2543">
        <f t="shared" ca="1" si="17"/>
        <v>0</v>
      </c>
      <c r="AH54" s="3227">
        <v>0</v>
      </c>
      <c r="AI54" s="3227">
        <v>0</v>
      </c>
      <c r="AJ54" s="3231">
        <v>0</v>
      </c>
      <c r="AK54" s="2548" t="s">
        <v>2280</v>
      </c>
      <c r="AL54" s="1111"/>
      <c r="AM54" s="1111"/>
      <c r="AQ54" s="3283">
        <f t="shared" ca="1" si="3"/>
        <v>0</v>
      </c>
    </row>
    <row r="55" spans="1:43" s="1063" customFormat="1" ht="20.25">
      <c r="A55" s="979" t="s">
        <v>865</v>
      </c>
      <c r="C55" s="979"/>
      <c r="D55" s="979"/>
      <c r="E55" s="979"/>
      <c r="F55" s="979"/>
      <c r="G55" s="3227">
        <v>0</v>
      </c>
      <c r="H55" s="3227">
        <v>0</v>
      </c>
      <c r="I55" s="3227">
        <f ca="1">IF(AND(Project_Expenses_Extrapolate,COUNTA($F$9:I$9)&gt;Projected_Income_Actual_Index),SUMIF(OFFSET($G$10,,,,Projected_Income_Actual_Index*2),I$10,OFFSET($G55,,,,Projected_Income_Actual_Index*2))/Projected_Income_Actual_Index,0)</f>
        <v>0</v>
      </c>
      <c r="J55" s="3227">
        <f ca="1">IF(AND(Project_Expenses_Extrapolate,COUNTA($F$9:J$9)&gt;Projected_Income_Actual_Index),SUMIF(OFFSET($G$10,,,,Projected_Income_Actual_Index*2),J$10,OFFSET($G55,,,,Projected_Income_Actual_Index*2))/Projected_Income_Actual_Index,0)</f>
        <v>0</v>
      </c>
      <c r="K55" s="3227">
        <f ca="1">IF(AND(Project_Expenses_Extrapolate,COUNTA($F$9:K$9)&gt;Projected_Income_Actual_Index),SUMIF(OFFSET($G$10,,,,Projected_Income_Actual_Index*2),K$10,OFFSET($G55,,,,Projected_Income_Actual_Index*2))/Projected_Income_Actual_Index,0)</f>
        <v>0</v>
      </c>
      <c r="L55" s="3227">
        <f ca="1">IF(AND(Project_Expenses_Extrapolate,COUNTA($F$9:L$9)&gt;Projected_Income_Actual_Index),SUMIF(OFFSET($G$10,,,,Projected_Income_Actual_Index*2),L$10,OFFSET($G55,,,,Projected_Income_Actual_Index*2))/Projected_Income_Actual_Index,0)</f>
        <v>0</v>
      </c>
      <c r="M55" s="3227">
        <f ca="1">IF(AND(Project_Expenses_Extrapolate,COUNTA($F$9:M$9)&gt;Projected_Income_Actual_Index),SUMIF(OFFSET($G$10,,,,Projected_Income_Actual_Index*2),M$10,OFFSET($G55,,,,Projected_Income_Actual_Index*2))/Projected_Income_Actual_Index,0)</f>
        <v>0</v>
      </c>
      <c r="N55" s="3227">
        <f ca="1">IF(AND(Project_Expenses_Extrapolate,COUNTA($F$9:N$9)&gt;Projected_Income_Actual_Index),SUMIF(OFFSET($G$10,,,,Projected_Income_Actual_Index*2),N$10,OFFSET($G55,,,,Projected_Income_Actual_Index*2))/Projected_Income_Actual_Index,0)</f>
        <v>0</v>
      </c>
      <c r="O55" s="3227">
        <f ca="1">IF(AND(Project_Expenses_Extrapolate,COUNTA($F$9:O$9)&gt;Projected_Income_Actual_Index),SUMIF(OFFSET($G$10,,,,Projected_Income_Actual_Index*2),O$10,OFFSET($G55,,,,Projected_Income_Actual_Index*2))/Projected_Income_Actual_Index,0)</f>
        <v>0</v>
      </c>
      <c r="P55" s="3227">
        <f ca="1">IF(AND(Project_Expenses_Extrapolate,COUNTA($F$9:P$9)&gt;Projected_Income_Actual_Index),SUMIF(OFFSET($G$10,,,,Projected_Income_Actual_Index*2),P$10,OFFSET($G55,,,,Projected_Income_Actual_Index*2))/Projected_Income_Actual_Index,0)</f>
        <v>0</v>
      </c>
      <c r="Q55" s="3227">
        <f ca="1">IF(AND(Project_Expenses_Extrapolate,COUNTA($F$9:Q$9)&gt;Projected_Income_Actual_Index),SUMIF(OFFSET($G$10,,,,Projected_Income_Actual_Index*2),Q$10,OFFSET($G55,,,,Projected_Income_Actual_Index*2))/Projected_Income_Actual_Index,0)</f>
        <v>0</v>
      </c>
      <c r="R55" s="3227">
        <f ca="1">IF(AND(Project_Expenses_Extrapolate,COUNTA($F$9:R$9)&gt;Projected_Income_Actual_Index),SUMIF(OFFSET($G$10,,,,Projected_Income_Actual_Index*2),R$10,OFFSET($G55,,,,Projected_Income_Actual_Index*2))/Projected_Income_Actual_Index,0)</f>
        <v>0</v>
      </c>
      <c r="S55" s="3227">
        <f ca="1">IF(AND(Project_Expenses_Extrapolate,COUNTA($F$9:S$9)&gt;Projected_Income_Actual_Index),SUMIF(OFFSET($G$10,,,,Projected_Income_Actual_Index*2),S$10,OFFSET($G55,,,,Projected_Income_Actual_Index*2))/Projected_Income_Actual_Index,0)</f>
        <v>0</v>
      </c>
      <c r="T55" s="3227">
        <f ca="1">IF(AND(Project_Expenses_Extrapolate,COUNTA($F$9:T$9)&gt;Projected_Income_Actual_Index),SUMIF(OFFSET($G$10,,,,Projected_Income_Actual_Index*2),T$10,OFFSET($G55,,,,Projected_Income_Actual_Index*2))/Projected_Income_Actual_Index,0)</f>
        <v>0</v>
      </c>
      <c r="U55" s="3227">
        <f ca="1">IF(AND(Project_Expenses_Extrapolate,COUNTA($F$9:U$9)&gt;Projected_Income_Actual_Index),SUMIF(OFFSET($G$10,,,,Projected_Income_Actual_Index*2),U$10,OFFSET($G55,,,,Projected_Income_Actual_Index*2))/Projected_Income_Actual_Index,0)</f>
        <v>0</v>
      </c>
      <c r="V55" s="3227">
        <f ca="1">IF(AND(Project_Expenses_Extrapolate,COUNTA($F$9:V$9)&gt;Projected_Income_Actual_Index),SUMIF(OFFSET($G$10,,,,Projected_Income_Actual_Index*2),V$10,OFFSET($G55,,,,Projected_Income_Actual_Index*2))/Projected_Income_Actual_Index,0)</f>
        <v>0</v>
      </c>
      <c r="W55" s="3227">
        <f ca="1">IF(AND(Project_Expenses_Extrapolate,COUNTA($F$9:W$9)&gt;Projected_Income_Actual_Index),SUMIF(OFFSET($G$10,,,,Projected_Income_Actual_Index*2),W$10,OFFSET($G55,,,,Projected_Income_Actual_Index*2))/Projected_Income_Actual_Index,0)</f>
        <v>0</v>
      </c>
      <c r="X55" s="3227">
        <f ca="1">IF(AND(Project_Expenses_Extrapolate,COUNTA($F$9:X$9)&gt;Projected_Income_Actual_Index),SUMIF(OFFSET($G$10,,,,Projected_Income_Actual_Index*2),X$10,OFFSET($G55,,,,Projected_Income_Actual_Index*2))/Projected_Income_Actual_Index,0)</f>
        <v>0</v>
      </c>
      <c r="Y55" s="3227">
        <f ca="1">IF(AND(Project_Expenses_Extrapolate,COUNTA($F$9:Y$9)&gt;Projected_Income_Actual_Index),SUMIF(OFFSET($G$10,,,,Projected_Income_Actual_Index*2),Y$10,OFFSET($G55,,,,Projected_Income_Actual_Index*2))/Projected_Income_Actual_Index,0)</f>
        <v>0</v>
      </c>
      <c r="Z55" s="3227">
        <f ca="1">IF(AND(Project_Expenses_Extrapolate,COUNTA($F$9:Z$9)&gt;Projected_Income_Actual_Index),SUMIF(OFFSET($G$10,,,,Projected_Income_Actual_Index*2),Z$10,OFFSET($G55,,,,Projected_Income_Actual_Index*2))/Projected_Income_Actual_Index,0)</f>
        <v>0</v>
      </c>
      <c r="AA55" s="3227">
        <f ca="1">IF(AND(Project_Expenses_Extrapolate,COUNTA($F$9:AA$9)&gt;Projected_Income_Actual_Index),SUMIF(OFFSET($G$10,,,,Projected_Income_Actual_Index*2),AA$10,OFFSET($G55,,,,Projected_Income_Actual_Index*2))/Projected_Income_Actual_Index,0)</f>
        <v>0</v>
      </c>
      <c r="AB55" s="3227">
        <f ca="1">IF(AND(Project_Expenses_Extrapolate,COUNTA($F$9:AB$9)&gt;Projected_Income_Actual_Index),SUMIF(OFFSET($G$10,,,,Projected_Income_Actual_Index*2),AB$10,OFFSET($G55,,,,Projected_Income_Actual_Index*2))/Projected_Income_Actual_Index,0)</f>
        <v>0</v>
      </c>
      <c r="AC55" s="3227">
        <f ca="1">IF(AND(Project_Expenses_Extrapolate,COUNTA($F$9:AC$9)&gt;Projected_Income_Actual_Index),SUMIF(OFFSET($G$10,,,,Projected_Income_Actual_Index*2),AC$10,OFFSET($G55,,,,Projected_Income_Actual_Index*2))/Projected_Income_Actual_Index,0)</f>
        <v>0</v>
      </c>
      <c r="AD55" s="3227">
        <f ca="1">IF(AND(Project_Expenses_Extrapolate,COUNTA($F$9:AD$9)&gt;Projected_Income_Actual_Index),SUMIF(OFFSET($G$10,,,,Projected_Income_Actual_Index*2),AD$10,OFFSET($G55,,,,Projected_Income_Actual_Index*2))/Projected_Income_Actual_Index,0)</f>
        <v>0</v>
      </c>
      <c r="AE55" s="3227">
        <f t="shared" ca="1" si="16"/>
        <v>0</v>
      </c>
      <c r="AF55" s="3227">
        <f t="shared" ca="1" si="16"/>
        <v>0</v>
      </c>
      <c r="AG55" s="2543">
        <f t="shared" ca="1" si="17"/>
        <v>0</v>
      </c>
      <c r="AH55" s="3227">
        <v>0</v>
      </c>
      <c r="AI55" s="3227">
        <v>0</v>
      </c>
      <c r="AJ55" s="3231">
        <v>0</v>
      </c>
      <c r="AK55" s="2548" t="s">
        <v>2280</v>
      </c>
      <c r="AL55" s="1111"/>
      <c r="AM55" s="1111"/>
      <c r="AQ55" s="3283">
        <f t="shared" ca="1" si="3"/>
        <v>0</v>
      </c>
    </row>
    <row r="56" spans="1:43" s="1063" customFormat="1" ht="20.25">
      <c r="A56" s="979" t="s">
        <v>1046</v>
      </c>
      <c r="C56" s="979"/>
      <c r="D56" s="979"/>
      <c r="E56" s="979"/>
      <c r="F56" s="979"/>
      <c r="G56" s="3227">
        <v>0</v>
      </c>
      <c r="H56" s="3227">
        <v>0</v>
      </c>
      <c r="I56" s="3227">
        <f ca="1">IF(AND(Project_Expenses_Extrapolate,COUNTA($F$9:I$9)&gt;Projected_Income_Actual_Index),SUMIF(OFFSET($G$10,,,,Projected_Income_Actual_Index*2),I$10,OFFSET($G56,,,,Projected_Income_Actual_Index*2))/Projected_Income_Actual_Index,0)</f>
        <v>0</v>
      </c>
      <c r="J56" s="3227">
        <f ca="1">IF(AND(Project_Expenses_Extrapolate,COUNTA($F$9:J$9)&gt;Projected_Income_Actual_Index),SUMIF(OFFSET($G$10,,,,Projected_Income_Actual_Index*2),J$10,OFFSET($G56,,,,Projected_Income_Actual_Index*2))/Projected_Income_Actual_Index,0)</f>
        <v>0</v>
      </c>
      <c r="K56" s="3227">
        <f ca="1">IF(AND(Project_Expenses_Extrapolate,COUNTA($F$9:K$9)&gt;Projected_Income_Actual_Index),SUMIF(OFFSET($G$10,,,,Projected_Income_Actual_Index*2),K$10,OFFSET($G56,,,,Projected_Income_Actual_Index*2))/Projected_Income_Actual_Index,0)</f>
        <v>0</v>
      </c>
      <c r="L56" s="3227">
        <f ca="1">IF(AND(Project_Expenses_Extrapolate,COUNTA($F$9:L$9)&gt;Projected_Income_Actual_Index),SUMIF(OFFSET($G$10,,,,Projected_Income_Actual_Index*2),L$10,OFFSET($G56,,,,Projected_Income_Actual_Index*2))/Projected_Income_Actual_Index,0)</f>
        <v>0</v>
      </c>
      <c r="M56" s="3227">
        <f ca="1">IF(AND(Project_Expenses_Extrapolate,COUNTA($F$9:M$9)&gt;Projected_Income_Actual_Index),SUMIF(OFFSET($G$10,,,,Projected_Income_Actual_Index*2),M$10,OFFSET($G56,,,,Projected_Income_Actual_Index*2))/Projected_Income_Actual_Index,0)</f>
        <v>0</v>
      </c>
      <c r="N56" s="3227">
        <f ca="1">IF(AND(Project_Expenses_Extrapolate,COUNTA($F$9:N$9)&gt;Projected_Income_Actual_Index),SUMIF(OFFSET($G$10,,,,Projected_Income_Actual_Index*2),N$10,OFFSET($G56,,,,Projected_Income_Actual_Index*2))/Projected_Income_Actual_Index,0)</f>
        <v>0</v>
      </c>
      <c r="O56" s="3227">
        <f ca="1">IF(AND(Project_Expenses_Extrapolate,COUNTA($F$9:O$9)&gt;Projected_Income_Actual_Index),SUMIF(OFFSET($G$10,,,,Projected_Income_Actual_Index*2),O$10,OFFSET($G56,,,,Projected_Income_Actual_Index*2))/Projected_Income_Actual_Index,0)</f>
        <v>0</v>
      </c>
      <c r="P56" s="3227">
        <f ca="1">IF(AND(Project_Expenses_Extrapolate,COUNTA($F$9:P$9)&gt;Projected_Income_Actual_Index),SUMIF(OFFSET($G$10,,,,Projected_Income_Actual_Index*2),P$10,OFFSET($G56,,,,Projected_Income_Actual_Index*2))/Projected_Income_Actual_Index,0)</f>
        <v>0</v>
      </c>
      <c r="Q56" s="3227">
        <f ca="1">IF(AND(Project_Expenses_Extrapolate,COUNTA($F$9:Q$9)&gt;Projected_Income_Actual_Index),SUMIF(OFFSET($G$10,,,,Projected_Income_Actual_Index*2),Q$10,OFFSET($G56,,,,Projected_Income_Actual_Index*2))/Projected_Income_Actual_Index,0)</f>
        <v>0</v>
      </c>
      <c r="R56" s="3227">
        <f ca="1">IF(AND(Project_Expenses_Extrapolate,COUNTA($F$9:R$9)&gt;Projected_Income_Actual_Index),SUMIF(OFFSET($G$10,,,,Projected_Income_Actual_Index*2),R$10,OFFSET($G56,,,,Projected_Income_Actual_Index*2))/Projected_Income_Actual_Index,0)</f>
        <v>0</v>
      </c>
      <c r="S56" s="3227">
        <f ca="1">IF(AND(Project_Expenses_Extrapolate,COUNTA($F$9:S$9)&gt;Projected_Income_Actual_Index),SUMIF(OFFSET($G$10,,,,Projected_Income_Actual_Index*2),S$10,OFFSET($G56,,,,Projected_Income_Actual_Index*2))/Projected_Income_Actual_Index,0)</f>
        <v>0</v>
      </c>
      <c r="T56" s="3227">
        <f ca="1">IF(AND(Project_Expenses_Extrapolate,COUNTA($F$9:T$9)&gt;Projected_Income_Actual_Index),SUMIF(OFFSET($G$10,,,,Projected_Income_Actual_Index*2),T$10,OFFSET($G56,,,,Projected_Income_Actual_Index*2))/Projected_Income_Actual_Index,0)</f>
        <v>0</v>
      </c>
      <c r="U56" s="3227">
        <f ca="1">IF(AND(Project_Expenses_Extrapolate,COUNTA($F$9:U$9)&gt;Projected_Income_Actual_Index),SUMIF(OFFSET($G$10,,,,Projected_Income_Actual_Index*2),U$10,OFFSET($G56,,,,Projected_Income_Actual_Index*2))/Projected_Income_Actual_Index,0)</f>
        <v>0</v>
      </c>
      <c r="V56" s="3227">
        <f ca="1">IF(AND(Project_Expenses_Extrapolate,COUNTA($F$9:V$9)&gt;Projected_Income_Actual_Index),SUMIF(OFFSET($G$10,,,,Projected_Income_Actual_Index*2),V$10,OFFSET($G56,,,,Projected_Income_Actual_Index*2))/Projected_Income_Actual_Index,0)</f>
        <v>0</v>
      </c>
      <c r="W56" s="3227">
        <f ca="1">IF(AND(Project_Expenses_Extrapolate,COUNTA($F$9:W$9)&gt;Projected_Income_Actual_Index),SUMIF(OFFSET($G$10,,,,Projected_Income_Actual_Index*2),W$10,OFFSET($G56,,,,Projected_Income_Actual_Index*2))/Projected_Income_Actual_Index,0)</f>
        <v>0</v>
      </c>
      <c r="X56" s="3227">
        <f ca="1">IF(AND(Project_Expenses_Extrapolate,COUNTA($F$9:X$9)&gt;Projected_Income_Actual_Index),SUMIF(OFFSET($G$10,,,,Projected_Income_Actual_Index*2),X$10,OFFSET($G56,,,,Projected_Income_Actual_Index*2))/Projected_Income_Actual_Index,0)</f>
        <v>0</v>
      </c>
      <c r="Y56" s="3227">
        <f ca="1">IF(AND(Project_Expenses_Extrapolate,COUNTA($F$9:Y$9)&gt;Projected_Income_Actual_Index),SUMIF(OFFSET($G$10,,,,Projected_Income_Actual_Index*2),Y$10,OFFSET($G56,,,,Projected_Income_Actual_Index*2))/Projected_Income_Actual_Index,0)</f>
        <v>0</v>
      </c>
      <c r="Z56" s="3227">
        <f ca="1">IF(AND(Project_Expenses_Extrapolate,COUNTA($F$9:Z$9)&gt;Projected_Income_Actual_Index),SUMIF(OFFSET($G$10,,,,Projected_Income_Actual_Index*2),Z$10,OFFSET($G56,,,,Projected_Income_Actual_Index*2))/Projected_Income_Actual_Index,0)</f>
        <v>0</v>
      </c>
      <c r="AA56" s="3227">
        <f ca="1">IF(AND(Project_Expenses_Extrapolate,COUNTA($F$9:AA$9)&gt;Projected_Income_Actual_Index),SUMIF(OFFSET($G$10,,,,Projected_Income_Actual_Index*2),AA$10,OFFSET($G56,,,,Projected_Income_Actual_Index*2))/Projected_Income_Actual_Index,0)</f>
        <v>0</v>
      </c>
      <c r="AB56" s="3227">
        <f ca="1">IF(AND(Project_Expenses_Extrapolate,COUNTA($F$9:AB$9)&gt;Projected_Income_Actual_Index),SUMIF(OFFSET($G$10,,,,Projected_Income_Actual_Index*2),AB$10,OFFSET($G56,,,,Projected_Income_Actual_Index*2))/Projected_Income_Actual_Index,0)</f>
        <v>0</v>
      </c>
      <c r="AC56" s="3227">
        <f ca="1">IF(AND(Project_Expenses_Extrapolate,COUNTA($F$9:AC$9)&gt;Projected_Income_Actual_Index),SUMIF(OFFSET($G$10,,,,Projected_Income_Actual_Index*2),AC$10,OFFSET($G56,,,,Projected_Income_Actual_Index*2))/Projected_Income_Actual_Index,0)</f>
        <v>0</v>
      </c>
      <c r="AD56" s="3227">
        <f ca="1">IF(AND(Project_Expenses_Extrapolate,COUNTA($F$9:AD$9)&gt;Projected_Income_Actual_Index),SUMIF(OFFSET($G$10,,,,Projected_Income_Actual_Index*2),AD$10,OFFSET($G56,,,,Projected_Income_Actual_Index*2))/Projected_Income_Actual_Index,0)</f>
        <v>0</v>
      </c>
      <c r="AE56" s="3227">
        <f t="shared" ca="1" si="16"/>
        <v>0</v>
      </c>
      <c r="AF56" s="3227">
        <f t="shared" ca="1" si="16"/>
        <v>0</v>
      </c>
      <c r="AG56" s="2543">
        <f t="shared" ca="1" si="17"/>
        <v>0</v>
      </c>
      <c r="AH56" s="3227">
        <v>0</v>
      </c>
      <c r="AI56" s="3227">
        <v>0</v>
      </c>
      <c r="AJ56" s="3231">
        <v>0</v>
      </c>
      <c r="AK56" s="2548" t="s">
        <v>2280</v>
      </c>
      <c r="AL56" s="1111"/>
      <c r="AM56" s="1111"/>
      <c r="AQ56" s="3283">
        <f t="shared" ca="1" si="3"/>
        <v>0</v>
      </c>
    </row>
    <row r="57" spans="1:43" s="1063" customFormat="1" ht="20.25">
      <c r="A57" s="979" t="s">
        <v>432</v>
      </c>
      <c r="C57" s="979"/>
      <c r="D57" s="979"/>
      <c r="E57" s="979"/>
      <c r="F57" s="979"/>
      <c r="G57" s="3227">
        <v>0</v>
      </c>
      <c r="H57" s="3227">
        <v>0</v>
      </c>
      <c r="I57" s="3227">
        <f ca="1">IF(AND(Project_Expenses_Extrapolate,COUNTA($F$9:I$9)&gt;Projected_Income_Actual_Index),SUMIF(OFFSET($G$10,,,,Projected_Income_Actual_Index*2),I$10,OFFSET($G57,,,,Projected_Income_Actual_Index*2))/Projected_Income_Actual_Index,0)</f>
        <v>0</v>
      </c>
      <c r="J57" s="3227">
        <f ca="1">IF(AND(Project_Expenses_Extrapolate,COUNTA($F$9:J$9)&gt;Projected_Income_Actual_Index),SUMIF(OFFSET($G$10,,,,Projected_Income_Actual_Index*2),J$10,OFFSET($G57,,,,Projected_Income_Actual_Index*2))/Projected_Income_Actual_Index,0)</f>
        <v>0</v>
      </c>
      <c r="K57" s="3227">
        <f ca="1">IF(AND(Project_Expenses_Extrapolate,COUNTA($F$9:K$9)&gt;Projected_Income_Actual_Index),SUMIF(OFFSET($G$10,,,,Projected_Income_Actual_Index*2),K$10,OFFSET($G57,,,,Projected_Income_Actual_Index*2))/Projected_Income_Actual_Index,0)</f>
        <v>0</v>
      </c>
      <c r="L57" s="3227">
        <f ca="1">IF(AND(Project_Expenses_Extrapolate,COUNTA($F$9:L$9)&gt;Projected_Income_Actual_Index),SUMIF(OFFSET($G$10,,,,Projected_Income_Actual_Index*2),L$10,OFFSET($G57,,,,Projected_Income_Actual_Index*2))/Projected_Income_Actual_Index,0)</f>
        <v>0</v>
      </c>
      <c r="M57" s="3227">
        <f ca="1">IF(AND(Project_Expenses_Extrapolate,COUNTA($F$9:M$9)&gt;Projected_Income_Actual_Index),SUMIF(OFFSET($G$10,,,,Projected_Income_Actual_Index*2),M$10,OFFSET($G57,,,,Projected_Income_Actual_Index*2))/Projected_Income_Actual_Index,0)</f>
        <v>0</v>
      </c>
      <c r="N57" s="3227">
        <f ca="1">IF(AND(Project_Expenses_Extrapolate,COUNTA($F$9:N$9)&gt;Projected_Income_Actual_Index),SUMIF(OFFSET($G$10,,,,Projected_Income_Actual_Index*2),N$10,OFFSET($G57,,,,Projected_Income_Actual_Index*2))/Projected_Income_Actual_Index,0)</f>
        <v>0</v>
      </c>
      <c r="O57" s="3227">
        <f ca="1">IF(AND(Project_Expenses_Extrapolate,COUNTA($F$9:O$9)&gt;Projected_Income_Actual_Index),SUMIF(OFFSET($G$10,,,,Projected_Income_Actual_Index*2),O$10,OFFSET($G57,,,,Projected_Income_Actual_Index*2))/Projected_Income_Actual_Index,0)</f>
        <v>0</v>
      </c>
      <c r="P57" s="3227">
        <f ca="1">IF(AND(Project_Expenses_Extrapolate,COUNTA($F$9:P$9)&gt;Projected_Income_Actual_Index),SUMIF(OFFSET($G$10,,,,Projected_Income_Actual_Index*2),P$10,OFFSET($G57,,,,Projected_Income_Actual_Index*2))/Projected_Income_Actual_Index,0)</f>
        <v>0</v>
      </c>
      <c r="Q57" s="3227">
        <f ca="1">IF(AND(Project_Expenses_Extrapolate,COUNTA($F$9:Q$9)&gt;Projected_Income_Actual_Index),SUMIF(OFFSET($G$10,,,,Projected_Income_Actual_Index*2),Q$10,OFFSET($G57,,,,Projected_Income_Actual_Index*2))/Projected_Income_Actual_Index,0)</f>
        <v>0</v>
      </c>
      <c r="R57" s="3227">
        <f ca="1">IF(AND(Project_Expenses_Extrapolate,COUNTA($F$9:R$9)&gt;Projected_Income_Actual_Index),SUMIF(OFFSET($G$10,,,,Projected_Income_Actual_Index*2),R$10,OFFSET($G57,,,,Projected_Income_Actual_Index*2))/Projected_Income_Actual_Index,0)</f>
        <v>0</v>
      </c>
      <c r="S57" s="3227">
        <f ca="1">IF(AND(Project_Expenses_Extrapolate,COUNTA($F$9:S$9)&gt;Projected_Income_Actual_Index),SUMIF(OFFSET($G$10,,,,Projected_Income_Actual_Index*2),S$10,OFFSET($G57,,,,Projected_Income_Actual_Index*2))/Projected_Income_Actual_Index,0)</f>
        <v>0</v>
      </c>
      <c r="T57" s="3227">
        <f ca="1">IF(AND(Project_Expenses_Extrapolate,COUNTA($F$9:T$9)&gt;Projected_Income_Actual_Index),SUMIF(OFFSET($G$10,,,,Projected_Income_Actual_Index*2),T$10,OFFSET($G57,,,,Projected_Income_Actual_Index*2))/Projected_Income_Actual_Index,0)</f>
        <v>0</v>
      </c>
      <c r="U57" s="3227">
        <f ca="1">IF(AND(Project_Expenses_Extrapolate,COUNTA($F$9:U$9)&gt;Projected_Income_Actual_Index),SUMIF(OFFSET($G$10,,,,Projected_Income_Actual_Index*2),U$10,OFFSET($G57,,,,Projected_Income_Actual_Index*2))/Projected_Income_Actual_Index,0)</f>
        <v>0</v>
      </c>
      <c r="V57" s="3227">
        <f ca="1">IF(AND(Project_Expenses_Extrapolate,COUNTA($F$9:V$9)&gt;Projected_Income_Actual_Index),SUMIF(OFFSET($G$10,,,,Projected_Income_Actual_Index*2),V$10,OFFSET($G57,,,,Projected_Income_Actual_Index*2))/Projected_Income_Actual_Index,0)</f>
        <v>0</v>
      </c>
      <c r="W57" s="3227">
        <f ca="1">IF(AND(Project_Expenses_Extrapolate,COUNTA($F$9:W$9)&gt;Projected_Income_Actual_Index),SUMIF(OFFSET($G$10,,,,Projected_Income_Actual_Index*2),W$10,OFFSET($G57,,,,Projected_Income_Actual_Index*2))/Projected_Income_Actual_Index,0)</f>
        <v>0</v>
      </c>
      <c r="X57" s="3227">
        <f ca="1">IF(AND(Project_Expenses_Extrapolate,COUNTA($F$9:X$9)&gt;Projected_Income_Actual_Index),SUMIF(OFFSET($G$10,,,,Projected_Income_Actual_Index*2),X$10,OFFSET($G57,,,,Projected_Income_Actual_Index*2))/Projected_Income_Actual_Index,0)</f>
        <v>0</v>
      </c>
      <c r="Y57" s="3227">
        <f ca="1">IF(AND(Project_Expenses_Extrapolate,COUNTA($F$9:Y$9)&gt;Projected_Income_Actual_Index),SUMIF(OFFSET($G$10,,,,Projected_Income_Actual_Index*2),Y$10,OFFSET($G57,,,,Projected_Income_Actual_Index*2))/Projected_Income_Actual_Index,0)</f>
        <v>0</v>
      </c>
      <c r="Z57" s="3227">
        <f ca="1">IF(AND(Project_Expenses_Extrapolate,COUNTA($F$9:Z$9)&gt;Projected_Income_Actual_Index),SUMIF(OFFSET($G$10,,,,Projected_Income_Actual_Index*2),Z$10,OFFSET($G57,,,,Projected_Income_Actual_Index*2))/Projected_Income_Actual_Index,0)</f>
        <v>0</v>
      </c>
      <c r="AA57" s="3227">
        <f ca="1">IF(AND(Project_Expenses_Extrapolate,COUNTA($F$9:AA$9)&gt;Projected_Income_Actual_Index),SUMIF(OFFSET($G$10,,,,Projected_Income_Actual_Index*2),AA$10,OFFSET($G57,,,,Projected_Income_Actual_Index*2))/Projected_Income_Actual_Index,0)</f>
        <v>0</v>
      </c>
      <c r="AB57" s="3227">
        <f ca="1">IF(AND(Project_Expenses_Extrapolate,COUNTA($F$9:AB$9)&gt;Projected_Income_Actual_Index),SUMIF(OFFSET($G$10,,,,Projected_Income_Actual_Index*2),AB$10,OFFSET($G57,,,,Projected_Income_Actual_Index*2))/Projected_Income_Actual_Index,0)</f>
        <v>0</v>
      </c>
      <c r="AC57" s="3227">
        <f ca="1">IF(AND(Project_Expenses_Extrapolate,COUNTA($F$9:AC$9)&gt;Projected_Income_Actual_Index),SUMIF(OFFSET($G$10,,,,Projected_Income_Actual_Index*2),AC$10,OFFSET($G57,,,,Projected_Income_Actual_Index*2))/Projected_Income_Actual_Index,0)</f>
        <v>0</v>
      </c>
      <c r="AD57" s="3227">
        <f ca="1">IF(AND(Project_Expenses_Extrapolate,COUNTA($F$9:AD$9)&gt;Projected_Income_Actual_Index),SUMIF(OFFSET($G$10,,,,Projected_Income_Actual_Index*2),AD$10,OFFSET($G57,,,,Projected_Income_Actual_Index*2))/Projected_Income_Actual_Index,0)</f>
        <v>0</v>
      </c>
      <c r="AE57" s="3227">
        <f t="shared" ca="1" si="16"/>
        <v>0</v>
      </c>
      <c r="AF57" s="3227">
        <f t="shared" ca="1" si="16"/>
        <v>0</v>
      </c>
      <c r="AG57" s="2543">
        <f t="shared" ca="1" si="17"/>
        <v>0</v>
      </c>
      <c r="AH57" s="3227">
        <v>0</v>
      </c>
      <c r="AI57" s="3227">
        <v>0</v>
      </c>
      <c r="AJ57" s="3231">
        <v>0</v>
      </c>
      <c r="AK57" s="2548" t="s">
        <v>2280</v>
      </c>
      <c r="AL57" s="1111"/>
      <c r="AM57" s="1111"/>
      <c r="AQ57" s="3283">
        <f t="shared" ca="1" si="3"/>
        <v>0</v>
      </c>
    </row>
    <row r="58" spans="1:43" s="1063" customFormat="1" ht="20.25">
      <c r="A58" s="979" t="s">
        <v>866</v>
      </c>
      <c r="C58" s="979"/>
      <c r="D58" s="979"/>
      <c r="E58" s="979"/>
      <c r="F58" s="979"/>
      <c r="G58" s="3227">
        <v>0</v>
      </c>
      <c r="H58" s="3227">
        <v>0</v>
      </c>
      <c r="I58" s="3227">
        <f ca="1">IF(AND(Project_Expenses_Extrapolate,COUNTA($F$9:I$9)&gt;Projected_Income_Actual_Index),SUMIF(OFFSET($G$10,,,,Projected_Income_Actual_Index*2),I$10,OFFSET($G58,,,,Projected_Income_Actual_Index*2))/Projected_Income_Actual_Index,0)</f>
        <v>0</v>
      </c>
      <c r="J58" s="3227">
        <f ca="1">IF(AND(Project_Expenses_Extrapolate,COUNTA($F$9:J$9)&gt;Projected_Income_Actual_Index),SUMIF(OFFSET($G$10,,,,Projected_Income_Actual_Index*2),J$10,OFFSET($G58,,,,Projected_Income_Actual_Index*2))/Projected_Income_Actual_Index,0)</f>
        <v>0</v>
      </c>
      <c r="K58" s="3227">
        <f ca="1">IF(AND(Project_Expenses_Extrapolate,COUNTA($F$9:K$9)&gt;Projected_Income_Actual_Index),SUMIF(OFFSET($G$10,,,,Projected_Income_Actual_Index*2),K$10,OFFSET($G58,,,,Projected_Income_Actual_Index*2))/Projected_Income_Actual_Index,0)</f>
        <v>0</v>
      </c>
      <c r="L58" s="3227">
        <f ca="1">IF(AND(Project_Expenses_Extrapolate,COUNTA($F$9:L$9)&gt;Projected_Income_Actual_Index),SUMIF(OFFSET($G$10,,,,Projected_Income_Actual_Index*2),L$10,OFFSET($G58,,,,Projected_Income_Actual_Index*2))/Projected_Income_Actual_Index,0)</f>
        <v>0</v>
      </c>
      <c r="M58" s="3227">
        <f ca="1">IF(AND(Project_Expenses_Extrapolate,COUNTA($F$9:M$9)&gt;Projected_Income_Actual_Index),SUMIF(OFFSET($G$10,,,,Projected_Income_Actual_Index*2),M$10,OFFSET($G58,,,,Projected_Income_Actual_Index*2))/Projected_Income_Actual_Index,0)</f>
        <v>0</v>
      </c>
      <c r="N58" s="3227">
        <f ca="1">IF(AND(Project_Expenses_Extrapolate,COUNTA($F$9:N$9)&gt;Projected_Income_Actual_Index),SUMIF(OFFSET($G$10,,,,Projected_Income_Actual_Index*2),N$10,OFFSET($G58,,,,Projected_Income_Actual_Index*2))/Projected_Income_Actual_Index,0)</f>
        <v>0</v>
      </c>
      <c r="O58" s="3227">
        <f ca="1">IF(AND(Project_Expenses_Extrapolate,COUNTA($F$9:O$9)&gt;Projected_Income_Actual_Index),SUMIF(OFFSET($G$10,,,,Projected_Income_Actual_Index*2),O$10,OFFSET($G58,,,,Projected_Income_Actual_Index*2))/Projected_Income_Actual_Index,0)</f>
        <v>0</v>
      </c>
      <c r="P58" s="3227">
        <f ca="1">IF(AND(Project_Expenses_Extrapolate,COUNTA($F$9:P$9)&gt;Projected_Income_Actual_Index),SUMIF(OFFSET($G$10,,,,Projected_Income_Actual_Index*2),P$10,OFFSET($G58,,,,Projected_Income_Actual_Index*2))/Projected_Income_Actual_Index,0)</f>
        <v>0</v>
      </c>
      <c r="Q58" s="3227">
        <f ca="1">IF(AND(Project_Expenses_Extrapolate,COUNTA($F$9:Q$9)&gt;Projected_Income_Actual_Index),SUMIF(OFFSET($G$10,,,,Projected_Income_Actual_Index*2),Q$10,OFFSET($G58,,,,Projected_Income_Actual_Index*2))/Projected_Income_Actual_Index,0)</f>
        <v>0</v>
      </c>
      <c r="R58" s="3227">
        <f ca="1">IF(AND(Project_Expenses_Extrapolate,COUNTA($F$9:R$9)&gt;Projected_Income_Actual_Index),SUMIF(OFFSET($G$10,,,,Projected_Income_Actual_Index*2),R$10,OFFSET($G58,,,,Projected_Income_Actual_Index*2))/Projected_Income_Actual_Index,0)</f>
        <v>0</v>
      </c>
      <c r="S58" s="3227">
        <f ca="1">IF(AND(Project_Expenses_Extrapolate,COUNTA($F$9:S$9)&gt;Projected_Income_Actual_Index),SUMIF(OFFSET($G$10,,,,Projected_Income_Actual_Index*2),S$10,OFFSET($G58,,,,Projected_Income_Actual_Index*2))/Projected_Income_Actual_Index,0)</f>
        <v>0</v>
      </c>
      <c r="T58" s="3227">
        <f ca="1">IF(AND(Project_Expenses_Extrapolate,COUNTA($F$9:T$9)&gt;Projected_Income_Actual_Index),SUMIF(OFFSET($G$10,,,,Projected_Income_Actual_Index*2),T$10,OFFSET($G58,,,,Projected_Income_Actual_Index*2))/Projected_Income_Actual_Index,0)</f>
        <v>0</v>
      </c>
      <c r="U58" s="3227">
        <f ca="1">IF(AND(Project_Expenses_Extrapolate,COUNTA($F$9:U$9)&gt;Projected_Income_Actual_Index),SUMIF(OFFSET($G$10,,,,Projected_Income_Actual_Index*2),U$10,OFFSET($G58,,,,Projected_Income_Actual_Index*2))/Projected_Income_Actual_Index,0)</f>
        <v>0</v>
      </c>
      <c r="V58" s="3227">
        <f ca="1">IF(AND(Project_Expenses_Extrapolate,COUNTA($F$9:V$9)&gt;Projected_Income_Actual_Index),SUMIF(OFFSET($G$10,,,,Projected_Income_Actual_Index*2),V$10,OFFSET($G58,,,,Projected_Income_Actual_Index*2))/Projected_Income_Actual_Index,0)</f>
        <v>0</v>
      </c>
      <c r="W58" s="3227">
        <f ca="1">IF(AND(Project_Expenses_Extrapolate,COUNTA($F$9:W$9)&gt;Projected_Income_Actual_Index),SUMIF(OFFSET($G$10,,,,Projected_Income_Actual_Index*2),W$10,OFFSET($G58,,,,Projected_Income_Actual_Index*2))/Projected_Income_Actual_Index,0)</f>
        <v>0</v>
      </c>
      <c r="X58" s="3227">
        <f ca="1">IF(AND(Project_Expenses_Extrapolate,COUNTA($F$9:X$9)&gt;Projected_Income_Actual_Index),SUMIF(OFFSET($G$10,,,,Projected_Income_Actual_Index*2),X$10,OFFSET($G58,,,,Projected_Income_Actual_Index*2))/Projected_Income_Actual_Index,0)</f>
        <v>0</v>
      </c>
      <c r="Y58" s="3227">
        <f ca="1">IF(AND(Project_Expenses_Extrapolate,COUNTA($F$9:Y$9)&gt;Projected_Income_Actual_Index),SUMIF(OFFSET($G$10,,,,Projected_Income_Actual_Index*2),Y$10,OFFSET($G58,,,,Projected_Income_Actual_Index*2))/Projected_Income_Actual_Index,0)</f>
        <v>0</v>
      </c>
      <c r="Z58" s="3227">
        <f ca="1">IF(AND(Project_Expenses_Extrapolate,COUNTA($F$9:Z$9)&gt;Projected_Income_Actual_Index),SUMIF(OFFSET($G$10,,,,Projected_Income_Actual_Index*2),Z$10,OFFSET($G58,,,,Projected_Income_Actual_Index*2))/Projected_Income_Actual_Index,0)</f>
        <v>0</v>
      </c>
      <c r="AA58" s="3227">
        <f ca="1">IF(AND(Project_Expenses_Extrapolate,COUNTA($F$9:AA$9)&gt;Projected_Income_Actual_Index),SUMIF(OFFSET($G$10,,,,Projected_Income_Actual_Index*2),AA$10,OFFSET($G58,,,,Projected_Income_Actual_Index*2))/Projected_Income_Actual_Index,0)</f>
        <v>0</v>
      </c>
      <c r="AB58" s="3227">
        <f ca="1">IF(AND(Project_Expenses_Extrapolate,COUNTA($F$9:AB$9)&gt;Projected_Income_Actual_Index),SUMIF(OFFSET($G$10,,,,Projected_Income_Actual_Index*2),AB$10,OFFSET($G58,,,,Projected_Income_Actual_Index*2))/Projected_Income_Actual_Index,0)</f>
        <v>0</v>
      </c>
      <c r="AC58" s="3227">
        <f ca="1">IF(AND(Project_Expenses_Extrapolate,COUNTA($F$9:AC$9)&gt;Projected_Income_Actual_Index),SUMIF(OFFSET($G$10,,,,Projected_Income_Actual_Index*2),AC$10,OFFSET($G58,,,,Projected_Income_Actual_Index*2))/Projected_Income_Actual_Index,0)</f>
        <v>0</v>
      </c>
      <c r="AD58" s="3227">
        <f ca="1">IF(AND(Project_Expenses_Extrapolate,COUNTA($F$9:AD$9)&gt;Projected_Income_Actual_Index),SUMIF(OFFSET($G$10,,,,Projected_Income_Actual_Index*2),AD$10,OFFSET($G58,,,,Projected_Income_Actual_Index*2))/Projected_Income_Actual_Index,0)</f>
        <v>0</v>
      </c>
      <c r="AE58" s="3227">
        <f t="shared" ca="1" si="16"/>
        <v>0</v>
      </c>
      <c r="AF58" s="3227">
        <f t="shared" ca="1" si="16"/>
        <v>0</v>
      </c>
      <c r="AG58" s="2543">
        <f t="shared" ca="1" si="17"/>
        <v>0</v>
      </c>
      <c r="AH58" s="3227">
        <v>0</v>
      </c>
      <c r="AI58" s="3227">
        <v>0</v>
      </c>
      <c r="AJ58" s="3231">
        <v>0</v>
      </c>
      <c r="AK58" s="2548" t="s">
        <v>2280</v>
      </c>
      <c r="AL58" s="1111"/>
      <c r="AM58" s="1111"/>
      <c r="AQ58" s="3283">
        <f t="shared" ca="1" si="3"/>
        <v>0</v>
      </c>
    </row>
    <row r="59" spans="1:43" s="1063" customFormat="1" ht="20.25">
      <c r="A59" s="979" t="s">
        <v>867</v>
      </c>
      <c r="C59" s="979"/>
      <c r="D59" s="979"/>
      <c r="E59" s="979"/>
      <c r="F59" s="979"/>
      <c r="G59" s="3227">
        <v>0</v>
      </c>
      <c r="H59" s="3227">
        <v>0</v>
      </c>
      <c r="I59" s="3227">
        <f ca="1">IF(AND(Project_Expenses_Extrapolate,COUNTA($F$9:I$9)&gt;Projected_Income_Actual_Index),SUMIF(OFFSET($G$10,,,,Projected_Income_Actual_Index*2),I$10,OFFSET($G59,,,,Projected_Income_Actual_Index*2))/Projected_Income_Actual_Index,0)</f>
        <v>0</v>
      </c>
      <c r="J59" s="3227">
        <f ca="1">IF(AND(Project_Expenses_Extrapolate,COUNTA($F$9:J$9)&gt;Projected_Income_Actual_Index),SUMIF(OFFSET($G$10,,,,Projected_Income_Actual_Index*2),J$10,OFFSET($G59,,,,Projected_Income_Actual_Index*2))/Projected_Income_Actual_Index,0)</f>
        <v>0</v>
      </c>
      <c r="K59" s="3227">
        <f ca="1">IF(AND(Project_Expenses_Extrapolate,COUNTA($F$9:K$9)&gt;Projected_Income_Actual_Index),SUMIF(OFFSET($G$10,,,,Projected_Income_Actual_Index*2),K$10,OFFSET($G59,,,,Projected_Income_Actual_Index*2))/Projected_Income_Actual_Index,0)</f>
        <v>0</v>
      </c>
      <c r="L59" s="3227">
        <f ca="1">IF(AND(Project_Expenses_Extrapolate,COUNTA($F$9:L$9)&gt;Projected_Income_Actual_Index),SUMIF(OFFSET($G$10,,,,Projected_Income_Actual_Index*2),L$10,OFFSET($G59,,,,Projected_Income_Actual_Index*2))/Projected_Income_Actual_Index,0)</f>
        <v>0</v>
      </c>
      <c r="M59" s="3227">
        <f ca="1">IF(AND(Project_Expenses_Extrapolate,COUNTA($F$9:M$9)&gt;Projected_Income_Actual_Index),SUMIF(OFFSET($G$10,,,,Projected_Income_Actual_Index*2),M$10,OFFSET($G59,,,,Projected_Income_Actual_Index*2))/Projected_Income_Actual_Index,0)</f>
        <v>0</v>
      </c>
      <c r="N59" s="3227">
        <f ca="1">IF(AND(Project_Expenses_Extrapolate,COUNTA($F$9:N$9)&gt;Projected_Income_Actual_Index),SUMIF(OFFSET($G$10,,,,Projected_Income_Actual_Index*2),N$10,OFFSET($G59,,,,Projected_Income_Actual_Index*2))/Projected_Income_Actual_Index,0)</f>
        <v>0</v>
      </c>
      <c r="O59" s="3227">
        <f ca="1">IF(AND(Project_Expenses_Extrapolate,COUNTA($F$9:O$9)&gt;Projected_Income_Actual_Index),SUMIF(OFFSET($G$10,,,,Projected_Income_Actual_Index*2),O$10,OFFSET($G59,,,,Projected_Income_Actual_Index*2))/Projected_Income_Actual_Index,0)</f>
        <v>0</v>
      </c>
      <c r="P59" s="3227">
        <f ca="1">IF(AND(Project_Expenses_Extrapolate,COUNTA($F$9:P$9)&gt;Projected_Income_Actual_Index),SUMIF(OFFSET($G$10,,,,Projected_Income_Actual_Index*2),P$10,OFFSET($G59,,,,Projected_Income_Actual_Index*2))/Projected_Income_Actual_Index,0)</f>
        <v>0</v>
      </c>
      <c r="Q59" s="3227">
        <f ca="1">IF(AND(Project_Expenses_Extrapolate,COUNTA($F$9:Q$9)&gt;Projected_Income_Actual_Index),SUMIF(OFFSET($G$10,,,,Projected_Income_Actual_Index*2),Q$10,OFFSET($G59,,,,Projected_Income_Actual_Index*2))/Projected_Income_Actual_Index,0)</f>
        <v>0</v>
      </c>
      <c r="R59" s="3227">
        <f ca="1">IF(AND(Project_Expenses_Extrapolate,COUNTA($F$9:R$9)&gt;Projected_Income_Actual_Index),SUMIF(OFFSET($G$10,,,,Projected_Income_Actual_Index*2),R$10,OFFSET($G59,,,,Projected_Income_Actual_Index*2))/Projected_Income_Actual_Index,0)</f>
        <v>0</v>
      </c>
      <c r="S59" s="3227">
        <f ca="1">IF(AND(Project_Expenses_Extrapolate,COUNTA($F$9:S$9)&gt;Projected_Income_Actual_Index),SUMIF(OFFSET($G$10,,,,Projected_Income_Actual_Index*2),S$10,OFFSET($G59,,,,Projected_Income_Actual_Index*2))/Projected_Income_Actual_Index,0)</f>
        <v>0</v>
      </c>
      <c r="T59" s="3227">
        <f ca="1">IF(AND(Project_Expenses_Extrapolate,COUNTA($F$9:T$9)&gt;Projected_Income_Actual_Index),SUMIF(OFFSET($G$10,,,,Projected_Income_Actual_Index*2),T$10,OFFSET($G59,,,,Projected_Income_Actual_Index*2))/Projected_Income_Actual_Index,0)</f>
        <v>0</v>
      </c>
      <c r="U59" s="3227">
        <f ca="1">IF(AND(Project_Expenses_Extrapolate,COUNTA($F$9:U$9)&gt;Projected_Income_Actual_Index),SUMIF(OFFSET($G$10,,,,Projected_Income_Actual_Index*2),U$10,OFFSET($G59,,,,Projected_Income_Actual_Index*2))/Projected_Income_Actual_Index,0)</f>
        <v>0</v>
      </c>
      <c r="V59" s="3227">
        <f ca="1">IF(AND(Project_Expenses_Extrapolate,COUNTA($F$9:V$9)&gt;Projected_Income_Actual_Index),SUMIF(OFFSET($G$10,,,,Projected_Income_Actual_Index*2),V$10,OFFSET($G59,,,,Projected_Income_Actual_Index*2))/Projected_Income_Actual_Index,0)</f>
        <v>0</v>
      </c>
      <c r="W59" s="3227">
        <f ca="1">IF(AND(Project_Expenses_Extrapolate,COUNTA($F$9:W$9)&gt;Projected_Income_Actual_Index),SUMIF(OFFSET($G$10,,,,Projected_Income_Actual_Index*2),W$10,OFFSET($G59,,,,Projected_Income_Actual_Index*2))/Projected_Income_Actual_Index,0)</f>
        <v>0</v>
      </c>
      <c r="X59" s="3227">
        <f ca="1">IF(AND(Project_Expenses_Extrapolate,COUNTA($F$9:X$9)&gt;Projected_Income_Actual_Index),SUMIF(OFFSET($G$10,,,,Projected_Income_Actual_Index*2),X$10,OFFSET($G59,,,,Projected_Income_Actual_Index*2))/Projected_Income_Actual_Index,0)</f>
        <v>0</v>
      </c>
      <c r="Y59" s="3227">
        <f ca="1">IF(AND(Project_Expenses_Extrapolate,COUNTA($F$9:Y$9)&gt;Projected_Income_Actual_Index),SUMIF(OFFSET($G$10,,,,Projected_Income_Actual_Index*2),Y$10,OFFSET($G59,,,,Projected_Income_Actual_Index*2))/Projected_Income_Actual_Index,0)</f>
        <v>0</v>
      </c>
      <c r="Z59" s="3227">
        <f ca="1">IF(AND(Project_Expenses_Extrapolate,COUNTA($F$9:Z$9)&gt;Projected_Income_Actual_Index),SUMIF(OFFSET($G$10,,,,Projected_Income_Actual_Index*2),Z$10,OFFSET($G59,,,,Projected_Income_Actual_Index*2))/Projected_Income_Actual_Index,0)</f>
        <v>0</v>
      </c>
      <c r="AA59" s="3227">
        <f ca="1">IF(AND(Project_Expenses_Extrapolate,COUNTA($F$9:AA$9)&gt;Projected_Income_Actual_Index),SUMIF(OFFSET($G$10,,,,Projected_Income_Actual_Index*2),AA$10,OFFSET($G59,,,,Projected_Income_Actual_Index*2))/Projected_Income_Actual_Index,0)</f>
        <v>0</v>
      </c>
      <c r="AB59" s="3227">
        <f ca="1">IF(AND(Project_Expenses_Extrapolate,COUNTA($F$9:AB$9)&gt;Projected_Income_Actual_Index),SUMIF(OFFSET($G$10,,,,Projected_Income_Actual_Index*2),AB$10,OFFSET($G59,,,,Projected_Income_Actual_Index*2))/Projected_Income_Actual_Index,0)</f>
        <v>0</v>
      </c>
      <c r="AC59" s="3227">
        <f ca="1">IF(AND(Project_Expenses_Extrapolate,COUNTA($F$9:AC$9)&gt;Projected_Income_Actual_Index),SUMIF(OFFSET($G$10,,,,Projected_Income_Actual_Index*2),AC$10,OFFSET($G59,,,,Projected_Income_Actual_Index*2))/Projected_Income_Actual_Index,0)</f>
        <v>0</v>
      </c>
      <c r="AD59" s="3227">
        <f ca="1">IF(AND(Project_Expenses_Extrapolate,COUNTA($F$9:AD$9)&gt;Projected_Income_Actual_Index),SUMIF(OFFSET($G$10,,,,Projected_Income_Actual_Index*2),AD$10,OFFSET($G59,,,,Projected_Income_Actual_Index*2))/Projected_Income_Actual_Index,0)</f>
        <v>0</v>
      </c>
      <c r="AE59" s="3227">
        <f t="shared" ca="1" si="16"/>
        <v>0</v>
      </c>
      <c r="AF59" s="3227">
        <f t="shared" ca="1" si="16"/>
        <v>0</v>
      </c>
      <c r="AG59" s="2543">
        <f t="shared" ca="1" si="17"/>
        <v>0</v>
      </c>
      <c r="AH59" s="3227">
        <v>0</v>
      </c>
      <c r="AI59" s="3227">
        <v>0</v>
      </c>
      <c r="AJ59" s="3231">
        <v>0</v>
      </c>
      <c r="AK59" s="2548" t="s">
        <v>2280</v>
      </c>
      <c r="AL59" s="1111"/>
      <c r="AM59" s="1111"/>
      <c r="AQ59" s="3283">
        <f t="shared" ca="1" si="3"/>
        <v>0</v>
      </c>
    </row>
    <row r="60" spans="1:43" s="1063" customFormat="1" ht="20.25">
      <c r="A60" s="979" t="s">
        <v>868</v>
      </c>
      <c r="C60" s="979"/>
      <c r="D60" s="979"/>
      <c r="E60" s="979"/>
      <c r="F60" s="979"/>
      <c r="G60" s="3227">
        <v>0</v>
      </c>
      <c r="H60" s="3227">
        <v>0</v>
      </c>
      <c r="I60" s="3227">
        <f ca="1">IF(AND(Project_Expenses_Extrapolate,COUNTA($F$9:I$9)&gt;Projected_Income_Actual_Index),SUMIF(OFFSET($G$10,,,,Projected_Income_Actual_Index*2),I$10,OFFSET($G60,,,,Projected_Income_Actual_Index*2))/Projected_Income_Actual_Index,0)</f>
        <v>0</v>
      </c>
      <c r="J60" s="3227">
        <f ca="1">IF(AND(Project_Expenses_Extrapolate,COUNTA($F$9:J$9)&gt;Projected_Income_Actual_Index),SUMIF(OFFSET($G$10,,,,Projected_Income_Actual_Index*2),J$10,OFFSET($G60,,,,Projected_Income_Actual_Index*2))/Projected_Income_Actual_Index,0)</f>
        <v>0</v>
      </c>
      <c r="K60" s="3227">
        <f ca="1">IF(AND(Project_Expenses_Extrapolate,COUNTA($F$9:K$9)&gt;Projected_Income_Actual_Index),SUMIF(OFFSET($G$10,,,,Projected_Income_Actual_Index*2),K$10,OFFSET($G60,,,,Projected_Income_Actual_Index*2))/Projected_Income_Actual_Index,0)</f>
        <v>0</v>
      </c>
      <c r="L60" s="3227">
        <f ca="1">IF(AND(Project_Expenses_Extrapolate,COUNTA($F$9:L$9)&gt;Projected_Income_Actual_Index),SUMIF(OFFSET($G$10,,,,Projected_Income_Actual_Index*2),L$10,OFFSET($G60,,,,Projected_Income_Actual_Index*2))/Projected_Income_Actual_Index,0)</f>
        <v>0</v>
      </c>
      <c r="M60" s="3227">
        <f ca="1">IF(AND(Project_Expenses_Extrapolate,COUNTA($F$9:M$9)&gt;Projected_Income_Actual_Index),SUMIF(OFFSET($G$10,,,,Projected_Income_Actual_Index*2),M$10,OFFSET($G60,,,,Projected_Income_Actual_Index*2))/Projected_Income_Actual_Index,0)</f>
        <v>0</v>
      </c>
      <c r="N60" s="3227">
        <f ca="1">IF(AND(Project_Expenses_Extrapolate,COUNTA($F$9:N$9)&gt;Projected_Income_Actual_Index),SUMIF(OFFSET($G$10,,,,Projected_Income_Actual_Index*2),N$10,OFFSET($G60,,,,Projected_Income_Actual_Index*2))/Projected_Income_Actual_Index,0)</f>
        <v>0</v>
      </c>
      <c r="O60" s="3227">
        <f ca="1">IF(AND(Project_Expenses_Extrapolate,COUNTA($F$9:O$9)&gt;Projected_Income_Actual_Index),SUMIF(OFFSET($G$10,,,,Projected_Income_Actual_Index*2),O$10,OFFSET($G60,,,,Projected_Income_Actual_Index*2))/Projected_Income_Actual_Index,0)</f>
        <v>0</v>
      </c>
      <c r="P60" s="3227">
        <f ca="1">IF(AND(Project_Expenses_Extrapolate,COUNTA($F$9:P$9)&gt;Projected_Income_Actual_Index),SUMIF(OFFSET($G$10,,,,Projected_Income_Actual_Index*2),P$10,OFFSET($G60,,,,Projected_Income_Actual_Index*2))/Projected_Income_Actual_Index,0)</f>
        <v>0</v>
      </c>
      <c r="Q60" s="3227">
        <f ca="1">IF(AND(Project_Expenses_Extrapolate,COUNTA($F$9:Q$9)&gt;Projected_Income_Actual_Index),SUMIF(OFFSET($G$10,,,,Projected_Income_Actual_Index*2),Q$10,OFFSET($G60,,,,Projected_Income_Actual_Index*2))/Projected_Income_Actual_Index,0)</f>
        <v>0</v>
      </c>
      <c r="R60" s="3227">
        <f ca="1">IF(AND(Project_Expenses_Extrapolate,COUNTA($F$9:R$9)&gt;Projected_Income_Actual_Index),SUMIF(OFFSET($G$10,,,,Projected_Income_Actual_Index*2),R$10,OFFSET($G60,,,,Projected_Income_Actual_Index*2))/Projected_Income_Actual_Index,0)</f>
        <v>0</v>
      </c>
      <c r="S60" s="3227">
        <f ca="1">IF(AND(Project_Expenses_Extrapolate,COUNTA($F$9:S$9)&gt;Projected_Income_Actual_Index),SUMIF(OFFSET($G$10,,,,Projected_Income_Actual_Index*2),S$10,OFFSET($G60,,,,Projected_Income_Actual_Index*2))/Projected_Income_Actual_Index,0)</f>
        <v>0</v>
      </c>
      <c r="T60" s="3227">
        <f ca="1">IF(AND(Project_Expenses_Extrapolate,COUNTA($F$9:T$9)&gt;Projected_Income_Actual_Index),SUMIF(OFFSET($G$10,,,,Projected_Income_Actual_Index*2),T$10,OFFSET($G60,,,,Projected_Income_Actual_Index*2))/Projected_Income_Actual_Index,0)</f>
        <v>0</v>
      </c>
      <c r="U60" s="3227">
        <f ca="1">IF(AND(Project_Expenses_Extrapolate,COUNTA($F$9:U$9)&gt;Projected_Income_Actual_Index),SUMIF(OFFSET($G$10,,,,Projected_Income_Actual_Index*2),U$10,OFFSET($G60,,,,Projected_Income_Actual_Index*2))/Projected_Income_Actual_Index,0)</f>
        <v>0</v>
      </c>
      <c r="V60" s="3227">
        <f ca="1">IF(AND(Project_Expenses_Extrapolate,COUNTA($F$9:V$9)&gt;Projected_Income_Actual_Index),SUMIF(OFFSET($G$10,,,,Projected_Income_Actual_Index*2),V$10,OFFSET($G60,,,,Projected_Income_Actual_Index*2))/Projected_Income_Actual_Index,0)</f>
        <v>0</v>
      </c>
      <c r="W60" s="3227">
        <f ca="1">IF(AND(Project_Expenses_Extrapolate,COUNTA($F$9:W$9)&gt;Projected_Income_Actual_Index),SUMIF(OFFSET($G$10,,,,Projected_Income_Actual_Index*2),W$10,OFFSET($G60,,,,Projected_Income_Actual_Index*2))/Projected_Income_Actual_Index,0)</f>
        <v>0</v>
      </c>
      <c r="X60" s="3227">
        <f ca="1">IF(AND(Project_Expenses_Extrapolate,COUNTA($F$9:X$9)&gt;Projected_Income_Actual_Index),SUMIF(OFFSET($G$10,,,,Projected_Income_Actual_Index*2),X$10,OFFSET($G60,,,,Projected_Income_Actual_Index*2))/Projected_Income_Actual_Index,0)</f>
        <v>0</v>
      </c>
      <c r="Y60" s="3227">
        <f ca="1">IF(AND(Project_Expenses_Extrapolate,COUNTA($F$9:Y$9)&gt;Projected_Income_Actual_Index),SUMIF(OFFSET($G$10,,,,Projected_Income_Actual_Index*2),Y$10,OFFSET($G60,,,,Projected_Income_Actual_Index*2))/Projected_Income_Actual_Index,0)</f>
        <v>0</v>
      </c>
      <c r="Z60" s="3227">
        <f ca="1">IF(AND(Project_Expenses_Extrapolate,COUNTA($F$9:Z$9)&gt;Projected_Income_Actual_Index),SUMIF(OFFSET($G$10,,,,Projected_Income_Actual_Index*2),Z$10,OFFSET($G60,,,,Projected_Income_Actual_Index*2))/Projected_Income_Actual_Index,0)</f>
        <v>0</v>
      </c>
      <c r="AA60" s="3227">
        <f ca="1">IF(AND(Project_Expenses_Extrapolate,COUNTA($F$9:AA$9)&gt;Projected_Income_Actual_Index),SUMIF(OFFSET($G$10,,,,Projected_Income_Actual_Index*2),AA$10,OFFSET($G60,,,,Projected_Income_Actual_Index*2))/Projected_Income_Actual_Index,0)</f>
        <v>0</v>
      </c>
      <c r="AB60" s="3227">
        <f ca="1">IF(AND(Project_Expenses_Extrapolate,COUNTA($F$9:AB$9)&gt;Projected_Income_Actual_Index),SUMIF(OFFSET($G$10,,,,Projected_Income_Actual_Index*2),AB$10,OFFSET($G60,,,,Projected_Income_Actual_Index*2))/Projected_Income_Actual_Index,0)</f>
        <v>0</v>
      </c>
      <c r="AC60" s="3227">
        <f ca="1">IF(AND(Project_Expenses_Extrapolate,COUNTA($F$9:AC$9)&gt;Projected_Income_Actual_Index),SUMIF(OFFSET($G$10,,,,Projected_Income_Actual_Index*2),AC$10,OFFSET($G60,,,,Projected_Income_Actual_Index*2))/Projected_Income_Actual_Index,0)</f>
        <v>0</v>
      </c>
      <c r="AD60" s="3227">
        <f ca="1">IF(AND(Project_Expenses_Extrapolate,COUNTA($F$9:AD$9)&gt;Projected_Income_Actual_Index),SUMIF(OFFSET($G$10,,,,Projected_Income_Actual_Index*2),AD$10,OFFSET($G60,,,,Projected_Income_Actual_Index*2))/Projected_Income_Actual_Index,0)</f>
        <v>0</v>
      </c>
      <c r="AE60" s="3227">
        <f t="shared" ca="1" si="16"/>
        <v>0</v>
      </c>
      <c r="AF60" s="3227">
        <f t="shared" ca="1" si="16"/>
        <v>0</v>
      </c>
      <c r="AG60" s="2543">
        <f t="shared" ca="1" si="17"/>
        <v>0</v>
      </c>
      <c r="AH60" s="3227">
        <v>0</v>
      </c>
      <c r="AI60" s="3227">
        <v>0</v>
      </c>
      <c r="AJ60" s="3231">
        <v>0</v>
      </c>
      <c r="AK60" s="2548" t="s">
        <v>2280</v>
      </c>
      <c r="AL60" s="1111"/>
      <c r="AM60" s="1111"/>
      <c r="AQ60" s="3283">
        <f t="shared" ca="1" si="3"/>
        <v>0</v>
      </c>
    </row>
    <row r="61" spans="1:43" s="1063" customFormat="1" ht="20.25">
      <c r="A61" s="979" t="s">
        <v>869</v>
      </c>
      <c r="C61" s="979"/>
      <c r="D61" s="979"/>
      <c r="E61" s="979"/>
      <c r="F61" s="979"/>
      <c r="G61" s="3227">
        <v>0</v>
      </c>
      <c r="H61" s="3227">
        <v>0</v>
      </c>
      <c r="I61" s="3227">
        <f ca="1">IF(AND(Project_Expenses_Extrapolate,COUNTA($F$9:I$9)&gt;Projected_Income_Actual_Index),SUMIF(OFFSET($G$10,,,,Projected_Income_Actual_Index*2),I$10,OFFSET($G61,,,,Projected_Income_Actual_Index*2))/Projected_Income_Actual_Index,0)</f>
        <v>0</v>
      </c>
      <c r="J61" s="3227">
        <f ca="1">IF(AND(Project_Expenses_Extrapolate,COUNTA($F$9:J$9)&gt;Projected_Income_Actual_Index),SUMIF(OFFSET($G$10,,,,Projected_Income_Actual_Index*2),J$10,OFFSET($G61,,,,Projected_Income_Actual_Index*2))/Projected_Income_Actual_Index,0)</f>
        <v>0</v>
      </c>
      <c r="K61" s="3227">
        <f ca="1">IF(AND(Project_Expenses_Extrapolate,COUNTA($F$9:K$9)&gt;Projected_Income_Actual_Index),SUMIF(OFFSET($G$10,,,,Projected_Income_Actual_Index*2),K$10,OFFSET($G61,,,,Projected_Income_Actual_Index*2))/Projected_Income_Actual_Index,0)</f>
        <v>0</v>
      </c>
      <c r="L61" s="3227">
        <f ca="1">IF(AND(Project_Expenses_Extrapolate,COUNTA($F$9:L$9)&gt;Projected_Income_Actual_Index),SUMIF(OFFSET($G$10,,,,Projected_Income_Actual_Index*2),L$10,OFFSET($G61,,,,Projected_Income_Actual_Index*2))/Projected_Income_Actual_Index,0)</f>
        <v>0</v>
      </c>
      <c r="M61" s="3227">
        <f ca="1">IF(AND(Project_Expenses_Extrapolate,COUNTA($F$9:M$9)&gt;Projected_Income_Actual_Index),SUMIF(OFFSET($G$10,,,,Projected_Income_Actual_Index*2),M$10,OFFSET($G61,,,,Projected_Income_Actual_Index*2))/Projected_Income_Actual_Index,0)</f>
        <v>0</v>
      </c>
      <c r="N61" s="3227">
        <f ca="1">IF(AND(Project_Expenses_Extrapolate,COUNTA($F$9:N$9)&gt;Projected_Income_Actual_Index),SUMIF(OFFSET($G$10,,,,Projected_Income_Actual_Index*2),N$10,OFFSET($G61,,,,Projected_Income_Actual_Index*2))/Projected_Income_Actual_Index,0)</f>
        <v>0</v>
      </c>
      <c r="O61" s="3227">
        <f ca="1">IF(AND(Project_Expenses_Extrapolate,COUNTA($F$9:O$9)&gt;Projected_Income_Actual_Index),SUMIF(OFFSET($G$10,,,,Projected_Income_Actual_Index*2),O$10,OFFSET($G61,,,,Projected_Income_Actual_Index*2))/Projected_Income_Actual_Index,0)</f>
        <v>0</v>
      </c>
      <c r="P61" s="3227">
        <f ca="1">IF(AND(Project_Expenses_Extrapolate,COUNTA($F$9:P$9)&gt;Projected_Income_Actual_Index),SUMIF(OFFSET($G$10,,,,Projected_Income_Actual_Index*2),P$10,OFFSET($G61,,,,Projected_Income_Actual_Index*2))/Projected_Income_Actual_Index,0)</f>
        <v>0</v>
      </c>
      <c r="Q61" s="3227">
        <f ca="1">IF(AND(Project_Expenses_Extrapolate,COUNTA($F$9:Q$9)&gt;Projected_Income_Actual_Index),SUMIF(OFFSET($G$10,,,,Projected_Income_Actual_Index*2),Q$10,OFFSET($G61,,,,Projected_Income_Actual_Index*2))/Projected_Income_Actual_Index,0)</f>
        <v>0</v>
      </c>
      <c r="R61" s="3227">
        <f ca="1">IF(AND(Project_Expenses_Extrapolate,COUNTA($F$9:R$9)&gt;Projected_Income_Actual_Index),SUMIF(OFFSET($G$10,,,,Projected_Income_Actual_Index*2),R$10,OFFSET($G61,,,,Projected_Income_Actual_Index*2))/Projected_Income_Actual_Index,0)</f>
        <v>0</v>
      </c>
      <c r="S61" s="3227">
        <f ca="1">IF(AND(Project_Expenses_Extrapolate,COUNTA($F$9:S$9)&gt;Projected_Income_Actual_Index),SUMIF(OFFSET($G$10,,,,Projected_Income_Actual_Index*2),S$10,OFFSET($G61,,,,Projected_Income_Actual_Index*2))/Projected_Income_Actual_Index,0)</f>
        <v>0</v>
      </c>
      <c r="T61" s="3227">
        <f ca="1">IF(AND(Project_Expenses_Extrapolate,COUNTA($F$9:T$9)&gt;Projected_Income_Actual_Index),SUMIF(OFFSET($G$10,,,,Projected_Income_Actual_Index*2),T$10,OFFSET($G61,,,,Projected_Income_Actual_Index*2))/Projected_Income_Actual_Index,0)</f>
        <v>0</v>
      </c>
      <c r="U61" s="3227">
        <f ca="1">IF(AND(Project_Expenses_Extrapolate,COUNTA($F$9:U$9)&gt;Projected_Income_Actual_Index),SUMIF(OFFSET($G$10,,,,Projected_Income_Actual_Index*2),U$10,OFFSET($G61,,,,Projected_Income_Actual_Index*2))/Projected_Income_Actual_Index,0)</f>
        <v>0</v>
      </c>
      <c r="V61" s="3227">
        <f ca="1">IF(AND(Project_Expenses_Extrapolate,COUNTA($F$9:V$9)&gt;Projected_Income_Actual_Index),SUMIF(OFFSET($G$10,,,,Projected_Income_Actual_Index*2),V$10,OFFSET($G61,,,,Projected_Income_Actual_Index*2))/Projected_Income_Actual_Index,0)</f>
        <v>0</v>
      </c>
      <c r="W61" s="3227">
        <f ca="1">IF(AND(Project_Expenses_Extrapolate,COUNTA($F$9:W$9)&gt;Projected_Income_Actual_Index),SUMIF(OFFSET($G$10,,,,Projected_Income_Actual_Index*2),W$10,OFFSET($G61,,,,Projected_Income_Actual_Index*2))/Projected_Income_Actual_Index,0)</f>
        <v>0</v>
      </c>
      <c r="X61" s="3227">
        <f ca="1">IF(AND(Project_Expenses_Extrapolate,COUNTA($F$9:X$9)&gt;Projected_Income_Actual_Index),SUMIF(OFFSET($G$10,,,,Projected_Income_Actual_Index*2),X$10,OFFSET($G61,,,,Projected_Income_Actual_Index*2))/Projected_Income_Actual_Index,0)</f>
        <v>0</v>
      </c>
      <c r="Y61" s="3227">
        <f ca="1">IF(AND(Project_Expenses_Extrapolate,COUNTA($F$9:Y$9)&gt;Projected_Income_Actual_Index),SUMIF(OFFSET($G$10,,,,Projected_Income_Actual_Index*2),Y$10,OFFSET($G61,,,,Projected_Income_Actual_Index*2))/Projected_Income_Actual_Index,0)</f>
        <v>0</v>
      </c>
      <c r="Z61" s="3227">
        <f ca="1">IF(AND(Project_Expenses_Extrapolate,COUNTA($F$9:Z$9)&gt;Projected_Income_Actual_Index),SUMIF(OFFSET($G$10,,,,Projected_Income_Actual_Index*2),Z$10,OFFSET($G61,,,,Projected_Income_Actual_Index*2))/Projected_Income_Actual_Index,0)</f>
        <v>0</v>
      </c>
      <c r="AA61" s="3227">
        <f ca="1">IF(AND(Project_Expenses_Extrapolate,COUNTA($F$9:AA$9)&gt;Projected_Income_Actual_Index),SUMIF(OFFSET($G$10,,,,Projected_Income_Actual_Index*2),AA$10,OFFSET($G61,,,,Projected_Income_Actual_Index*2))/Projected_Income_Actual_Index,0)</f>
        <v>0</v>
      </c>
      <c r="AB61" s="3227">
        <f ca="1">IF(AND(Project_Expenses_Extrapolate,COUNTA($F$9:AB$9)&gt;Projected_Income_Actual_Index),SUMIF(OFFSET($G$10,,,,Projected_Income_Actual_Index*2),AB$10,OFFSET($G61,,,,Projected_Income_Actual_Index*2))/Projected_Income_Actual_Index,0)</f>
        <v>0</v>
      </c>
      <c r="AC61" s="3227">
        <f ca="1">IF(AND(Project_Expenses_Extrapolate,COUNTA($F$9:AC$9)&gt;Projected_Income_Actual_Index),SUMIF(OFFSET($G$10,,,,Projected_Income_Actual_Index*2),AC$10,OFFSET($G61,,,,Projected_Income_Actual_Index*2))/Projected_Income_Actual_Index,0)</f>
        <v>0</v>
      </c>
      <c r="AD61" s="3227">
        <f ca="1">IF(AND(Project_Expenses_Extrapolate,COUNTA($F$9:AD$9)&gt;Projected_Income_Actual_Index),SUMIF(OFFSET($G$10,,,,Projected_Income_Actual_Index*2),AD$10,OFFSET($G61,,,,Projected_Income_Actual_Index*2))/Projected_Income_Actual_Index,0)</f>
        <v>0</v>
      </c>
      <c r="AE61" s="3227">
        <f t="shared" ca="1" si="16"/>
        <v>0</v>
      </c>
      <c r="AF61" s="3227">
        <f t="shared" ca="1" si="16"/>
        <v>0</v>
      </c>
      <c r="AG61" s="2543">
        <f t="shared" ca="1" si="17"/>
        <v>0</v>
      </c>
      <c r="AH61" s="3227">
        <v>0</v>
      </c>
      <c r="AI61" s="3227">
        <v>0</v>
      </c>
      <c r="AJ61" s="3231">
        <v>0</v>
      </c>
      <c r="AK61" s="2548" t="s">
        <v>2280</v>
      </c>
      <c r="AL61" s="1111"/>
      <c r="AM61" s="1111"/>
      <c r="AQ61" s="3283">
        <f t="shared" ca="1" si="3"/>
        <v>0</v>
      </c>
    </row>
    <row r="62" spans="1:43" s="1063" customFormat="1" ht="20.25">
      <c r="A62" s="979" t="s">
        <v>870</v>
      </c>
      <c r="C62" s="979"/>
      <c r="D62" s="979"/>
      <c r="E62" s="979"/>
      <c r="F62" s="979"/>
      <c r="G62" s="3227">
        <v>0</v>
      </c>
      <c r="H62" s="3227">
        <v>0</v>
      </c>
      <c r="I62" s="3227">
        <f ca="1">IF(AND(Project_Expenses_Extrapolate,COUNTA($F$9:I$9)&gt;Projected_Income_Actual_Index),SUMIF(OFFSET($G$10,,,,Projected_Income_Actual_Index*2),I$10,OFFSET($G62,,,,Projected_Income_Actual_Index*2))/Projected_Income_Actual_Index,0)</f>
        <v>0</v>
      </c>
      <c r="J62" s="3227">
        <f ca="1">IF(AND(Project_Expenses_Extrapolate,COUNTA($F$9:J$9)&gt;Projected_Income_Actual_Index),SUMIF(OFFSET($G$10,,,,Projected_Income_Actual_Index*2),J$10,OFFSET($G62,,,,Projected_Income_Actual_Index*2))/Projected_Income_Actual_Index,0)</f>
        <v>0</v>
      </c>
      <c r="K62" s="3227">
        <f ca="1">IF(AND(Project_Expenses_Extrapolate,COUNTA($F$9:K$9)&gt;Projected_Income_Actual_Index),SUMIF(OFFSET($G$10,,,,Projected_Income_Actual_Index*2),K$10,OFFSET($G62,,,,Projected_Income_Actual_Index*2))/Projected_Income_Actual_Index,0)</f>
        <v>0</v>
      </c>
      <c r="L62" s="3227">
        <f ca="1">IF(AND(Project_Expenses_Extrapolate,COUNTA($F$9:L$9)&gt;Projected_Income_Actual_Index),SUMIF(OFFSET($G$10,,,,Projected_Income_Actual_Index*2),L$10,OFFSET($G62,,,,Projected_Income_Actual_Index*2))/Projected_Income_Actual_Index,0)</f>
        <v>0</v>
      </c>
      <c r="M62" s="3227">
        <f ca="1">IF(AND(Project_Expenses_Extrapolate,COUNTA($F$9:M$9)&gt;Projected_Income_Actual_Index),SUMIF(OFFSET($G$10,,,,Projected_Income_Actual_Index*2),M$10,OFFSET($G62,,,,Projected_Income_Actual_Index*2))/Projected_Income_Actual_Index,0)</f>
        <v>0</v>
      </c>
      <c r="N62" s="3227">
        <f ca="1">IF(AND(Project_Expenses_Extrapolate,COUNTA($F$9:N$9)&gt;Projected_Income_Actual_Index),SUMIF(OFFSET($G$10,,,,Projected_Income_Actual_Index*2),N$10,OFFSET($G62,,,,Projected_Income_Actual_Index*2))/Projected_Income_Actual_Index,0)</f>
        <v>0</v>
      </c>
      <c r="O62" s="3227">
        <f ca="1">IF(AND(Project_Expenses_Extrapolate,COUNTA($F$9:O$9)&gt;Projected_Income_Actual_Index),SUMIF(OFFSET($G$10,,,,Projected_Income_Actual_Index*2),O$10,OFFSET($G62,,,,Projected_Income_Actual_Index*2))/Projected_Income_Actual_Index,0)</f>
        <v>0</v>
      </c>
      <c r="P62" s="3227">
        <f ca="1">IF(AND(Project_Expenses_Extrapolate,COUNTA($F$9:P$9)&gt;Projected_Income_Actual_Index),SUMIF(OFFSET($G$10,,,,Projected_Income_Actual_Index*2),P$10,OFFSET($G62,,,,Projected_Income_Actual_Index*2))/Projected_Income_Actual_Index,0)</f>
        <v>0</v>
      </c>
      <c r="Q62" s="3227">
        <f ca="1">IF(AND(Project_Expenses_Extrapolate,COUNTA($F$9:Q$9)&gt;Projected_Income_Actual_Index),SUMIF(OFFSET($G$10,,,,Projected_Income_Actual_Index*2),Q$10,OFFSET($G62,,,,Projected_Income_Actual_Index*2))/Projected_Income_Actual_Index,0)</f>
        <v>0</v>
      </c>
      <c r="R62" s="3227">
        <f ca="1">IF(AND(Project_Expenses_Extrapolate,COUNTA($F$9:R$9)&gt;Projected_Income_Actual_Index),SUMIF(OFFSET($G$10,,,,Projected_Income_Actual_Index*2),R$10,OFFSET($G62,,,,Projected_Income_Actual_Index*2))/Projected_Income_Actual_Index,0)</f>
        <v>0</v>
      </c>
      <c r="S62" s="3227">
        <f ca="1">IF(AND(Project_Expenses_Extrapolate,COUNTA($F$9:S$9)&gt;Projected_Income_Actual_Index),SUMIF(OFFSET($G$10,,,,Projected_Income_Actual_Index*2),S$10,OFFSET($G62,,,,Projected_Income_Actual_Index*2))/Projected_Income_Actual_Index,0)</f>
        <v>0</v>
      </c>
      <c r="T62" s="3227">
        <f ca="1">IF(AND(Project_Expenses_Extrapolate,COUNTA($F$9:T$9)&gt;Projected_Income_Actual_Index),SUMIF(OFFSET($G$10,,,,Projected_Income_Actual_Index*2),T$10,OFFSET($G62,,,,Projected_Income_Actual_Index*2))/Projected_Income_Actual_Index,0)</f>
        <v>0</v>
      </c>
      <c r="U62" s="3227">
        <f ca="1">IF(AND(Project_Expenses_Extrapolate,COUNTA($F$9:U$9)&gt;Projected_Income_Actual_Index),SUMIF(OFFSET($G$10,,,,Projected_Income_Actual_Index*2),U$10,OFFSET($G62,,,,Projected_Income_Actual_Index*2))/Projected_Income_Actual_Index,0)</f>
        <v>0</v>
      </c>
      <c r="V62" s="3227">
        <f ca="1">IF(AND(Project_Expenses_Extrapolate,COUNTA($F$9:V$9)&gt;Projected_Income_Actual_Index),SUMIF(OFFSET($G$10,,,,Projected_Income_Actual_Index*2),V$10,OFFSET($G62,,,,Projected_Income_Actual_Index*2))/Projected_Income_Actual_Index,0)</f>
        <v>0</v>
      </c>
      <c r="W62" s="3227">
        <f ca="1">IF(AND(Project_Expenses_Extrapolate,COUNTA($F$9:W$9)&gt;Projected_Income_Actual_Index),SUMIF(OFFSET($G$10,,,,Projected_Income_Actual_Index*2),W$10,OFFSET($G62,,,,Projected_Income_Actual_Index*2))/Projected_Income_Actual_Index,0)</f>
        <v>0</v>
      </c>
      <c r="X62" s="3227">
        <f ca="1">IF(AND(Project_Expenses_Extrapolate,COUNTA($F$9:X$9)&gt;Projected_Income_Actual_Index),SUMIF(OFFSET($G$10,,,,Projected_Income_Actual_Index*2),X$10,OFFSET($G62,,,,Projected_Income_Actual_Index*2))/Projected_Income_Actual_Index,0)</f>
        <v>0</v>
      </c>
      <c r="Y62" s="3227">
        <f ca="1">IF(AND(Project_Expenses_Extrapolate,COUNTA($F$9:Y$9)&gt;Projected_Income_Actual_Index),SUMIF(OFFSET($G$10,,,,Projected_Income_Actual_Index*2),Y$10,OFFSET($G62,,,,Projected_Income_Actual_Index*2))/Projected_Income_Actual_Index,0)</f>
        <v>0</v>
      </c>
      <c r="Z62" s="3227">
        <f ca="1">IF(AND(Project_Expenses_Extrapolate,COUNTA($F$9:Z$9)&gt;Projected_Income_Actual_Index),SUMIF(OFFSET($G$10,,,,Projected_Income_Actual_Index*2),Z$10,OFFSET($G62,,,,Projected_Income_Actual_Index*2))/Projected_Income_Actual_Index,0)</f>
        <v>0</v>
      </c>
      <c r="AA62" s="3227">
        <f ca="1">IF(AND(Project_Expenses_Extrapolate,COUNTA($F$9:AA$9)&gt;Projected_Income_Actual_Index),SUMIF(OFFSET($G$10,,,,Projected_Income_Actual_Index*2),AA$10,OFFSET($G62,,,,Projected_Income_Actual_Index*2))/Projected_Income_Actual_Index,0)</f>
        <v>0</v>
      </c>
      <c r="AB62" s="3227">
        <f ca="1">IF(AND(Project_Expenses_Extrapolate,COUNTA($F$9:AB$9)&gt;Projected_Income_Actual_Index),SUMIF(OFFSET($G$10,,,,Projected_Income_Actual_Index*2),AB$10,OFFSET($G62,,,,Projected_Income_Actual_Index*2))/Projected_Income_Actual_Index,0)</f>
        <v>0</v>
      </c>
      <c r="AC62" s="3227">
        <f ca="1">IF(AND(Project_Expenses_Extrapolate,COUNTA($F$9:AC$9)&gt;Projected_Income_Actual_Index),SUMIF(OFFSET($G$10,,,,Projected_Income_Actual_Index*2),AC$10,OFFSET($G62,,,,Projected_Income_Actual_Index*2))/Projected_Income_Actual_Index,0)</f>
        <v>0</v>
      </c>
      <c r="AD62" s="3227">
        <f ca="1">IF(AND(Project_Expenses_Extrapolate,COUNTA($F$9:AD$9)&gt;Projected_Income_Actual_Index),SUMIF(OFFSET($G$10,,,,Projected_Income_Actual_Index*2),AD$10,OFFSET($G62,,,,Projected_Income_Actual_Index*2))/Projected_Income_Actual_Index,0)</f>
        <v>0</v>
      </c>
      <c r="AE62" s="3227">
        <f t="shared" ca="1" si="16"/>
        <v>0</v>
      </c>
      <c r="AF62" s="3227">
        <f t="shared" ca="1" si="16"/>
        <v>0</v>
      </c>
      <c r="AG62" s="2543">
        <f t="shared" ca="1" si="17"/>
        <v>0</v>
      </c>
      <c r="AH62" s="3227">
        <v>0</v>
      </c>
      <c r="AI62" s="3227">
        <v>0</v>
      </c>
      <c r="AJ62" s="3231">
        <v>0</v>
      </c>
      <c r="AK62" s="2548" t="s">
        <v>2280</v>
      </c>
      <c r="AL62" s="1111"/>
      <c r="AM62" s="1111"/>
      <c r="AQ62" s="3283">
        <f t="shared" ca="1" si="3"/>
        <v>0</v>
      </c>
    </row>
    <row r="63" spans="1:43" s="1063" customFormat="1" ht="20.25">
      <c r="A63" s="979" t="s">
        <v>871</v>
      </c>
      <c r="C63" s="979"/>
      <c r="D63" s="979"/>
      <c r="E63" s="979"/>
      <c r="F63" s="979"/>
      <c r="G63" s="3227">
        <v>0</v>
      </c>
      <c r="H63" s="3227">
        <v>0</v>
      </c>
      <c r="I63" s="3227">
        <f ca="1">IF(AND(Project_Expenses_Extrapolate,COUNTA($F$9:I$9)&gt;Projected_Income_Actual_Index),SUMIF(OFFSET($G$10,,,,Projected_Income_Actual_Index*2),I$10,OFFSET($G63,,,,Projected_Income_Actual_Index*2))/Projected_Income_Actual_Index,0)</f>
        <v>0</v>
      </c>
      <c r="J63" s="3227">
        <f ca="1">IF(AND(Project_Expenses_Extrapolate,COUNTA($F$9:J$9)&gt;Projected_Income_Actual_Index),SUMIF(OFFSET($G$10,,,,Projected_Income_Actual_Index*2),J$10,OFFSET($G63,,,,Projected_Income_Actual_Index*2))/Projected_Income_Actual_Index,0)</f>
        <v>0</v>
      </c>
      <c r="K63" s="3227">
        <f ca="1">IF(AND(Project_Expenses_Extrapolate,COUNTA($F$9:K$9)&gt;Projected_Income_Actual_Index),SUMIF(OFFSET($G$10,,,,Projected_Income_Actual_Index*2),K$10,OFFSET($G63,,,,Projected_Income_Actual_Index*2))/Projected_Income_Actual_Index,0)</f>
        <v>0</v>
      </c>
      <c r="L63" s="3227">
        <f ca="1">IF(AND(Project_Expenses_Extrapolate,COUNTA($F$9:L$9)&gt;Projected_Income_Actual_Index),SUMIF(OFFSET($G$10,,,,Projected_Income_Actual_Index*2),L$10,OFFSET($G63,,,,Projected_Income_Actual_Index*2))/Projected_Income_Actual_Index,0)</f>
        <v>0</v>
      </c>
      <c r="M63" s="3227">
        <f ca="1">IF(AND(Project_Expenses_Extrapolate,COUNTA($F$9:M$9)&gt;Projected_Income_Actual_Index),SUMIF(OFFSET($G$10,,,,Projected_Income_Actual_Index*2),M$10,OFFSET($G63,,,,Projected_Income_Actual_Index*2))/Projected_Income_Actual_Index,0)</f>
        <v>0</v>
      </c>
      <c r="N63" s="3227">
        <f ca="1">IF(AND(Project_Expenses_Extrapolate,COUNTA($F$9:N$9)&gt;Projected_Income_Actual_Index),SUMIF(OFFSET($G$10,,,,Projected_Income_Actual_Index*2),N$10,OFFSET($G63,,,,Projected_Income_Actual_Index*2))/Projected_Income_Actual_Index,0)</f>
        <v>0</v>
      </c>
      <c r="O63" s="3227">
        <f ca="1">IF(AND(Project_Expenses_Extrapolate,COUNTA($F$9:O$9)&gt;Projected_Income_Actual_Index),SUMIF(OFFSET($G$10,,,,Projected_Income_Actual_Index*2),O$10,OFFSET($G63,,,,Projected_Income_Actual_Index*2))/Projected_Income_Actual_Index,0)</f>
        <v>0</v>
      </c>
      <c r="P63" s="3227">
        <f ca="1">IF(AND(Project_Expenses_Extrapolate,COUNTA($F$9:P$9)&gt;Projected_Income_Actual_Index),SUMIF(OFFSET($G$10,,,,Projected_Income_Actual_Index*2),P$10,OFFSET($G63,,,,Projected_Income_Actual_Index*2))/Projected_Income_Actual_Index,0)</f>
        <v>0</v>
      </c>
      <c r="Q63" s="3227">
        <f ca="1">IF(AND(Project_Expenses_Extrapolate,COUNTA($F$9:Q$9)&gt;Projected_Income_Actual_Index),SUMIF(OFFSET($G$10,,,,Projected_Income_Actual_Index*2),Q$10,OFFSET($G63,,,,Projected_Income_Actual_Index*2))/Projected_Income_Actual_Index,0)</f>
        <v>0</v>
      </c>
      <c r="R63" s="3227">
        <f ca="1">IF(AND(Project_Expenses_Extrapolate,COUNTA($F$9:R$9)&gt;Projected_Income_Actual_Index),SUMIF(OFFSET($G$10,,,,Projected_Income_Actual_Index*2),R$10,OFFSET($G63,,,,Projected_Income_Actual_Index*2))/Projected_Income_Actual_Index,0)</f>
        <v>0</v>
      </c>
      <c r="S63" s="3227">
        <f ca="1">IF(AND(Project_Expenses_Extrapolate,COUNTA($F$9:S$9)&gt;Projected_Income_Actual_Index),SUMIF(OFFSET($G$10,,,,Projected_Income_Actual_Index*2),S$10,OFFSET($G63,,,,Projected_Income_Actual_Index*2))/Projected_Income_Actual_Index,0)</f>
        <v>0</v>
      </c>
      <c r="T63" s="3227">
        <f ca="1">IF(AND(Project_Expenses_Extrapolate,COUNTA($F$9:T$9)&gt;Projected_Income_Actual_Index),SUMIF(OFFSET($G$10,,,,Projected_Income_Actual_Index*2),T$10,OFFSET($G63,,,,Projected_Income_Actual_Index*2))/Projected_Income_Actual_Index,0)</f>
        <v>0</v>
      </c>
      <c r="U63" s="3227">
        <f ca="1">IF(AND(Project_Expenses_Extrapolate,COUNTA($F$9:U$9)&gt;Projected_Income_Actual_Index),SUMIF(OFFSET($G$10,,,,Projected_Income_Actual_Index*2),U$10,OFFSET($G63,,,,Projected_Income_Actual_Index*2))/Projected_Income_Actual_Index,0)</f>
        <v>0</v>
      </c>
      <c r="V63" s="3227">
        <f ca="1">IF(AND(Project_Expenses_Extrapolate,COUNTA($F$9:V$9)&gt;Projected_Income_Actual_Index),SUMIF(OFFSET($G$10,,,,Projected_Income_Actual_Index*2),V$10,OFFSET($G63,,,,Projected_Income_Actual_Index*2))/Projected_Income_Actual_Index,0)</f>
        <v>0</v>
      </c>
      <c r="W63" s="3227">
        <f ca="1">IF(AND(Project_Expenses_Extrapolate,COUNTA($F$9:W$9)&gt;Projected_Income_Actual_Index),SUMIF(OFFSET($G$10,,,,Projected_Income_Actual_Index*2),W$10,OFFSET($G63,,,,Projected_Income_Actual_Index*2))/Projected_Income_Actual_Index,0)</f>
        <v>0</v>
      </c>
      <c r="X63" s="3227">
        <f ca="1">IF(AND(Project_Expenses_Extrapolate,COUNTA($F$9:X$9)&gt;Projected_Income_Actual_Index),SUMIF(OFFSET($G$10,,,,Projected_Income_Actual_Index*2),X$10,OFFSET($G63,,,,Projected_Income_Actual_Index*2))/Projected_Income_Actual_Index,0)</f>
        <v>0</v>
      </c>
      <c r="Y63" s="3227">
        <f ca="1">IF(AND(Project_Expenses_Extrapolate,COUNTA($F$9:Y$9)&gt;Projected_Income_Actual_Index),SUMIF(OFFSET($G$10,,,,Projected_Income_Actual_Index*2),Y$10,OFFSET($G63,,,,Projected_Income_Actual_Index*2))/Projected_Income_Actual_Index,0)</f>
        <v>0</v>
      </c>
      <c r="Z63" s="3227">
        <f ca="1">IF(AND(Project_Expenses_Extrapolate,COUNTA($F$9:Z$9)&gt;Projected_Income_Actual_Index),SUMIF(OFFSET($G$10,,,,Projected_Income_Actual_Index*2),Z$10,OFFSET($G63,,,,Projected_Income_Actual_Index*2))/Projected_Income_Actual_Index,0)</f>
        <v>0</v>
      </c>
      <c r="AA63" s="3227">
        <f ca="1">IF(AND(Project_Expenses_Extrapolate,COUNTA($F$9:AA$9)&gt;Projected_Income_Actual_Index),SUMIF(OFFSET($G$10,,,,Projected_Income_Actual_Index*2),AA$10,OFFSET($G63,,,,Projected_Income_Actual_Index*2))/Projected_Income_Actual_Index,0)</f>
        <v>0</v>
      </c>
      <c r="AB63" s="3227">
        <f ca="1">IF(AND(Project_Expenses_Extrapolate,COUNTA($F$9:AB$9)&gt;Projected_Income_Actual_Index),SUMIF(OFFSET($G$10,,,,Projected_Income_Actual_Index*2),AB$10,OFFSET($G63,,,,Projected_Income_Actual_Index*2))/Projected_Income_Actual_Index,0)</f>
        <v>0</v>
      </c>
      <c r="AC63" s="3227">
        <f ca="1">IF(AND(Project_Expenses_Extrapolate,COUNTA($F$9:AC$9)&gt;Projected_Income_Actual_Index),SUMIF(OFFSET($G$10,,,,Projected_Income_Actual_Index*2),AC$10,OFFSET($G63,,,,Projected_Income_Actual_Index*2))/Projected_Income_Actual_Index,0)</f>
        <v>0</v>
      </c>
      <c r="AD63" s="3227">
        <f ca="1">IF(AND(Project_Expenses_Extrapolate,COUNTA($F$9:AD$9)&gt;Projected_Income_Actual_Index),SUMIF(OFFSET($G$10,,,,Projected_Income_Actual_Index*2),AD$10,OFFSET($G63,,,,Projected_Income_Actual_Index*2))/Projected_Income_Actual_Index,0)</f>
        <v>0</v>
      </c>
      <c r="AE63" s="3227">
        <f t="shared" ca="1" si="16"/>
        <v>0</v>
      </c>
      <c r="AF63" s="3227">
        <f t="shared" ca="1" si="16"/>
        <v>0</v>
      </c>
      <c r="AG63" s="2543">
        <f t="shared" ca="1" si="17"/>
        <v>0</v>
      </c>
      <c r="AH63" s="3227">
        <v>0</v>
      </c>
      <c r="AI63" s="3227">
        <v>0</v>
      </c>
      <c r="AJ63" s="3231">
        <v>0</v>
      </c>
      <c r="AK63" s="2548" t="s">
        <v>2280</v>
      </c>
      <c r="AL63" s="1111"/>
      <c r="AM63" s="1111"/>
      <c r="AQ63" s="3283">
        <f t="shared" ca="1" si="3"/>
        <v>0</v>
      </c>
    </row>
    <row r="64" spans="1:43" s="1063" customFormat="1" ht="20.25">
      <c r="A64" s="979" t="s">
        <v>872</v>
      </c>
      <c r="C64" s="979"/>
      <c r="D64" s="979"/>
      <c r="E64" s="979"/>
      <c r="F64" s="979"/>
      <c r="G64" s="3227">
        <v>0</v>
      </c>
      <c r="H64" s="3227">
        <v>0</v>
      </c>
      <c r="I64" s="3227">
        <f ca="1">IF(AND(Project_Expenses_Extrapolate,COUNTA($F$9:I$9)&gt;Projected_Income_Actual_Index),SUMIF(OFFSET($G$10,,,,Projected_Income_Actual_Index*2),I$10,OFFSET($G64,,,,Projected_Income_Actual_Index*2))/Projected_Income_Actual_Index,0)</f>
        <v>0</v>
      </c>
      <c r="J64" s="3227">
        <f ca="1">IF(AND(Project_Expenses_Extrapolate,COUNTA($F$9:J$9)&gt;Projected_Income_Actual_Index),SUMIF(OFFSET($G$10,,,,Projected_Income_Actual_Index*2),J$10,OFFSET($G64,,,,Projected_Income_Actual_Index*2))/Projected_Income_Actual_Index,0)</f>
        <v>0</v>
      </c>
      <c r="K64" s="3227">
        <f ca="1">IF(AND(Project_Expenses_Extrapolate,COUNTA($F$9:K$9)&gt;Projected_Income_Actual_Index),SUMIF(OFFSET($G$10,,,,Projected_Income_Actual_Index*2),K$10,OFFSET($G64,,,,Projected_Income_Actual_Index*2))/Projected_Income_Actual_Index,0)</f>
        <v>0</v>
      </c>
      <c r="L64" s="3227">
        <f ca="1">IF(AND(Project_Expenses_Extrapolate,COUNTA($F$9:L$9)&gt;Projected_Income_Actual_Index),SUMIF(OFFSET($G$10,,,,Projected_Income_Actual_Index*2),L$10,OFFSET($G64,,,,Projected_Income_Actual_Index*2))/Projected_Income_Actual_Index,0)</f>
        <v>0</v>
      </c>
      <c r="M64" s="3227">
        <f ca="1">IF(AND(Project_Expenses_Extrapolate,COUNTA($F$9:M$9)&gt;Projected_Income_Actual_Index),SUMIF(OFFSET($G$10,,,,Projected_Income_Actual_Index*2),M$10,OFFSET($G64,,,,Projected_Income_Actual_Index*2))/Projected_Income_Actual_Index,0)</f>
        <v>0</v>
      </c>
      <c r="N64" s="3227">
        <f ca="1">IF(AND(Project_Expenses_Extrapolate,COUNTA($F$9:N$9)&gt;Projected_Income_Actual_Index),SUMIF(OFFSET($G$10,,,,Projected_Income_Actual_Index*2),N$10,OFFSET($G64,,,,Projected_Income_Actual_Index*2))/Projected_Income_Actual_Index,0)</f>
        <v>0</v>
      </c>
      <c r="O64" s="3227">
        <f ca="1">IF(AND(Project_Expenses_Extrapolate,COUNTA($F$9:O$9)&gt;Projected_Income_Actual_Index),SUMIF(OFFSET($G$10,,,,Projected_Income_Actual_Index*2),O$10,OFFSET($G64,,,,Projected_Income_Actual_Index*2))/Projected_Income_Actual_Index,0)</f>
        <v>0</v>
      </c>
      <c r="P64" s="3227">
        <f ca="1">IF(AND(Project_Expenses_Extrapolate,COUNTA($F$9:P$9)&gt;Projected_Income_Actual_Index),SUMIF(OFFSET($G$10,,,,Projected_Income_Actual_Index*2),P$10,OFFSET($G64,,,,Projected_Income_Actual_Index*2))/Projected_Income_Actual_Index,0)</f>
        <v>0</v>
      </c>
      <c r="Q64" s="3227">
        <f ca="1">IF(AND(Project_Expenses_Extrapolate,COUNTA($F$9:Q$9)&gt;Projected_Income_Actual_Index),SUMIF(OFFSET($G$10,,,,Projected_Income_Actual_Index*2),Q$10,OFFSET($G64,,,,Projected_Income_Actual_Index*2))/Projected_Income_Actual_Index,0)</f>
        <v>0</v>
      </c>
      <c r="R64" s="3227">
        <f ca="1">IF(AND(Project_Expenses_Extrapolate,COUNTA($F$9:R$9)&gt;Projected_Income_Actual_Index),SUMIF(OFFSET($G$10,,,,Projected_Income_Actual_Index*2),R$10,OFFSET($G64,,,,Projected_Income_Actual_Index*2))/Projected_Income_Actual_Index,0)</f>
        <v>0</v>
      </c>
      <c r="S64" s="3227">
        <f ca="1">IF(AND(Project_Expenses_Extrapolate,COUNTA($F$9:S$9)&gt;Projected_Income_Actual_Index),SUMIF(OFFSET($G$10,,,,Projected_Income_Actual_Index*2),S$10,OFFSET($G64,,,,Projected_Income_Actual_Index*2))/Projected_Income_Actual_Index,0)</f>
        <v>0</v>
      </c>
      <c r="T64" s="3227">
        <f ca="1">IF(AND(Project_Expenses_Extrapolate,COUNTA($F$9:T$9)&gt;Projected_Income_Actual_Index),SUMIF(OFFSET($G$10,,,,Projected_Income_Actual_Index*2),T$10,OFFSET($G64,,,,Projected_Income_Actual_Index*2))/Projected_Income_Actual_Index,0)</f>
        <v>0</v>
      </c>
      <c r="U64" s="3227">
        <f ca="1">IF(AND(Project_Expenses_Extrapolate,COUNTA($F$9:U$9)&gt;Projected_Income_Actual_Index),SUMIF(OFFSET($G$10,,,,Projected_Income_Actual_Index*2),U$10,OFFSET($G64,,,,Projected_Income_Actual_Index*2))/Projected_Income_Actual_Index,0)</f>
        <v>0</v>
      </c>
      <c r="V64" s="3227">
        <f ca="1">IF(AND(Project_Expenses_Extrapolate,COUNTA($F$9:V$9)&gt;Projected_Income_Actual_Index),SUMIF(OFFSET($G$10,,,,Projected_Income_Actual_Index*2),V$10,OFFSET($G64,,,,Projected_Income_Actual_Index*2))/Projected_Income_Actual_Index,0)</f>
        <v>0</v>
      </c>
      <c r="W64" s="3227">
        <f ca="1">IF(AND(Project_Expenses_Extrapolate,COUNTA($F$9:W$9)&gt;Projected_Income_Actual_Index),SUMIF(OFFSET($G$10,,,,Projected_Income_Actual_Index*2),W$10,OFFSET($G64,,,,Projected_Income_Actual_Index*2))/Projected_Income_Actual_Index,0)</f>
        <v>0</v>
      </c>
      <c r="X64" s="3227">
        <f ca="1">IF(AND(Project_Expenses_Extrapolate,COUNTA($F$9:X$9)&gt;Projected_Income_Actual_Index),SUMIF(OFFSET($G$10,,,,Projected_Income_Actual_Index*2),X$10,OFFSET($G64,,,,Projected_Income_Actual_Index*2))/Projected_Income_Actual_Index,0)</f>
        <v>0</v>
      </c>
      <c r="Y64" s="3227">
        <f ca="1">IF(AND(Project_Expenses_Extrapolate,COUNTA($F$9:Y$9)&gt;Projected_Income_Actual_Index),SUMIF(OFFSET($G$10,,,,Projected_Income_Actual_Index*2),Y$10,OFFSET($G64,,,,Projected_Income_Actual_Index*2))/Projected_Income_Actual_Index,0)</f>
        <v>0</v>
      </c>
      <c r="Z64" s="3227">
        <f ca="1">IF(AND(Project_Expenses_Extrapolate,COUNTA($F$9:Z$9)&gt;Projected_Income_Actual_Index),SUMIF(OFFSET($G$10,,,,Projected_Income_Actual_Index*2),Z$10,OFFSET($G64,,,,Projected_Income_Actual_Index*2))/Projected_Income_Actual_Index,0)</f>
        <v>0</v>
      </c>
      <c r="AA64" s="3227">
        <f ca="1">IF(AND(Project_Expenses_Extrapolate,COUNTA($F$9:AA$9)&gt;Projected_Income_Actual_Index),SUMIF(OFFSET($G$10,,,,Projected_Income_Actual_Index*2),AA$10,OFFSET($G64,,,,Projected_Income_Actual_Index*2))/Projected_Income_Actual_Index,0)</f>
        <v>0</v>
      </c>
      <c r="AB64" s="3227">
        <f ca="1">IF(AND(Project_Expenses_Extrapolate,COUNTA($F$9:AB$9)&gt;Projected_Income_Actual_Index),SUMIF(OFFSET($G$10,,,,Projected_Income_Actual_Index*2),AB$10,OFFSET($G64,,,,Projected_Income_Actual_Index*2))/Projected_Income_Actual_Index,0)</f>
        <v>0</v>
      </c>
      <c r="AC64" s="3227">
        <f ca="1">IF(AND(Project_Expenses_Extrapolate,COUNTA($F$9:AC$9)&gt;Projected_Income_Actual_Index),SUMIF(OFFSET($G$10,,,,Projected_Income_Actual_Index*2),AC$10,OFFSET($G64,,,,Projected_Income_Actual_Index*2))/Projected_Income_Actual_Index,0)</f>
        <v>0</v>
      </c>
      <c r="AD64" s="3227">
        <f ca="1">IF(AND(Project_Expenses_Extrapolate,COUNTA($F$9:AD$9)&gt;Projected_Income_Actual_Index),SUMIF(OFFSET($G$10,,,,Projected_Income_Actual_Index*2),AD$10,OFFSET($G64,,,,Projected_Income_Actual_Index*2))/Projected_Income_Actual_Index,0)</f>
        <v>0</v>
      </c>
      <c r="AE64" s="3227">
        <f t="shared" ca="1" si="16"/>
        <v>0</v>
      </c>
      <c r="AF64" s="3227">
        <f t="shared" ca="1" si="16"/>
        <v>0</v>
      </c>
      <c r="AG64" s="2543">
        <f t="shared" ca="1" si="17"/>
        <v>0</v>
      </c>
      <c r="AH64" s="3227">
        <v>0</v>
      </c>
      <c r="AI64" s="3227">
        <v>0</v>
      </c>
      <c r="AJ64" s="3231">
        <v>0</v>
      </c>
      <c r="AK64" s="2548" t="s">
        <v>2280</v>
      </c>
      <c r="AL64" s="1111"/>
      <c r="AM64" s="1111"/>
      <c r="AQ64" s="3283">
        <f t="shared" ca="1" si="3"/>
        <v>0</v>
      </c>
    </row>
    <row r="65" spans="1:43" s="1063" customFormat="1" ht="20.25">
      <c r="A65" s="979" t="s">
        <v>873</v>
      </c>
      <c r="C65" s="979"/>
      <c r="D65" s="979"/>
      <c r="E65" s="979"/>
      <c r="F65" s="979"/>
      <c r="G65" s="3227">
        <v>0</v>
      </c>
      <c r="H65" s="3227">
        <v>0</v>
      </c>
      <c r="I65" s="3227">
        <f ca="1">IF(AND(Project_Expenses_Extrapolate,COUNTA($F$9:I$9)&gt;Projected_Income_Actual_Index),SUMIF(OFFSET($G$10,,,,Projected_Income_Actual_Index*2),I$10,OFFSET($G65,,,,Projected_Income_Actual_Index*2))/Projected_Income_Actual_Index,0)</f>
        <v>0</v>
      </c>
      <c r="J65" s="3227">
        <f ca="1">IF(AND(Project_Expenses_Extrapolate,COUNTA($F$9:J$9)&gt;Projected_Income_Actual_Index),SUMIF(OFFSET($G$10,,,,Projected_Income_Actual_Index*2),J$10,OFFSET($G65,,,,Projected_Income_Actual_Index*2))/Projected_Income_Actual_Index,0)</f>
        <v>0</v>
      </c>
      <c r="K65" s="3227">
        <f ca="1">IF(AND(Project_Expenses_Extrapolate,COUNTA($F$9:K$9)&gt;Projected_Income_Actual_Index),SUMIF(OFFSET($G$10,,,,Projected_Income_Actual_Index*2),K$10,OFFSET($G65,,,,Projected_Income_Actual_Index*2))/Projected_Income_Actual_Index,0)</f>
        <v>0</v>
      </c>
      <c r="L65" s="3227">
        <f ca="1">IF(AND(Project_Expenses_Extrapolate,COUNTA($F$9:L$9)&gt;Projected_Income_Actual_Index),SUMIF(OFFSET($G$10,,,,Projected_Income_Actual_Index*2),L$10,OFFSET($G65,,,,Projected_Income_Actual_Index*2))/Projected_Income_Actual_Index,0)</f>
        <v>0</v>
      </c>
      <c r="M65" s="3227">
        <f ca="1">IF(AND(Project_Expenses_Extrapolate,COUNTA($F$9:M$9)&gt;Projected_Income_Actual_Index),SUMIF(OFFSET($G$10,,,,Projected_Income_Actual_Index*2),M$10,OFFSET($G65,,,,Projected_Income_Actual_Index*2))/Projected_Income_Actual_Index,0)</f>
        <v>0</v>
      </c>
      <c r="N65" s="3227">
        <f ca="1">IF(AND(Project_Expenses_Extrapolate,COUNTA($F$9:N$9)&gt;Projected_Income_Actual_Index),SUMIF(OFFSET($G$10,,,,Projected_Income_Actual_Index*2),N$10,OFFSET($G65,,,,Projected_Income_Actual_Index*2))/Projected_Income_Actual_Index,0)</f>
        <v>0</v>
      </c>
      <c r="O65" s="3227">
        <f ca="1">IF(AND(Project_Expenses_Extrapolate,COUNTA($F$9:O$9)&gt;Projected_Income_Actual_Index),SUMIF(OFFSET($G$10,,,,Projected_Income_Actual_Index*2),O$10,OFFSET($G65,,,,Projected_Income_Actual_Index*2))/Projected_Income_Actual_Index,0)</f>
        <v>0</v>
      </c>
      <c r="P65" s="3227">
        <f ca="1">IF(AND(Project_Expenses_Extrapolate,COUNTA($F$9:P$9)&gt;Projected_Income_Actual_Index),SUMIF(OFFSET($G$10,,,,Projected_Income_Actual_Index*2),P$10,OFFSET($G65,,,,Projected_Income_Actual_Index*2))/Projected_Income_Actual_Index,0)</f>
        <v>0</v>
      </c>
      <c r="Q65" s="3227">
        <f ca="1">IF(AND(Project_Expenses_Extrapolate,COUNTA($F$9:Q$9)&gt;Projected_Income_Actual_Index),SUMIF(OFFSET($G$10,,,,Projected_Income_Actual_Index*2),Q$10,OFFSET($G65,,,,Projected_Income_Actual_Index*2))/Projected_Income_Actual_Index,0)</f>
        <v>0</v>
      </c>
      <c r="R65" s="3227">
        <f ca="1">IF(AND(Project_Expenses_Extrapolate,COUNTA($F$9:R$9)&gt;Projected_Income_Actual_Index),SUMIF(OFFSET($G$10,,,,Projected_Income_Actual_Index*2),R$10,OFFSET($G65,,,,Projected_Income_Actual_Index*2))/Projected_Income_Actual_Index,0)</f>
        <v>0</v>
      </c>
      <c r="S65" s="3227">
        <f ca="1">IF(AND(Project_Expenses_Extrapolate,COUNTA($F$9:S$9)&gt;Projected_Income_Actual_Index),SUMIF(OFFSET($G$10,,,,Projected_Income_Actual_Index*2),S$10,OFFSET($G65,,,,Projected_Income_Actual_Index*2))/Projected_Income_Actual_Index,0)</f>
        <v>0</v>
      </c>
      <c r="T65" s="3227">
        <f ca="1">IF(AND(Project_Expenses_Extrapolate,COUNTA($F$9:T$9)&gt;Projected_Income_Actual_Index),SUMIF(OFFSET($G$10,,,,Projected_Income_Actual_Index*2),T$10,OFFSET($G65,,,,Projected_Income_Actual_Index*2))/Projected_Income_Actual_Index,0)</f>
        <v>0</v>
      </c>
      <c r="U65" s="3227">
        <f ca="1">IF(AND(Project_Expenses_Extrapolate,COUNTA($F$9:U$9)&gt;Projected_Income_Actual_Index),SUMIF(OFFSET($G$10,,,,Projected_Income_Actual_Index*2),U$10,OFFSET($G65,,,,Projected_Income_Actual_Index*2))/Projected_Income_Actual_Index,0)</f>
        <v>0</v>
      </c>
      <c r="V65" s="3227">
        <f ca="1">IF(AND(Project_Expenses_Extrapolate,COUNTA($F$9:V$9)&gt;Projected_Income_Actual_Index),SUMIF(OFFSET($G$10,,,,Projected_Income_Actual_Index*2),V$10,OFFSET($G65,,,,Projected_Income_Actual_Index*2))/Projected_Income_Actual_Index,0)</f>
        <v>0</v>
      </c>
      <c r="W65" s="3227">
        <f ca="1">IF(AND(Project_Expenses_Extrapolate,COUNTA($F$9:W$9)&gt;Projected_Income_Actual_Index),SUMIF(OFFSET($G$10,,,,Projected_Income_Actual_Index*2),W$10,OFFSET($G65,,,,Projected_Income_Actual_Index*2))/Projected_Income_Actual_Index,0)</f>
        <v>0</v>
      </c>
      <c r="X65" s="3227">
        <f ca="1">IF(AND(Project_Expenses_Extrapolate,COUNTA($F$9:X$9)&gt;Projected_Income_Actual_Index),SUMIF(OFFSET($G$10,,,,Projected_Income_Actual_Index*2),X$10,OFFSET($G65,,,,Projected_Income_Actual_Index*2))/Projected_Income_Actual_Index,0)</f>
        <v>0</v>
      </c>
      <c r="Y65" s="3227">
        <f ca="1">IF(AND(Project_Expenses_Extrapolate,COUNTA($F$9:Y$9)&gt;Projected_Income_Actual_Index),SUMIF(OFFSET($G$10,,,,Projected_Income_Actual_Index*2),Y$10,OFFSET($G65,,,,Projected_Income_Actual_Index*2))/Projected_Income_Actual_Index,0)</f>
        <v>0</v>
      </c>
      <c r="Z65" s="3227">
        <f ca="1">IF(AND(Project_Expenses_Extrapolate,COUNTA($F$9:Z$9)&gt;Projected_Income_Actual_Index),SUMIF(OFFSET($G$10,,,,Projected_Income_Actual_Index*2),Z$10,OFFSET($G65,,,,Projected_Income_Actual_Index*2))/Projected_Income_Actual_Index,0)</f>
        <v>0</v>
      </c>
      <c r="AA65" s="3227">
        <f ca="1">IF(AND(Project_Expenses_Extrapolate,COUNTA($F$9:AA$9)&gt;Projected_Income_Actual_Index),SUMIF(OFFSET($G$10,,,,Projected_Income_Actual_Index*2),AA$10,OFFSET($G65,,,,Projected_Income_Actual_Index*2))/Projected_Income_Actual_Index,0)</f>
        <v>0</v>
      </c>
      <c r="AB65" s="3227">
        <v>0</v>
      </c>
      <c r="AC65" s="3227">
        <f ca="1">IF(AND(Project_Expenses_Extrapolate,COUNTA($F$9:AC$9)&gt;Projected_Income_Actual_Index),SUMIF(OFFSET($G$10,,,,Projected_Income_Actual_Index*2),AC$10,OFFSET($G65,,,,Projected_Income_Actual_Index*2))/Projected_Income_Actual_Index,0)</f>
        <v>0</v>
      </c>
      <c r="AD65" s="3227">
        <f ca="1">IF(AND(Project_Expenses_Extrapolate,COUNTA($F$9:AD$9)&gt;Projected_Income_Actual_Index),SUMIF(OFFSET($G$10,,,,Projected_Income_Actual_Index*2),AD$10,OFFSET($G65,,,,Projected_Income_Actual_Index*2))/Projected_Income_Actual_Index,0)</f>
        <v>0</v>
      </c>
      <c r="AE65" s="3227">
        <v>0</v>
      </c>
      <c r="AF65" s="3227">
        <v>0</v>
      </c>
      <c r="AG65" s="2543">
        <f t="shared" si="17"/>
        <v>0</v>
      </c>
      <c r="AH65" s="3227">
        <v>0</v>
      </c>
      <c r="AI65" s="3227">
        <v>0</v>
      </c>
      <c r="AJ65" s="3231">
        <v>0</v>
      </c>
      <c r="AK65" s="2548" t="s">
        <v>2280</v>
      </c>
      <c r="AL65" s="1111"/>
      <c r="AM65" s="1111"/>
      <c r="AQ65" s="3283">
        <f t="shared" si="3"/>
        <v>0</v>
      </c>
    </row>
    <row r="66" spans="1:43" s="1063" customFormat="1" ht="20.25">
      <c r="A66" s="979"/>
      <c r="B66" s="979"/>
      <c r="C66" s="979"/>
      <c r="D66" s="979"/>
      <c r="E66" s="979"/>
      <c r="F66" s="979"/>
      <c r="G66" s="1292"/>
      <c r="H66" s="1292"/>
      <c r="I66" s="1292"/>
      <c r="J66" s="1292"/>
      <c r="K66" s="1292"/>
      <c r="L66" s="1292"/>
      <c r="M66" s="1292"/>
      <c r="N66" s="1292"/>
      <c r="O66" s="1292"/>
      <c r="P66" s="1292"/>
      <c r="Q66" s="1292"/>
      <c r="R66" s="1292"/>
      <c r="S66" s="1292"/>
      <c r="T66" s="1292"/>
      <c r="U66" s="1292"/>
      <c r="V66" s="1292"/>
      <c r="W66" s="1292"/>
      <c r="X66" s="1292"/>
      <c r="Y66" s="1292"/>
      <c r="Z66" s="1292"/>
      <c r="AA66" s="1292"/>
      <c r="AB66" s="1292"/>
      <c r="AC66" s="1292"/>
      <c r="AD66" s="1292"/>
      <c r="AE66" s="3228"/>
      <c r="AF66" s="3228"/>
      <c r="AG66" s="2543"/>
      <c r="AH66" s="1061"/>
      <c r="AI66" s="1061"/>
      <c r="AJ66" s="2546"/>
      <c r="AK66" s="2549"/>
      <c r="AL66" s="1111"/>
      <c r="AM66" s="1111"/>
    </row>
    <row r="67" spans="1:43" s="1063" customFormat="1" ht="20.25" customHeight="1">
      <c r="A67" s="3281" t="s">
        <v>1628</v>
      </c>
      <c r="B67" s="1121"/>
      <c r="C67" s="1121"/>
      <c r="D67" s="1121"/>
      <c r="E67" s="1121"/>
      <c r="F67" s="1121"/>
      <c r="G67" s="3229">
        <f>SUM(G38:G65)+G33</f>
        <v>0</v>
      </c>
      <c r="H67" s="3229">
        <f t="shared" ref="H67:AF67" si="18">SUM(H38:H65)+H33</f>
        <v>0</v>
      </c>
      <c r="I67" s="3229">
        <f t="shared" ca="1" si="18"/>
        <v>0</v>
      </c>
      <c r="J67" s="3229">
        <f t="shared" ca="1" si="18"/>
        <v>0</v>
      </c>
      <c r="K67" s="3229">
        <f t="shared" ca="1" si="18"/>
        <v>0</v>
      </c>
      <c r="L67" s="3229">
        <f t="shared" ca="1" si="18"/>
        <v>0</v>
      </c>
      <c r="M67" s="3229">
        <f t="shared" ca="1" si="18"/>
        <v>0</v>
      </c>
      <c r="N67" s="3229">
        <f t="shared" ca="1" si="18"/>
        <v>0</v>
      </c>
      <c r="O67" s="3229">
        <f t="shared" ca="1" si="18"/>
        <v>0</v>
      </c>
      <c r="P67" s="3229">
        <f t="shared" ca="1" si="18"/>
        <v>0</v>
      </c>
      <c r="Q67" s="3229">
        <f t="shared" ca="1" si="18"/>
        <v>0</v>
      </c>
      <c r="R67" s="3229">
        <f t="shared" ca="1" si="18"/>
        <v>0</v>
      </c>
      <c r="S67" s="3229">
        <f t="shared" ca="1" si="18"/>
        <v>0</v>
      </c>
      <c r="T67" s="3229">
        <f t="shared" ca="1" si="18"/>
        <v>0</v>
      </c>
      <c r="U67" s="3229">
        <f t="shared" ca="1" si="18"/>
        <v>0</v>
      </c>
      <c r="V67" s="3229">
        <f t="shared" ca="1" si="18"/>
        <v>0</v>
      </c>
      <c r="W67" s="3229">
        <f t="shared" ca="1" si="18"/>
        <v>0</v>
      </c>
      <c r="X67" s="3229">
        <f t="shared" ca="1" si="18"/>
        <v>0</v>
      </c>
      <c r="Y67" s="3229">
        <f t="shared" ca="1" si="18"/>
        <v>0</v>
      </c>
      <c r="Z67" s="3229">
        <f t="shared" ca="1" si="18"/>
        <v>0</v>
      </c>
      <c r="AA67" s="3229">
        <f t="shared" ca="1" si="18"/>
        <v>0</v>
      </c>
      <c r="AB67" s="3229">
        <f t="shared" ca="1" si="18"/>
        <v>0</v>
      </c>
      <c r="AC67" s="3229">
        <f t="shared" ca="1" si="18"/>
        <v>0</v>
      </c>
      <c r="AD67" s="3229">
        <f t="shared" ca="1" si="18"/>
        <v>0</v>
      </c>
      <c r="AE67" s="3229">
        <f t="shared" ca="1" si="18"/>
        <v>0</v>
      </c>
      <c r="AF67" s="3229">
        <f t="shared" ca="1" si="18"/>
        <v>0</v>
      </c>
      <c r="AG67" s="2543">
        <f t="shared" ca="1" si="17"/>
        <v>0</v>
      </c>
      <c r="AH67" s="3229">
        <f>SUM(AH38:AH65)+AH33</f>
        <v>0</v>
      </c>
      <c r="AI67" s="3229">
        <f>SUM(AI38:AI65)+AI33</f>
        <v>0</v>
      </c>
      <c r="AJ67" s="3236">
        <f>SUM(AJ38:AJ65)+AJ33</f>
        <v>0</v>
      </c>
      <c r="AK67" s="2548" t="s">
        <v>2280</v>
      </c>
      <c r="AL67" s="1111"/>
      <c r="AM67" s="1111"/>
    </row>
    <row r="68" spans="1:43" s="1063" customFormat="1" ht="20.25">
      <c r="A68" s="1124"/>
      <c r="B68" s="1125"/>
      <c r="C68" s="1125"/>
      <c r="D68" s="1125"/>
      <c r="E68" s="1125"/>
      <c r="F68" s="1125"/>
      <c r="G68" s="3228"/>
      <c r="H68" s="3228"/>
      <c r="I68" s="3228"/>
      <c r="J68" s="3228"/>
      <c r="K68" s="3228"/>
      <c r="L68" s="3228"/>
      <c r="M68" s="3228"/>
      <c r="N68" s="3228"/>
      <c r="O68" s="3228"/>
      <c r="P68" s="3228"/>
      <c r="Q68" s="3228"/>
      <c r="R68" s="3228"/>
      <c r="S68" s="3228"/>
      <c r="T68" s="3228"/>
      <c r="U68" s="3228"/>
      <c r="V68" s="3228"/>
      <c r="W68" s="3228"/>
      <c r="X68" s="3228"/>
      <c r="Y68" s="3228"/>
      <c r="Z68" s="3228"/>
      <c r="AA68" s="3228"/>
      <c r="AB68" s="3228"/>
      <c r="AC68" s="3228"/>
      <c r="AD68" s="3228"/>
      <c r="AE68" s="3228"/>
      <c r="AF68" s="3228"/>
      <c r="AG68" s="2543"/>
      <c r="AH68" s="3228"/>
      <c r="AI68" s="3228"/>
      <c r="AJ68" s="3235"/>
      <c r="AK68" s="2549"/>
      <c r="AL68" s="1111"/>
      <c r="AM68" s="1111"/>
    </row>
    <row r="69" spans="1:43" s="1063" customFormat="1" ht="20.25" customHeight="1">
      <c r="A69" s="3281" t="s">
        <v>2530</v>
      </c>
      <c r="B69" s="1121"/>
      <c r="C69" s="1121"/>
      <c r="D69" s="1121"/>
      <c r="E69" s="1121"/>
      <c r="F69" s="1121"/>
      <c r="G69" s="3233">
        <f>G26-G67</f>
        <v>0</v>
      </c>
      <c r="H69" s="3233">
        <f t="shared" ref="H69:S69" si="19">H26-H67</f>
        <v>0</v>
      </c>
      <c r="I69" s="3233">
        <f t="shared" ca="1" si="19"/>
        <v>0</v>
      </c>
      <c r="J69" s="3233">
        <f t="shared" ca="1" si="19"/>
        <v>0</v>
      </c>
      <c r="K69" s="3233">
        <f t="shared" ca="1" si="19"/>
        <v>0</v>
      </c>
      <c r="L69" s="3233">
        <f t="shared" ca="1" si="19"/>
        <v>0</v>
      </c>
      <c r="M69" s="3233">
        <f t="shared" ca="1" si="19"/>
        <v>0</v>
      </c>
      <c r="N69" s="3233">
        <f t="shared" ca="1" si="19"/>
        <v>0</v>
      </c>
      <c r="O69" s="3233">
        <f t="shared" ca="1" si="19"/>
        <v>0</v>
      </c>
      <c r="P69" s="3233">
        <f t="shared" ca="1" si="19"/>
        <v>0</v>
      </c>
      <c r="Q69" s="3233">
        <f t="shared" ca="1" si="19"/>
        <v>0</v>
      </c>
      <c r="R69" s="3233">
        <f t="shared" ca="1" si="19"/>
        <v>0</v>
      </c>
      <c r="S69" s="3233">
        <f t="shared" ca="1" si="19"/>
        <v>0</v>
      </c>
      <c r="T69" s="3233">
        <f t="shared" ref="T69:AE69" ca="1" si="20">T26-T67</f>
        <v>0</v>
      </c>
      <c r="U69" s="3233">
        <f t="shared" ca="1" si="20"/>
        <v>0</v>
      </c>
      <c r="V69" s="3233">
        <f t="shared" ca="1" si="20"/>
        <v>0</v>
      </c>
      <c r="W69" s="3233">
        <f t="shared" ca="1" si="20"/>
        <v>0</v>
      </c>
      <c r="X69" s="3233">
        <f t="shared" ca="1" si="20"/>
        <v>0</v>
      </c>
      <c r="Y69" s="3233">
        <f t="shared" ca="1" si="20"/>
        <v>0</v>
      </c>
      <c r="Z69" s="3233">
        <f t="shared" ca="1" si="20"/>
        <v>0</v>
      </c>
      <c r="AA69" s="3233">
        <f t="shared" ca="1" si="20"/>
        <v>0</v>
      </c>
      <c r="AB69" s="3233">
        <f t="shared" ca="1" si="20"/>
        <v>0</v>
      </c>
      <c r="AC69" s="3233">
        <f t="shared" ca="1" si="20"/>
        <v>0</v>
      </c>
      <c r="AD69" s="3233">
        <f t="shared" ca="1" si="20"/>
        <v>0</v>
      </c>
      <c r="AE69" s="3233">
        <f t="shared" ca="1" si="20"/>
        <v>0</v>
      </c>
      <c r="AF69" s="3233">
        <f ca="1">AF12+AF26-AF67</f>
        <v>0</v>
      </c>
      <c r="AG69" s="2543">
        <f t="shared" ca="1" si="17"/>
        <v>0</v>
      </c>
      <c r="AH69" s="3233">
        <f t="shared" ref="AH69:AJ69" si="21">AH26-AH67</f>
        <v>0</v>
      </c>
      <c r="AI69" s="3233">
        <f t="shared" si="21"/>
        <v>0</v>
      </c>
      <c r="AJ69" s="3233">
        <f t="shared" si="21"/>
        <v>0</v>
      </c>
      <c r="AK69" s="2548" t="s">
        <v>2280</v>
      </c>
      <c r="AL69" s="1111"/>
      <c r="AM69" s="1111"/>
    </row>
    <row r="70" spans="1:43" s="1063" customFormat="1" ht="20.25">
      <c r="A70" s="979"/>
      <c r="B70" s="979"/>
      <c r="C70" s="979"/>
      <c r="D70" s="979"/>
      <c r="E70" s="979"/>
      <c r="F70" s="979"/>
      <c r="G70" s="1292"/>
      <c r="H70" s="1292"/>
      <c r="I70" s="1292"/>
      <c r="J70" s="1292"/>
      <c r="K70" s="1292"/>
      <c r="L70" s="1292"/>
      <c r="M70" s="1292"/>
      <c r="N70" s="1292"/>
      <c r="O70" s="1292"/>
      <c r="P70" s="1292"/>
      <c r="Q70" s="1292"/>
      <c r="R70" s="1292"/>
      <c r="S70" s="1292"/>
      <c r="T70" s="1292"/>
      <c r="U70" s="1292"/>
      <c r="V70" s="1292"/>
      <c r="W70" s="1292"/>
      <c r="X70" s="1292"/>
      <c r="Y70" s="1292"/>
      <c r="Z70" s="1292"/>
      <c r="AA70" s="1292"/>
      <c r="AB70" s="1292"/>
      <c r="AC70" s="1292"/>
      <c r="AD70" s="1292"/>
      <c r="AE70" s="3228"/>
      <c r="AF70" s="3228"/>
      <c r="AG70" s="2543"/>
      <c r="AH70" s="1061"/>
      <c r="AI70" s="1061"/>
      <c r="AJ70" s="2546"/>
      <c r="AK70" s="2549"/>
      <c r="AL70" s="1111"/>
      <c r="AM70" s="1111"/>
      <c r="AQ70" s="3282"/>
    </row>
    <row r="71" spans="1:43" s="1063" customFormat="1" ht="20.25">
      <c r="A71" s="979"/>
      <c r="B71" s="979"/>
      <c r="C71" s="979"/>
      <c r="D71" s="979"/>
      <c r="E71" s="979"/>
      <c r="F71" s="979"/>
      <c r="G71" s="1292"/>
      <c r="H71" s="1292"/>
      <c r="I71" s="1292"/>
      <c r="J71" s="1292"/>
      <c r="K71" s="1292"/>
      <c r="L71" s="1292"/>
      <c r="M71" s="1292"/>
      <c r="N71" s="1292"/>
      <c r="O71" s="1292"/>
      <c r="P71" s="1292"/>
      <c r="Q71" s="1292"/>
      <c r="R71" s="1292"/>
      <c r="S71" s="1292"/>
      <c r="T71" s="1292"/>
      <c r="U71" s="1292"/>
      <c r="V71" s="1292"/>
      <c r="W71" s="1292"/>
      <c r="X71" s="1292"/>
      <c r="Y71" s="1292"/>
      <c r="Z71" s="1292"/>
      <c r="AA71" s="1292"/>
      <c r="AB71" s="1292"/>
      <c r="AC71" s="1292"/>
      <c r="AD71" s="1292"/>
      <c r="AE71" s="3228"/>
      <c r="AF71" s="3228"/>
      <c r="AG71" s="2543"/>
      <c r="AH71" s="1061"/>
      <c r="AI71" s="1061"/>
      <c r="AJ71" s="2546"/>
      <c r="AK71" s="2549"/>
      <c r="AL71" s="1111"/>
      <c r="AM71" s="1111"/>
    </row>
    <row r="72" spans="1:43" s="1063" customFormat="1" ht="20.25">
      <c r="A72" s="979"/>
      <c r="B72" s="979"/>
      <c r="C72" s="979"/>
      <c r="D72" s="979"/>
      <c r="E72" s="979"/>
      <c r="F72" s="979"/>
      <c r="G72" s="1292"/>
      <c r="H72" s="1292"/>
      <c r="I72" s="1292"/>
      <c r="J72" s="1292"/>
      <c r="K72" s="1292"/>
      <c r="L72" s="1292"/>
      <c r="M72" s="1292"/>
      <c r="N72" s="1292"/>
      <c r="O72" s="1292"/>
      <c r="P72" s="1292"/>
      <c r="Q72" s="1292"/>
      <c r="R72" s="1292"/>
      <c r="S72" s="1292"/>
      <c r="T72" s="1292"/>
      <c r="U72" s="1292"/>
      <c r="V72" s="1292"/>
      <c r="W72" s="1292"/>
      <c r="X72" s="1292"/>
      <c r="Y72" s="1292"/>
      <c r="Z72" s="1292"/>
      <c r="AA72" s="1292"/>
      <c r="AB72" s="1292"/>
      <c r="AC72" s="1292"/>
      <c r="AD72" s="1292"/>
      <c r="AE72" s="3228"/>
      <c r="AF72" s="3228"/>
      <c r="AG72" s="2543"/>
      <c r="AH72" s="1061"/>
      <c r="AI72" s="1061"/>
      <c r="AJ72" s="2546"/>
      <c r="AK72" s="2549"/>
      <c r="AL72" s="1111"/>
      <c r="AM72" s="1111"/>
    </row>
    <row r="73" spans="1:43" s="1063" customFormat="1" ht="20.25">
      <c r="A73" s="979"/>
      <c r="B73" s="979"/>
      <c r="C73" s="979"/>
      <c r="D73" s="979"/>
      <c r="E73" s="979"/>
      <c r="F73" s="979"/>
      <c r="G73" s="1292"/>
      <c r="H73" s="1292"/>
      <c r="I73" s="1292"/>
      <c r="J73" s="1292"/>
      <c r="K73" s="1292"/>
      <c r="L73" s="1292"/>
      <c r="M73" s="1292"/>
      <c r="N73" s="1292"/>
      <c r="O73" s="1292"/>
      <c r="P73" s="1292"/>
      <c r="Q73" s="1292"/>
      <c r="R73" s="1292"/>
      <c r="S73" s="1292"/>
      <c r="T73" s="1292"/>
      <c r="U73" s="1292"/>
      <c r="V73" s="1292"/>
      <c r="W73" s="1292"/>
      <c r="X73" s="1292"/>
      <c r="Y73" s="1292"/>
      <c r="Z73" s="1292"/>
      <c r="AA73" s="1292"/>
      <c r="AB73" s="1292"/>
      <c r="AC73" s="1292"/>
      <c r="AD73" s="1292"/>
      <c r="AE73" s="3228"/>
      <c r="AF73" s="3228"/>
      <c r="AG73" s="2543"/>
      <c r="AH73" s="1061"/>
      <c r="AI73" s="1061"/>
      <c r="AJ73" s="2546"/>
      <c r="AK73" s="2549"/>
      <c r="AL73" s="1111"/>
      <c r="AM73" s="1111"/>
    </row>
    <row r="74" spans="1:43" s="1063" customFormat="1" ht="20.25">
      <c r="A74" s="979"/>
      <c r="B74" s="979"/>
      <c r="C74" s="979"/>
      <c r="D74" s="979"/>
      <c r="E74" s="979"/>
      <c r="F74" s="979"/>
      <c r="G74" s="1292"/>
      <c r="H74" s="1292"/>
      <c r="I74" s="1292"/>
      <c r="J74" s="1292"/>
      <c r="K74" s="1292"/>
      <c r="L74" s="1292"/>
      <c r="M74" s="1292"/>
      <c r="N74" s="1292"/>
      <c r="O74" s="1292"/>
      <c r="P74" s="1292"/>
      <c r="Q74" s="1292"/>
      <c r="R74" s="1292"/>
      <c r="S74" s="1292"/>
      <c r="T74" s="1292"/>
      <c r="U74" s="1292"/>
      <c r="V74" s="1292"/>
      <c r="W74" s="1292"/>
      <c r="X74" s="1292"/>
      <c r="Y74" s="1292"/>
      <c r="Z74" s="1292"/>
      <c r="AA74" s="1292"/>
      <c r="AB74" s="1292"/>
      <c r="AC74" s="1292"/>
      <c r="AD74" s="1292"/>
      <c r="AE74" s="3228"/>
      <c r="AF74" s="3228"/>
      <c r="AG74" s="2543"/>
      <c r="AH74" s="1061"/>
      <c r="AI74" s="1061"/>
      <c r="AJ74" s="2546"/>
      <c r="AK74" s="2549"/>
      <c r="AL74" s="1111"/>
      <c r="AM74" s="1111"/>
    </row>
    <row r="75" spans="1:43" s="1063" customFormat="1" ht="20.25">
      <c r="A75" s="979"/>
      <c r="B75" s="979"/>
      <c r="C75" s="979"/>
      <c r="D75" s="979"/>
      <c r="E75" s="979"/>
      <c r="F75" s="979"/>
      <c r="G75" s="1292"/>
      <c r="H75" s="1292"/>
      <c r="I75" s="1292"/>
      <c r="J75" s="1292"/>
      <c r="K75" s="1292"/>
      <c r="L75" s="1292"/>
      <c r="M75" s="1292"/>
      <c r="N75" s="1292"/>
      <c r="O75" s="1292"/>
      <c r="P75" s="1292"/>
      <c r="Q75" s="1292"/>
      <c r="R75" s="1292"/>
      <c r="S75" s="1292"/>
      <c r="T75" s="1292"/>
      <c r="U75" s="1292"/>
      <c r="V75" s="1292"/>
      <c r="W75" s="1292"/>
      <c r="X75" s="1292"/>
      <c r="Y75" s="1292"/>
      <c r="Z75" s="1292"/>
      <c r="AA75" s="1292"/>
      <c r="AB75" s="1292"/>
      <c r="AC75" s="1292"/>
      <c r="AD75" s="1292"/>
      <c r="AE75" s="3228"/>
      <c r="AF75" s="3228"/>
      <c r="AG75" s="2543"/>
      <c r="AH75" s="1061"/>
      <c r="AI75" s="1061"/>
      <c r="AJ75" s="2546"/>
      <c r="AK75" s="2549"/>
      <c r="AL75" s="1111"/>
      <c r="AM75" s="1111"/>
    </row>
    <row r="76" spans="1:43" s="1063" customFormat="1" ht="20.25">
      <c r="A76" s="979"/>
      <c r="B76" s="979"/>
      <c r="C76" s="979"/>
      <c r="D76" s="979"/>
      <c r="E76" s="979"/>
      <c r="F76" s="979"/>
      <c r="G76" s="1292"/>
      <c r="H76" s="1292"/>
      <c r="I76" s="1292"/>
      <c r="J76" s="1292"/>
      <c r="K76" s="1292"/>
      <c r="L76" s="1292"/>
      <c r="M76" s="1292"/>
      <c r="N76" s="1292"/>
      <c r="O76" s="1292"/>
      <c r="P76" s="1292"/>
      <c r="Q76" s="1292"/>
      <c r="R76" s="1292"/>
      <c r="S76" s="1292"/>
      <c r="T76" s="1292"/>
      <c r="U76" s="1292"/>
      <c r="V76" s="1292"/>
      <c r="W76" s="1292"/>
      <c r="X76" s="1292"/>
      <c r="Y76" s="1292"/>
      <c r="Z76" s="1292"/>
      <c r="AA76" s="1292"/>
      <c r="AB76" s="1292"/>
      <c r="AC76" s="1292"/>
      <c r="AD76" s="1292"/>
      <c r="AE76" s="3228"/>
      <c r="AF76" s="3228"/>
      <c r="AG76" s="2543"/>
      <c r="AH76" s="1061"/>
      <c r="AI76" s="1061"/>
      <c r="AJ76" s="2546"/>
      <c r="AK76" s="2549"/>
      <c r="AL76" s="1111"/>
      <c r="AM76" s="1111"/>
    </row>
    <row r="77" spans="1:43" s="1063" customFormat="1" ht="20.25">
      <c r="A77" s="979"/>
      <c r="B77" s="979"/>
      <c r="C77" s="979"/>
      <c r="D77" s="979"/>
      <c r="E77" s="979"/>
      <c r="F77" s="979"/>
      <c r="G77" s="1292"/>
      <c r="H77" s="1292"/>
      <c r="I77" s="1292"/>
      <c r="J77" s="1292"/>
      <c r="K77" s="1292"/>
      <c r="L77" s="1292"/>
      <c r="M77" s="1292"/>
      <c r="N77" s="1292"/>
      <c r="O77" s="1292"/>
      <c r="P77" s="1292"/>
      <c r="Q77" s="1292"/>
      <c r="R77" s="1292"/>
      <c r="S77" s="1292"/>
      <c r="T77" s="1292"/>
      <c r="U77" s="1292"/>
      <c r="V77" s="1292"/>
      <c r="W77" s="1292"/>
      <c r="X77" s="1292"/>
      <c r="Y77" s="1292"/>
      <c r="Z77" s="1292"/>
      <c r="AA77" s="1292"/>
      <c r="AB77" s="1292"/>
      <c r="AC77" s="1292"/>
      <c r="AD77" s="1292"/>
      <c r="AE77" s="3228"/>
      <c r="AF77" s="3228"/>
      <c r="AG77" s="2543"/>
      <c r="AH77" s="1061"/>
      <c r="AI77" s="1061"/>
      <c r="AJ77" s="2546"/>
      <c r="AK77" s="2549"/>
      <c r="AL77" s="1111"/>
      <c r="AM77" s="1111"/>
    </row>
    <row r="78" spans="1:43" s="1063" customFormat="1" ht="20.25">
      <c r="A78" s="979"/>
      <c r="B78" s="979"/>
      <c r="C78" s="979"/>
      <c r="D78" s="979"/>
      <c r="E78" s="979"/>
      <c r="F78" s="979"/>
      <c r="G78" s="1292"/>
      <c r="H78" s="1292"/>
      <c r="I78" s="1292"/>
      <c r="J78" s="1292"/>
      <c r="K78" s="1292"/>
      <c r="L78" s="1292"/>
      <c r="M78" s="1292"/>
      <c r="N78" s="1292"/>
      <c r="O78" s="1292"/>
      <c r="P78" s="1292"/>
      <c r="Q78" s="1292"/>
      <c r="R78" s="1292"/>
      <c r="S78" s="1292"/>
      <c r="T78" s="1292"/>
      <c r="U78" s="1292"/>
      <c r="V78" s="1292"/>
      <c r="W78" s="1292"/>
      <c r="X78" s="1292"/>
      <c r="Y78" s="1292"/>
      <c r="Z78" s="1292"/>
      <c r="AA78" s="1292"/>
      <c r="AB78" s="1292"/>
      <c r="AC78" s="1292"/>
      <c r="AD78" s="1292"/>
      <c r="AE78" s="3228"/>
      <c r="AF78" s="3228"/>
      <c r="AG78" s="2543"/>
      <c r="AH78" s="1061"/>
      <c r="AI78" s="1061"/>
      <c r="AJ78" s="2546"/>
      <c r="AK78" s="2549"/>
      <c r="AL78" s="1111"/>
      <c r="AM78" s="1111"/>
    </row>
    <row r="79" spans="1:43" s="1063" customFormat="1" ht="20.25">
      <c r="A79" s="979"/>
      <c r="B79" s="979"/>
      <c r="C79" s="979"/>
      <c r="D79" s="979"/>
      <c r="E79" s="979"/>
      <c r="F79" s="979"/>
      <c r="G79" s="1292"/>
      <c r="H79" s="1292"/>
      <c r="I79" s="1292"/>
      <c r="J79" s="1292"/>
      <c r="K79" s="1292"/>
      <c r="L79" s="1292"/>
      <c r="M79" s="1292"/>
      <c r="N79" s="1292"/>
      <c r="O79" s="1292"/>
      <c r="P79" s="1292"/>
      <c r="Q79" s="1292"/>
      <c r="R79" s="1292"/>
      <c r="S79" s="1292"/>
      <c r="T79" s="1292"/>
      <c r="U79" s="1292"/>
      <c r="V79" s="1292"/>
      <c r="W79" s="1292"/>
      <c r="X79" s="1292"/>
      <c r="Y79" s="1292"/>
      <c r="Z79" s="1292"/>
      <c r="AA79" s="1292"/>
      <c r="AB79" s="1292"/>
      <c r="AC79" s="1292"/>
      <c r="AD79" s="1292"/>
      <c r="AE79" s="3228"/>
      <c r="AF79" s="3228"/>
      <c r="AG79" s="2543"/>
      <c r="AH79" s="1061"/>
      <c r="AI79" s="1061"/>
      <c r="AJ79" s="2546"/>
      <c r="AK79" s="2549"/>
      <c r="AL79" s="1111"/>
      <c r="AM79" s="1111"/>
    </row>
    <row r="80" spans="1:43" s="1063" customFormat="1" ht="20.25">
      <c r="A80" s="979"/>
      <c r="B80" s="979"/>
      <c r="C80" s="979"/>
      <c r="D80" s="979"/>
      <c r="E80" s="979"/>
      <c r="F80" s="979"/>
      <c r="G80" s="1292"/>
      <c r="H80" s="1292"/>
      <c r="I80" s="1292"/>
      <c r="J80" s="1292"/>
      <c r="K80" s="1292"/>
      <c r="L80" s="1292"/>
      <c r="M80" s="1292"/>
      <c r="N80" s="1292"/>
      <c r="O80" s="1292"/>
      <c r="P80" s="1292"/>
      <c r="Q80" s="1292"/>
      <c r="R80" s="1292"/>
      <c r="S80" s="1292"/>
      <c r="T80" s="1292"/>
      <c r="U80" s="1292"/>
      <c r="V80" s="1292"/>
      <c r="W80" s="1292"/>
      <c r="X80" s="1292"/>
      <c r="Y80" s="1292"/>
      <c r="Z80" s="1292"/>
      <c r="AA80" s="1292"/>
      <c r="AB80" s="1292"/>
      <c r="AC80" s="1292"/>
      <c r="AD80" s="1292"/>
      <c r="AE80" s="3228"/>
      <c r="AF80" s="3228"/>
      <c r="AG80" s="2543"/>
      <c r="AH80" s="1061"/>
      <c r="AI80" s="1061"/>
      <c r="AJ80" s="2546"/>
      <c r="AK80" s="2549"/>
      <c r="AL80" s="1111"/>
      <c r="AM80" s="1111"/>
    </row>
    <row r="81" spans="1:39" s="1063" customFormat="1" ht="20.25">
      <c r="A81" s="979"/>
      <c r="B81" s="979"/>
      <c r="C81" s="979"/>
      <c r="D81" s="979"/>
      <c r="E81" s="979"/>
      <c r="F81" s="979"/>
      <c r="G81" s="1292"/>
      <c r="H81" s="1292"/>
      <c r="I81" s="1292"/>
      <c r="J81" s="1292"/>
      <c r="K81" s="1292"/>
      <c r="L81" s="1292"/>
      <c r="M81" s="1292"/>
      <c r="N81" s="1292"/>
      <c r="O81" s="1292"/>
      <c r="P81" s="1292"/>
      <c r="Q81" s="1292"/>
      <c r="R81" s="1292"/>
      <c r="S81" s="1292"/>
      <c r="T81" s="1292"/>
      <c r="U81" s="1292"/>
      <c r="V81" s="1292"/>
      <c r="W81" s="1292"/>
      <c r="X81" s="1292"/>
      <c r="Y81" s="1292"/>
      <c r="Z81" s="1292"/>
      <c r="AA81" s="1292"/>
      <c r="AB81" s="1292"/>
      <c r="AC81" s="1292"/>
      <c r="AD81" s="1292"/>
      <c r="AE81" s="3228"/>
      <c r="AF81" s="3228"/>
      <c r="AG81" s="2543"/>
      <c r="AH81" s="1061"/>
      <c r="AI81" s="1061"/>
      <c r="AJ81" s="2546"/>
      <c r="AK81" s="2549"/>
      <c r="AL81" s="1111"/>
      <c r="AM81" s="1111"/>
    </row>
    <row r="82" spans="1:39" s="1063" customFormat="1" ht="20.25">
      <c r="A82" s="979"/>
      <c r="B82" s="979"/>
      <c r="C82" s="979"/>
      <c r="D82" s="979"/>
      <c r="E82" s="979"/>
      <c r="F82" s="979"/>
      <c r="G82" s="1292"/>
      <c r="H82" s="1292"/>
      <c r="I82" s="1292"/>
      <c r="J82" s="1292"/>
      <c r="K82" s="1292"/>
      <c r="L82" s="1292"/>
      <c r="M82" s="1292"/>
      <c r="N82" s="1292"/>
      <c r="O82" s="1292"/>
      <c r="P82" s="1292"/>
      <c r="Q82" s="1292"/>
      <c r="R82" s="1292"/>
      <c r="S82" s="1292"/>
      <c r="T82" s="1292"/>
      <c r="U82" s="1292"/>
      <c r="V82" s="1292"/>
      <c r="W82" s="1292"/>
      <c r="X82" s="1292"/>
      <c r="Y82" s="1292"/>
      <c r="Z82" s="1292"/>
      <c r="AA82" s="1292"/>
      <c r="AB82" s="1292"/>
      <c r="AC82" s="1292"/>
      <c r="AD82" s="1292"/>
      <c r="AE82" s="3228"/>
      <c r="AF82" s="3228"/>
      <c r="AG82" s="2543"/>
      <c r="AH82" s="1061"/>
      <c r="AI82" s="1061"/>
      <c r="AJ82" s="2546"/>
      <c r="AK82" s="2549"/>
      <c r="AL82" s="1111"/>
      <c r="AM82" s="1111"/>
    </row>
    <row r="83" spans="1:39" s="1063" customFormat="1" ht="20.25">
      <c r="A83" s="979"/>
      <c r="B83" s="979"/>
      <c r="C83" s="979"/>
      <c r="D83" s="979"/>
      <c r="E83" s="979"/>
      <c r="F83" s="979"/>
      <c r="G83" s="1292"/>
      <c r="H83" s="1292"/>
      <c r="I83" s="1292"/>
      <c r="J83" s="1292"/>
      <c r="K83" s="1292"/>
      <c r="L83" s="1292"/>
      <c r="M83" s="1292"/>
      <c r="N83" s="1292"/>
      <c r="O83" s="1292"/>
      <c r="P83" s="1292"/>
      <c r="Q83" s="1292"/>
      <c r="R83" s="1292"/>
      <c r="S83" s="1292"/>
      <c r="T83" s="1292"/>
      <c r="U83" s="1292"/>
      <c r="V83" s="1292"/>
      <c r="W83" s="1292"/>
      <c r="X83" s="1292"/>
      <c r="Y83" s="1292"/>
      <c r="Z83" s="1292"/>
      <c r="AA83" s="1292"/>
      <c r="AB83" s="1292"/>
      <c r="AC83" s="1292"/>
      <c r="AD83" s="1292"/>
      <c r="AE83" s="3228"/>
      <c r="AF83" s="3228"/>
      <c r="AG83" s="2543"/>
      <c r="AH83" s="1061"/>
      <c r="AI83" s="1061"/>
      <c r="AJ83" s="2546"/>
      <c r="AK83" s="2549"/>
      <c r="AL83" s="1111"/>
      <c r="AM83" s="1111"/>
    </row>
    <row r="84" spans="1:39" s="1063" customFormat="1" ht="20.25">
      <c r="A84" s="979"/>
      <c r="B84" s="979"/>
      <c r="C84" s="979"/>
      <c r="D84" s="979"/>
      <c r="E84" s="979"/>
      <c r="F84" s="979"/>
      <c r="G84" s="1292"/>
      <c r="H84" s="1292"/>
      <c r="I84" s="1292"/>
      <c r="J84" s="1292"/>
      <c r="K84" s="1292"/>
      <c r="L84" s="1292"/>
      <c r="M84" s="1292"/>
      <c r="N84" s="1292"/>
      <c r="O84" s="1292"/>
      <c r="P84" s="1292"/>
      <c r="Q84" s="1292"/>
      <c r="R84" s="1292"/>
      <c r="S84" s="1292"/>
      <c r="T84" s="1292"/>
      <c r="U84" s="1292"/>
      <c r="V84" s="1292"/>
      <c r="W84" s="1292"/>
      <c r="X84" s="1292"/>
      <c r="Y84" s="1292"/>
      <c r="Z84" s="1292"/>
      <c r="AA84" s="1292"/>
      <c r="AB84" s="1292"/>
      <c r="AC84" s="1292"/>
      <c r="AD84" s="1292"/>
      <c r="AE84" s="3228"/>
      <c r="AF84" s="3228"/>
      <c r="AG84" s="2543"/>
      <c r="AH84" s="1061"/>
      <c r="AI84" s="1061"/>
      <c r="AJ84" s="2546"/>
      <c r="AK84" s="2549"/>
      <c r="AL84" s="1111"/>
      <c r="AM84" s="1111"/>
    </row>
    <row r="85" spans="1:39" s="2558" customFormat="1" ht="200.25" customHeight="1">
      <c r="Q85" s="1619"/>
      <c r="R85" s="1619"/>
      <c r="S85" s="1619"/>
      <c r="T85" s="1619"/>
      <c r="U85" s="1620"/>
      <c r="V85" s="1619"/>
      <c r="W85" s="1619"/>
      <c r="X85" s="2557"/>
    </row>
    <row r="86" spans="1:39">
      <c r="AG86" s="2542"/>
      <c r="AK86" s="2542"/>
    </row>
    <row r="87" spans="1:39">
      <c r="AG87" s="2526"/>
      <c r="AJ87" s="2526"/>
      <c r="AK87" s="2526"/>
    </row>
    <row r="88" spans="1:39">
      <c r="AG88" s="2526"/>
      <c r="AJ88" s="2526"/>
      <c r="AK88" s="2526"/>
    </row>
    <row r="89" spans="1:39">
      <c r="AG89" s="2544"/>
      <c r="AJ89" s="2544"/>
      <c r="AK89" s="2544"/>
    </row>
  </sheetData>
  <customSheetViews>
    <customSheetView guid="{BCBE45D4-3C45-4659-992E-5C5D3E9FD81C}" showPageBreaks="1" showGridLines="0" fitToPage="1" printArea="1" hiddenColumns="1">
      <pane xSplit="21" ySplit="10" topLeftCell="W62" activePane="bottomRight" state="frozenSplit"/>
      <selection pane="bottomRight"/>
      <pageMargins left="0.59055118110236227" right="0.43307086614173229" top="0.6692913385826772" bottom="0.94488188976377963" header="0.51181102362204722" footer="0.39370078740157483"/>
      <printOptions horizontalCentered="1"/>
      <pageSetup paperSize="9" scale="2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55" showPageBreaks="1" showGridLines="0" fitToPage="1" printArea="1" hiddenColumns="1">
      <pane xSplit="22" ySplit="10" topLeftCell="W11" activePane="bottomRight" state="frozenSplit"/>
      <selection pane="bottomRight" activeCell="AI59" sqref="AI59"/>
      <pageMargins left="0.59055118110236227" right="0.43307086614173229" top="0.6692913385826772" bottom="0.94488188976377963" header="0.51181102362204722" footer="0.39370078740157483"/>
      <printOptions horizontalCentered="1"/>
      <pageSetup paperSize="9" scale="26" fitToHeight="999" orientation="portrait" blackAndWhite="1" r:id="rId2"/>
      <headerFooter alignWithMargins="0">
        <oddFooter>&amp;L&amp;8Copyright Crowe Horwath (Aust) Pty Ltd 2016.  All rights reserved.
&amp;Z&amp;F[&amp;A]&amp;R&amp;8&amp;P/&amp;N</oddFooter>
      </headerFooter>
    </customSheetView>
  </customSheetViews>
  <mergeCells count="19">
    <mergeCell ref="G9:H9"/>
    <mergeCell ref="D14:E14"/>
    <mergeCell ref="D37:E37"/>
    <mergeCell ref="D28:E28"/>
    <mergeCell ref="I9:J9"/>
    <mergeCell ref="AT1:AU1"/>
    <mergeCell ref="AH9:AI9"/>
    <mergeCell ref="S9:T9"/>
    <mergeCell ref="K9:L9"/>
    <mergeCell ref="Y9:Z9"/>
    <mergeCell ref="U9:V9"/>
    <mergeCell ref="AN1:AO1"/>
    <mergeCell ref="AE9:AF9"/>
    <mergeCell ref="AC9:AD9"/>
    <mergeCell ref="AA9:AB9"/>
    <mergeCell ref="Q9:R9"/>
    <mergeCell ref="W9:X9"/>
    <mergeCell ref="O9:P9"/>
    <mergeCell ref="M9:N9"/>
  </mergeCells>
  <phoneticPr fontId="0" type="noConversion"/>
  <conditionalFormatting sqref="AG15:AG26">
    <cfRule type="cellIs" dxfId="109" priority="9" operator="lessThan">
      <formula>0</formula>
    </cfRule>
  </conditionalFormatting>
  <conditionalFormatting sqref="AG38:AG67 AG70:AG84">
    <cfRule type="cellIs" dxfId="108" priority="8" operator="greaterThan">
      <formula>0</formula>
    </cfRule>
  </conditionalFormatting>
  <conditionalFormatting sqref="AG34">
    <cfRule type="cellIs" dxfId="107" priority="7" operator="lessThan">
      <formula>0</formula>
    </cfRule>
  </conditionalFormatting>
  <conditionalFormatting sqref="AG32">
    <cfRule type="cellIs" dxfId="106" priority="6" operator="lessThan">
      <formula>0</formula>
    </cfRule>
  </conditionalFormatting>
  <conditionalFormatting sqref="AG29:AG30">
    <cfRule type="cellIs" dxfId="105" priority="5" operator="greaterThan">
      <formula>0</formula>
    </cfRule>
  </conditionalFormatting>
  <conditionalFormatting sqref="AG31">
    <cfRule type="cellIs" dxfId="104" priority="4" operator="greaterThan">
      <formula>0</formula>
    </cfRule>
  </conditionalFormatting>
  <conditionalFormatting sqref="AG33">
    <cfRule type="cellIs" dxfId="103" priority="3" operator="greaterThan">
      <formula>0</formula>
    </cfRule>
  </conditionalFormatting>
  <hyperlinks>
    <hyperlink ref="A22:E22" location="Livestock!A1" display="Gross profit from livestock" xr:uid="{00000000-0004-0000-0500-000000000000}"/>
    <hyperlink ref="A22" location="'Livestock Est'!A1" display="Gross profit from livestock" xr:uid="{00000000-0004-0000-0500-000002000000}"/>
    <hyperlink ref="AN1" location="'WP Index'!A1" display="Back to Workpaper Index" xr:uid="{8C9F8F69-D407-419F-A07A-FE0FD773107C}"/>
    <hyperlink ref="AN1:AO1" location="'WPIndex'!A1" display="Back to Workpaper Index" xr:uid="{DFFDB0D0-A36F-42B8-93E5-4F7DC9594581}"/>
  </hyperlinks>
  <printOptions horizontalCentered="1"/>
  <pageMargins left="0.59055118110236227" right="0.43307086614173229" top="0.6692913385826772" bottom="0.94488188976377963" header="0.51181102362204722" footer="0.39370078740157483"/>
  <pageSetup paperSize="9" scale="74" fitToHeight="999" orientation="portrait" blackAndWhite="1" r:id="rId3"/>
  <headerFooter alignWithMargins="0">
    <oddFooter>&amp;L&amp;8© Findex (Aust) Pty Ltd.  All rights reserved.&amp;R&amp;8&amp;P/&amp;N</oddFooter>
  </headerFooter>
  <drawing r:id="rId4"/>
  <legacyDrawing r:id="rId5"/>
  <controls>
    <mc:AlternateContent xmlns:mc="http://schemas.openxmlformats.org/markup-compatibility/2006">
      <mc:Choice Requires="x14">
        <control shapeId="128053" r:id="rId6" name="HideUnusedRowsToggleButton">
          <controlPr defaultSize="0" autoLine="0" r:id="rId7">
            <anchor moveWithCells="1">
              <from>
                <xdr:col>41</xdr:col>
                <xdr:colOff>0</xdr:colOff>
                <xdr:row>5</xdr:row>
                <xdr:rowOff>0</xdr:rowOff>
              </from>
              <to>
                <xdr:col>43</xdr:col>
                <xdr:colOff>238125</xdr:colOff>
                <xdr:row>7</xdr:row>
                <xdr:rowOff>161925</xdr:rowOff>
              </to>
            </anchor>
          </controlPr>
        </control>
      </mc:Choice>
      <mc:Fallback>
        <control shapeId="128053" r:id="rId6" name="HideUnusedRowsToggleButton"/>
      </mc:Fallback>
    </mc:AlternateContent>
    <mc:AlternateContent xmlns:mc="http://schemas.openxmlformats.org/markup-compatibility/2006">
      <mc:Choice Requires="x14">
        <control shapeId="128004" r:id="rId8" name="Button 4">
          <controlPr defaultSize="0" print="0" autoFill="0" autoPict="0" macro="[0]!Toggle_Projected_Income_Comparatives">
            <anchor moveWithCells="1">
              <from>
                <xdr:col>41</xdr:col>
                <xdr:colOff>0</xdr:colOff>
                <xdr:row>2</xdr:row>
                <xdr:rowOff>0</xdr:rowOff>
              </from>
              <to>
                <xdr:col>43</xdr:col>
                <xdr:colOff>171450</xdr:colOff>
                <xdr:row>3</xdr:row>
                <xdr:rowOff>190500</xdr:rowOff>
              </to>
            </anchor>
          </controlPr>
        </control>
      </mc:Choice>
    </mc:AlternateContent>
    <mc:AlternateContent xmlns:mc="http://schemas.openxmlformats.org/markup-compatibility/2006">
      <mc:Choice Requires="x14">
        <control shapeId="128009" r:id="rId9" name="Drop Down 9">
          <controlPr defaultSize="0" autoLine="0" autoPict="0" macro="[0]!Projected_Income_Actual_Change">
            <anchor moveWithCells="1">
              <from>
                <xdr:col>4</xdr:col>
                <xdr:colOff>0</xdr:colOff>
                <xdr:row>11</xdr:row>
                <xdr:rowOff>66675</xdr:rowOff>
              </from>
              <to>
                <xdr:col>6</xdr:col>
                <xdr:colOff>0</xdr:colOff>
                <xdr:row>13</xdr:row>
                <xdr:rowOff>9525</xdr:rowOff>
              </to>
            </anchor>
          </controlPr>
        </control>
      </mc:Choice>
    </mc:AlternateContent>
    <mc:AlternateContent xmlns:mc="http://schemas.openxmlformats.org/markup-compatibility/2006">
      <mc:Choice Requires="x14">
        <control shapeId="128010" r:id="rId10" name="Check Box 10">
          <controlPr defaultSize="0" autoFill="0" autoLine="0" autoPict="0">
            <anchor moveWithCells="1">
              <from>
                <xdr:col>0</xdr:col>
                <xdr:colOff>0</xdr:colOff>
                <xdr:row>8</xdr:row>
                <xdr:rowOff>0</xdr:rowOff>
              </from>
              <to>
                <xdr:col>4</xdr:col>
                <xdr:colOff>342900</xdr:colOff>
                <xdr:row>9</xdr:row>
                <xdr:rowOff>0</xdr:rowOff>
              </to>
            </anchor>
          </controlPr>
        </control>
      </mc:Choice>
    </mc:AlternateContent>
    <mc:AlternateContent xmlns:mc="http://schemas.openxmlformats.org/markup-compatibility/2006">
      <mc:Choice Requires="x14">
        <control shapeId="128036" r:id="rId11" name="Check Box 36">
          <controlPr defaultSize="0" autoFill="0" autoLine="0" autoPict="0">
            <anchor moveWithCells="1">
              <from>
                <xdr:col>0</xdr:col>
                <xdr:colOff>0</xdr:colOff>
                <xdr:row>9</xdr:row>
                <xdr:rowOff>0</xdr:rowOff>
              </from>
              <to>
                <xdr:col>4</xdr:col>
                <xdr:colOff>342900</xdr:colOff>
                <xdr:row>10</xdr:row>
                <xdr:rowOff>0</xdr:rowOff>
              </to>
            </anchor>
          </controlPr>
        </control>
      </mc:Choice>
    </mc:AlternateContent>
    <mc:AlternateContent xmlns:mc="http://schemas.openxmlformats.org/markup-compatibility/2006">
      <mc:Choice Requires="x14">
        <control shapeId="128071" r:id="rId12" name="Button 71">
          <controlPr defaultSize="0" print="0" autoFill="0" autoPict="0" macro="[0]!Create_Client_Projection">
            <anchor moveWithCells="1" sizeWithCells="1">
              <from>
                <xdr:col>41</xdr:col>
                <xdr:colOff>0</xdr:colOff>
                <xdr:row>8</xdr:row>
                <xdr:rowOff>0</xdr:rowOff>
              </from>
              <to>
                <xdr:col>42</xdr:col>
                <xdr:colOff>190500</xdr:colOff>
                <xdr:row>9</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0" id="{6194A747-705E-4700-8004-40DFB0616F81}">
            <x14:iconSet iconSet="3Triangles" custom="1">
              <x14:cfvo type="percent">
                <xm:f>0</xm:f>
              </x14:cfvo>
              <x14:cfvo type="num">
                <xm:f>0</xm:f>
              </x14:cfvo>
              <x14:cfvo type="num" gte="0">
                <xm:f>0</xm:f>
              </x14:cfvo>
              <x14:cfIcon iconSet="3ArrowsGray" iconId="0"/>
              <x14:cfIcon iconSet="3ArrowsGray" iconId="1"/>
              <x14:cfIcon iconSet="3ArrowsGray" iconId="2"/>
            </x14:iconSet>
          </x14:cfRule>
          <xm:sqref>AG86:AG1048576 AG1:AG69</xm:sqref>
        </x14:conditionalFormatting>
        <x14:conditionalFormatting xmlns:xm="http://schemas.microsoft.com/office/excel/2006/main">
          <x14:cfRule type="iconSet" priority="38" id="{1B4FFC7E-5A85-4929-A1DD-AFD546306176}">
            <x14:iconSet iconSet="3Triangles" custom="1">
              <x14:cfvo type="percent">
                <xm:f>0</xm:f>
              </x14:cfvo>
              <x14:cfvo type="num">
                <xm:f>0</xm:f>
              </x14:cfvo>
              <x14:cfvo type="num" gte="0">
                <xm:f>0</xm:f>
              </x14:cfvo>
              <x14:cfIcon iconSet="3ArrowsGray" iconId="0"/>
              <x14:cfIcon iconSet="3ArrowsGray" iconId="1"/>
              <x14:cfIcon iconSet="3ArrowsGray" iconId="2"/>
            </x14:iconSet>
          </x14:cfRule>
          <xm:sqref>AG70:AG84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Livestock_Est_Sheet">
    <tabColor theme="8" tint="0.79998168889431442"/>
  </sheetPr>
  <dimension ref="A5:R87"/>
  <sheetViews>
    <sheetView showGridLines="0" zoomScaleNormal="100" workbookViewId="0">
      <selection sqref="A1:F1"/>
    </sheetView>
  </sheetViews>
  <sheetFormatPr defaultColWidth="9.140625" defaultRowHeight="12.75"/>
  <cols>
    <col min="1" max="1" width="14.42578125" style="1" customWidth="1"/>
    <col min="2" max="2" width="4" style="1" customWidth="1"/>
    <col min="3" max="3" width="9.28515625" style="1" customWidth="1"/>
    <col min="4" max="4" width="1.7109375" style="1" customWidth="1"/>
    <col min="5" max="5" width="14.5703125" style="14" customWidth="1"/>
    <col min="6" max="6" width="1.7109375" style="1" customWidth="1"/>
    <col min="7" max="7" width="9.28515625" style="1" customWidth="1"/>
    <col min="8" max="8" width="1.7109375" style="1" customWidth="1"/>
    <col min="9" max="9" width="14.5703125" style="1" customWidth="1"/>
    <col min="10" max="10" width="1.7109375" style="1" customWidth="1"/>
    <col min="11" max="11" width="9.28515625" style="1" customWidth="1"/>
    <col min="12" max="12" width="1.7109375" style="1" customWidth="1"/>
    <col min="13" max="13" width="14.5703125" style="1" customWidth="1"/>
    <col min="14" max="14" width="1.7109375" style="1" customWidth="1"/>
    <col min="15" max="15" width="15.140625" style="10" customWidth="1"/>
    <col min="16" max="16" width="1.7109375" style="1" customWidth="1"/>
    <col min="17" max="17" width="13.85546875" style="1" customWidth="1"/>
    <col min="18" max="16384" width="9.140625" style="1"/>
  </cols>
  <sheetData>
    <row r="5" spans="1:18" s="1057" customFormat="1" ht="30" customHeight="1">
      <c r="A5" s="2078" t="str">
        <f>"CLIENT NAME:   "&amp;ClientName</f>
        <v>CLIENT NAME:   Example Trust</v>
      </c>
      <c r="B5" s="3186"/>
      <c r="C5" s="3187"/>
      <c r="D5" s="3186"/>
      <c r="E5" s="3186"/>
      <c r="F5" s="3188"/>
      <c r="G5" s="3187"/>
      <c r="H5" s="3187"/>
      <c r="I5" s="3187"/>
      <c r="J5" s="3187"/>
      <c r="K5" s="3187"/>
      <c r="L5" s="3186"/>
      <c r="M5" s="3186"/>
      <c r="N5" s="3186"/>
      <c r="O5" s="3186"/>
      <c r="Q5" s="3247" t="s">
        <v>2526</v>
      </c>
      <c r="R5"/>
    </row>
    <row r="6" spans="1:18" s="1057" customFormat="1" ht="21.75" customHeight="1">
      <c r="A6" s="3186"/>
      <c r="B6" s="3186"/>
      <c r="C6" s="3187"/>
      <c r="D6" s="3186"/>
      <c r="E6" s="3186"/>
      <c r="F6" s="3188"/>
      <c r="G6" s="3187"/>
      <c r="H6" s="3187"/>
      <c r="I6" s="3187"/>
      <c r="J6" s="3187"/>
      <c r="K6" s="3187"/>
      <c r="L6" s="3186"/>
      <c r="M6" s="3186"/>
      <c r="N6" s="3186"/>
      <c r="O6" s="3186"/>
    </row>
    <row r="7" spans="1:18" customFormat="1" ht="20.25" customHeight="1">
      <c r="A7" s="3740" t="s">
        <v>1063</v>
      </c>
      <c r="B7" s="3740"/>
      <c r="C7" s="3740"/>
      <c r="D7" s="3740"/>
      <c r="E7" s="3740"/>
      <c r="F7" s="3740"/>
      <c r="G7" s="3740"/>
      <c r="H7" s="3740"/>
      <c r="I7" s="3740"/>
      <c r="J7" s="3740"/>
      <c r="K7" s="3740"/>
      <c r="L7" s="3740"/>
      <c r="M7" s="3740"/>
      <c r="N7" s="3740"/>
      <c r="O7" s="3740"/>
      <c r="P7" s="818"/>
    </row>
    <row r="8" spans="1:18" customFormat="1">
      <c r="A8" s="3741" t="str">
        <f>"for the year ended 30 June " &amp; YEAR('Input Info'!F8)</f>
        <v>for the year ended 30 June 2024</v>
      </c>
      <c r="B8" s="3741"/>
      <c r="C8" s="3741"/>
      <c r="D8" s="3741"/>
      <c r="E8" s="3741"/>
      <c r="F8" s="3741"/>
      <c r="G8" s="3741"/>
      <c r="H8" s="3741"/>
      <c r="I8" s="3741"/>
      <c r="J8" s="3741"/>
      <c r="K8" s="3741"/>
      <c r="L8" s="3741"/>
      <c r="M8" s="3741"/>
      <c r="N8" s="3741"/>
      <c r="O8" s="3741"/>
      <c r="P8" s="820"/>
    </row>
    <row r="9" spans="1:18" customFormat="1" ht="7.5" customHeight="1">
      <c r="A9" s="1483"/>
      <c r="B9" s="1483"/>
      <c r="C9" s="1483"/>
      <c r="D9" s="1483"/>
      <c r="E9" s="1483"/>
      <c r="F9" s="1483"/>
      <c r="G9" s="1483"/>
      <c r="H9" s="1483"/>
      <c r="I9" s="1483"/>
      <c r="J9" s="1483"/>
      <c r="K9" s="1483"/>
      <c r="L9" s="1483"/>
      <c r="M9" s="1483"/>
      <c r="N9" s="1483"/>
      <c r="O9" s="1483"/>
    </row>
    <row r="10" spans="1:18" customFormat="1"/>
    <row r="11" spans="1:18" customFormat="1" ht="6.75" customHeight="1"/>
    <row r="12" spans="1:18" s="1011" customFormat="1" ht="15" hidden="1">
      <c r="A12" s="1066" t="e">
        <f>Client_Name</f>
        <v>#NAME?</v>
      </c>
      <c r="E12" s="1067"/>
      <c r="N12" s="1020" t="s">
        <v>951</v>
      </c>
      <c r="O12" s="1020">
        <v>40359</v>
      </c>
    </row>
    <row r="13" spans="1:18" hidden="1"/>
    <row r="14" spans="1:18" ht="13.5" thickBot="1">
      <c r="A14" s="3" t="s">
        <v>874</v>
      </c>
      <c r="O14" s="1068">
        <f>M36+M59+M81</f>
        <v>0</v>
      </c>
    </row>
    <row r="15" spans="1:18" ht="13.5" thickTop="1"/>
    <row r="16" spans="1:18">
      <c r="A16" s="2921" t="s">
        <v>1051</v>
      </c>
      <c r="C16" s="3749" t="str">
        <f>"ACTUAL TO " &amp; UPPER(TEXT(DATE(YEAR(MIN('Projected Income &amp; Expenses'!$9:$9)),MONTH(MIN('Projected Income &amp; Expenses'!$9:$9)),0),"dd mmm"))</f>
        <v>ACTUAL TO 30 JUN</v>
      </c>
      <c r="D16" s="3750"/>
      <c r="E16" s="3751"/>
      <c r="F16" s="6"/>
      <c r="G16" s="3749" t="str">
        <f>UPPER("ESTIMATED (" &amp; TEXT(MIN('Projected Income &amp; Expenses'!$9:$9),"mmm") &amp;  TEXT(MAX('Projected Income &amp; Expenses'!$9:$9)," - mmm)"))</f>
        <v>ESTIMATED (JUL - JUN)</v>
      </c>
      <c r="H16" s="3750"/>
      <c r="I16" s="3751"/>
      <c r="K16" s="3749" t="s">
        <v>875</v>
      </c>
      <c r="L16" s="3750"/>
      <c r="M16" s="3751"/>
    </row>
    <row r="17" spans="1:16">
      <c r="C17" s="6" t="s">
        <v>1060</v>
      </c>
      <c r="D17" s="6"/>
      <c r="E17" s="38" t="s">
        <v>1128</v>
      </c>
      <c r="F17" s="6"/>
      <c r="G17" s="6" t="s">
        <v>1060</v>
      </c>
      <c r="H17" s="6"/>
      <c r="I17" s="38" t="s">
        <v>1128</v>
      </c>
      <c r="K17" s="6" t="s">
        <v>1060</v>
      </c>
      <c r="L17" s="6"/>
      <c r="M17" s="38" t="s">
        <v>1128</v>
      </c>
    </row>
    <row r="18" spans="1:16">
      <c r="A18" s="1" t="s">
        <v>469</v>
      </c>
      <c r="C18" s="2918"/>
      <c r="D18" s="10"/>
      <c r="E18" s="2919"/>
      <c r="F18" s="10"/>
      <c r="G18" s="1069"/>
      <c r="H18" s="27"/>
      <c r="I18" s="1070"/>
      <c r="J18" s="1056"/>
      <c r="K18" s="1069">
        <f>C18</f>
        <v>0</v>
      </c>
      <c r="L18" s="10"/>
      <c r="M18" s="1070">
        <f>E18</f>
        <v>0</v>
      </c>
      <c r="N18" s="1056"/>
      <c r="O18" s="1056"/>
      <c r="P18" s="1056"/>
    </row>
    <row r="19" spans="1:16" ht="3.95" customHeight="1">
      <c r="C19" s="163"/>
      <c r="D19" s="10"/>
      <c r="E19" s="204"/>
      <c r="F19" s="10"/>
      <c r="G19" s="163"/>
      <c r="H19" s="10"/>
      <c r="I19" s="204"/>
      <c r="K19" s="163"/>
      <c r="L19" s="10"/>
      <c r="M19" s="184"/>
    </row>
    <row r="20" spans="1:16">
      <c r="A20" s="1" t="s">
        <v>544</v>
      </c>
      <c r="C20" s="2918"/>
      <c r="D20" s="10"/>
      <c r="E20" s="2919"/>
      <c r="F20" s="10"/>
      <c r="G20" s="2918"/>
      <c r="H20" s="10"/>
      <c r="I20" s="2919"/>
      <c r="K20" s="1069">
        <f>C20+G20</f>
        <v>0</v>
      </c>
      <c r="L20" s="10"/>
      <c r="M20" s="1070">
        <f>E20+I20</f>
        <v>0</v>
      </c>
    </row>
    <row r="21" spans="1:16" ht="3.95" customHeight="1">
      <c r="C21" s="3745"/>
      <c r="D21" s="10"/>
      <c r="E21" s="204"/>
      <c r="F21" s="10"/>
      <c r="G21" s="3745"/>
      <c r="H21" s="10"/>
      <c r="I21" s="204"/>
      <c r="K21" s="3748"/>
      <c r="L21" s="10"/>
      <c r="M21" s="204"/>
    </row>
    <row r="22" spans="1:16">
      <c r="A22" s="1" t="s">
        <v>1234</v>
      </c>
      <c r="C22" s="3746"/>
      <c r="D22" s="10"/>
      <c r="E22" s="1072">
        <f>IF(ISERROR(VLOOKUP(A16,Natural_Increase,2,0)),"",VLOOKUP(A16,Natural_Increase,2,0))</f>
        <v>20</v>
      </c>
      <c r="F22" s="10"/>
      <c r="G22" s="3746"/>
      <c r="H22" s="10"/>
      <c r="I22" s="1073"/>
      <c r="K22" s="3746"/>
      <c r="L22" s="10"/>
      <c r="M22" s="1073"/>
    </row>
    <row r="23" spans="1:16" ht="3.95" customHeight="1">
      <c r="C23" s="3747"/>
      <c r="D23" s="10"/>
      <c r="E23" s="204"/>
      <c r="F23" s="10"/>
      <c r="G23" s="3747"/>
      <c r="H23" s="10"/>
      <c r="I23" s="204"/>
      <c r="K23" s="3748"/>
      <c r="L23" s="10"/>
      <c r="M23" s="204"/>
    </row>
    <row r="24" spans="1:16">
      <c r="A24" s="1" t="s">
        <v>470</v>
      </c>
      <c r="C24" s="2918"/>
      <c r="D24" s="10"/>
      <c r="E24" s="638">
        <f>E22*C24</f>
        <v>0</v>
      </c>
      <c r="F24" s="10"/>
      <c r="G24" s="2918"/>
      <c r="H24" s="10"/>
      <c r="I24" s="638">
        <f>$E$22*G24</f>
        <v>0</v>
      </c>
      <c r="K24" s="1069">
        <f>C24+G24</f>
        <v>0</v>
      </c>
      <c r="L24" s="10"/>
      <c r="M24" s="638">
        <f>E24+I24</f>
        <v>0</v>
      </c>
    </row>
    <row r="25" spans="1:16" ht="3.95" customHeight="1">
      <c r="C25" s="163"/>
      <c r="D25" s="10"/>
      <c r="E25" s="204"/>
      <c r="F25" s="10"/>
      <c r="G25" s="163"/>
      <c r="H25" s="10"/>
      <c r="I25" s="204"/>
      <c r="K25" s="163"/>
      <c r="L25" s="10"/>
      <c r="M25" s="204"/>
    </row>
    <row r="26" spans="1:16" ht="13.5" thickBot="1">
      <c r="A26" s="1" t="s">
        <v>1096</v>
      </c>
      <c r="C26" s="205">
        <f>SUM(C18:C25)</f>
        <v>0</v>
      </c>
      <c r="D26" s="10"/>
      <c r="E26" s="639"/>
      <c r="F26" s="10"/>
      <c r="G26" s="205">
        <f>SUM(G18:G25)</f>
        <v>0</v>
      </c>
      <c r="H26" s="10"/>
      <c r="I26" s="639"/>
      <c r="K26" s="205">
        <f>SUM(K18:K25)</f>
        <v>0</v>
      </c>
      <c r="L26" s="10"/>
      <c r="M26" s="1074">
        <f>M18+M20+M24</f>
        <v>0</v>
      </c>
    </row>
    <row r="27" spans="1:16" ht="13.5" thickTop="1">
      <c r="C27" s="163"/>
      <c r="D27" s="10"/>
      <c r="E27" s="204"/>
      <c r="F27" s="10"/>
      <c r="G27" s="163"/>
      <c r="H27" s="10"/>
      <c r="I27" s="204"/>
      <c r="K27" s="163"/>
      <c r="L27" s="10"/>
      <c r="M27" s="204"/>
    </row>
    <row r="28" spans="1:16">
      <c r="A28" s="1" t="s">
        <v>471</v>
      </c>
      <c r="C28" s="2918"/>
      <c r="D28" s="10"/>
      <c r="E28" s="2919"/>
      <c r="F28" s="10"/>
      <c r="G28" s="2918"/>
      <c r="H28" s="10"/>
      <c r="I28" s="2919"/>
      <c r="K28" s="1069">
        <f>C28+G28</f>
        <v>0</v>
      </c>
      <c r="L28" s="27"/>
      <c r="M28" s="1070">
        <f>E28+I28</f>
        <v>0</v>
      </c>
    </row>
    <row r="29" spans="1:16" ht="3.95" customHeight="1">
      <c r="C29" s="163"/>
      <c r="D29" s="10"/>
      <c r="E29" s="204"/>
      <c r="F29" s="10"/>
      <c r="G29" s="163"/>
      <c r="H29" s="10"/>
      <c r="I29" s="204"/>
      <c r="K29" s="163"/>
      <c r="L29" s="10"/>
      <c r="M29" s="204"/>
    </row>
    <row r="30" spans="1:16">
      <c r="A30" s="1" t="s">
        <v>472</v>
      </c>
      <c r="C30" s="2918"/>
      <c r="D30" s="10"/>
      <c r="E30" s="639"/>
      <c r="F30" s="10"/>
      <c r="G30" s="2918"/>
      <c r="H30" s="10"/>
      <c r="I30" s="639"/>
      <c r="K30" s="1069">
        <f>C30+G30</f>
        <v>0</v>
      </c>
      <c r="L30" s="10"/>
      <c r="M30" s="639">
        <f>E30+I30</f>
        <v>0</v>
      </c>
    </row>
    <row r="31" spans="1:16" ht="3.95" customHeight="1">
      <c r="C31" s="163"/>
      <c r="D31" s="10"/>
      <c r="E31" s="204"/>
      <c r="F31" s="10"/>
      <c r="G31" s="163"/>
      <c r="H31" s="10"/>
      <c r="I31" s="204"/>
      <c r="K31" s="163"/>
      <c r="L31" s="10"/>
      <c r="M31" s="204"/>
    </row>
    <row r="32" spans="1:16">
      <c r="A32" s="1" t="s">
        <v>473</v>
      </c>
      <c r="C32" s="2918"/>
      <c r="D32" s="10"/>
      <c r="E32" s="639"/>
      <c r="F32" s="10"/>
      <c r="G32" s="2918"/>
      <c r="H32" s="10"/>
      <c r="I32" s="639"/>
      <c r="K32" s="1069">
        <f>C32+G32</f>
        <v>0</v>
      </c>
      <c r="L32" s="10"/>
      <c r="M32" s="639">
        <f>IF(K32&lt;1,0,(M18/K18)*K32)</f>
        <v>0</v>
      </c>
      <c r="O32" s="1029"/>
    </row>
    <row r="33" spans="1:16" ht="3.95" customHeight="1">
      <c r="C33" s="163"/>
      <c r="D33" s="10"/>
      <c r="E33" s="204"/>
      <c r="F33" s="10"/>
      <c r="G33" s="163"/>
      <c r="H33" s="10"/>
      <c r="I33" s="204"/>
      <c r="K33" s="163"/>
      <c r="L33" s="10"/>
      <c r="M33" s="204"/>
    </row>
    <row r="34" spans="1:16" ht="13.5" thickBot="1">
      <c r="A34" s="1" t="s">
        <v>474</v>
      </c>
      <c r="C34" s="1069"/>
      <c r="D34" s="10"/>
      <c r="E34" s="639"/>
      <c r="F34" s="10"/>
      <c r="G34" s="1069"/>
      <c r="H34" s="10"/>
      <c r="I34" s="639"/>
      <c r="K34" s="1075">
        <f>K26-K28-K30-K32</f>
        <v>0</v>
      </c>
      <c r="L34" s="27"/>
      <c r="M34" s="1074">
        <f>IF(K34&gt;0,K34*(M26/K26),0)</f>
        <v>0</v>
      </c>
    </row>
    <row r="35" spans="1:16" ht="13.5" thickTop="1">
      <c r="C35" s="163"/>
      <c r="D35" s="10"/>
      <c r="E35" s="204"/>
      <c r="F35" s="10"/>
      <c r="G35" s="163"/>
      <c r="H35" s="10"/>
      <c r="I35" s="204"/>
      <c r="K35" s="163"/>
      <c r="L35" s="10"/>
      <c r="M35" s="204" t="s">
        <v>508</v>
      </c>
    </row>
    <row r="36" spans="1:16">
      <c r="C36" s="1071"/>
      <c r="D36" s="10"/>
      <c r="E36" s="1070"/>
      <c r="F36" s="10"/>
      <c r="G36" s="1071"/>
      <c r="H36" s="10"/>
      <c r="I36" s="1070"/>
      <c r="K36" s="1071"/>
      <c r="L36" s="10"/>
      <c r="M36" s="1076">
        <f>+M28+M30+M32+M34-M18-M20</f>
        <v>0</v>
      </c>
    </row>
    <row r="38" spans="1:16" ht="9" customHeight="1"/>
    <row r="39" spans="1:16">
      <c r="A39" s="2921" t="s">
        <v>1051</v>
      </c>
      <c r="C39" s="3749" t="str">
        <f>"ACTUAL TO " &amp; UPPER(TEXT(DATE(YEAR(MIN('Projected Income &amp; Expenses'!$9:$9)),MONTH(MIN('Projected Income &amp; Expenses'!$9:$9)),0),"dd mmm"))</f>
        <v>ACTUAL TO 30 JUN</v>
      </c>
      <c r="D39" s="3750"/>
      <c r="E39" s="3751"/>
      <c r="F39" s="6"/>
      <c r="G39" s="3749" t="str">
        <f>UPPER("ESTIMATED (" &amp; TEXT(MIN('Projected Income &amp; Expenses'!$9:$9),"mmm") &amp;  TEXT(MAX('Projected Income &amp; Expenses'!$9:$9)," - mmm)"))</f>
        <v>ESTIMATED (JUL - JUN)</v>
      </c>
      <c r="H39" s="3750"/>
      <c r="I39" s="3751"/>
      <c r="K39" s="3749" t="s">
        <v>875</v>
      </c>
      <c r="L39" s="3750"/>
      <c r="M39" s="3751"/>
    </row>
    <row r="40" spans="1:16">
      <c r="C40" s="6" t="s">
        <v>1060</v>
      </c>
      <c r="D40" s="6"/>
      <c r="E40" s="38" t="s">
        <v>1128</v>
      </c>
      <c r="F40" s="6"/>
      <c r="G40" s="6" t="s">
        <v>1060</v>
      </c>
      <c r="H40" s="6"/>
      <c r="I40" s="38" t="s">
        <v>1128</v>
      </c>
      <c r="K40" s="6" t="s">
        <v>1060</v>
      </c>
      <c r="L40" s="6"/>
      <c r="M40" s="38" t="s">
        <v>1128</v>
      </c>
    </row>
    <row r="41" spans="1:16">
      <c r="A41" s="1" t="s">
        <v>469</v>
      </c>
      <c r="C41" s="2918"/>
      <c r="D41" s="10"/>
      <c r="E41" s="2919"/>
      <c r="F41" s="10"/>
      <c r="G41" s="1069"/>
      <c r="H41" s="27"/>
      <c r="I41" s="1070"/>
      <c r="J41" s="1056"/>
      <c r="K41" s="1069">
        <f>C41</f>
        <v>0</v>
      </c>
      <c r="L41" s="10"/>
      <c r="M41" s="1070">
        <f>E41</f>
        <v>0</v>
      </c>
      <c r="N41" s="1056"/>
      <c r="O41" s="1056"/>
      <c r="P41" s="1056"/>
    </row>
    <row r="42" spans="1:16" ht="3.95" customHeight="1">
      <c r="C42" s="163"/>
      <c r="D42" s="10"/>
      <c r="E42" s="204"/>
      <c r="F42" s="10"/>
      <c r="G42" s="163"/>
      <c r="H42" s="10"/>
      <c r="I42" s="204"/>
      <c r="K42" s="163"/>
      <c r="L42" s="10"/>
      <c r="M42" s="184"/>
    </row>
    <row r="43" spans="1:16">
      <c r="A43" s="1" t="s">
        <v>544</v>
      </c>
      <c r="C43" s="2918"/>
      <c r="D43" s="10"/>
      <c r="E43" s="2919"/>
      <c r="F43" s="10"/>
      <c r="G43" s="2918"/>
      <c r="H43" s="10"/>
      <c r="I43" s="2919"/>
      <c r="K43" s="1069">
        <f>C43+G43</f>
        <v>0</v>
      </c>
      <c r="L43" s="10"/>
      <c r="M43" s="1070">
        <f>E43+I43</f>
        <v>0</v>
      </c>
    </row>
    <row r="44" spans="1:16" ht="3.95" customHeight="1">
      <c r="C44" s="3745"/>
      <c r="D44" s="10"/>
      <c r="E44" s="204"/>
      <c r="F44" s="10"/>
      <c r="G44" s="3745"/>
      <c r="H44" s="10"/>
      <c r="I44" s="204"/>
      <c r="K44" s="3748"/>
      <c r="L44" s="10"/>
      <c r="M44" s="204"/>
    </row>
    <row r="45" spans="1:16">
      <c r="A45" s="1" t="s">
        <v>1234</v>
      </c>
      <c r="C45" s="3746"/>
      <c r="D45" s="10"/>
      <c r="E45" s="1072">
        <f>IF(ISERROR(VLOOKUP(A39,Natural_Increase,2,0)),"",VLOOKUP(A39,Natural_Increase,2,0))</f>
        <v>20</v>
      </c>
      <c r="F45" s="10"/>
      <c r="G45" s="3746"/>
      <c r="H45" s="10"/>
      <c r="I45" s="1073"/>
      <c r="K45" s="3746"/>
      <c r="L45" s="10"/>
      <c r="M45" s="1073"/>
    </row>
    <row r="46" spans="1:16" ht="3.95" customHeight="1">
      <c r="C46" s="3747"/>
      <c r="D46" s="10"/>
      <c r="E46" s="204"/>
      <c r="F46" s="10"/>
      <c r="G46" s="3747"/>
      <c r="H46" s="10"/>
      <c r="I46" s="204"/>
      <c r="K46" s="3748"/>
      <c r="L46" s="10"/>
      <c r="M46" s="204"/>
    </row>
    <row r="47" spans="1:16">
      <c r="A47" s="1" t="s">
        <v>470</v>
      </c>
      <c r="C47" s="2918"/>
      <c r="D47" s="10"/>
      <c r="E47" s="638">
        <f>E45*C47</f>
        <v>0</v>
      </c>
      <c r="F47" s="10"/>
      <c r="G47" s="2918"/>
      <c r="H47" s="10"/>
      <c r="I47" s="638">
        <f>$E$45*G47</f>
        <v>0</v>
      </c>
      <c r="K47" s="1069">
        <f>C47+G47</f>
        <v>0</v>
      </c>
      <c r="L47" s="10"/>
      <c r="M47" s="638">
        <f>E47+I47</f>
        <v>0</v>
      </c>
    </row>
    <row r="48" spans="1:16" ht="3.95" customHeight="1">
      <c r="C48" s="1882"/>
      <c r="D48" s="10"/>
      <c r="E48" s="204"/>
      <c r="F48" s="10"/>
      <c r="G48" s="163"/>
      <c r="H48" s="10"/>
      <c r="I48" s="204"/>
      <c r="K48" s="163"/>
      <c r="L48" s="10"/>
      <c r="M48" s="204"/>
    </row>
    <row r="49" spans="1:16" ht="13.5" thickBot="1">
      <c r="A49" s="1" t="s">
        <v>1096</v>
      </c>
      <c r="C49" s="205">
        <f>SUM(C41:C48)</f>
        <v>0</v>
      </c>
      <c r="D49" s="10"/>
      <c r="E49" s="639">
        <f>E41+E43+E47</f>
        <v>0</v>
      </c>
      <c r="F49" s="10"/>
      <c r="G49" s="205">
        <f>SUM(G41:G48)</f>
        <v>0</v>
      </c>
      <c r="H49" s="10"/>
      <c r="I49" s="639">
        <f>I41+I43+I47</f>
        <v>0</v>
      </c>
      <c r="K49" s="205">
        <f>SUM(K41:K48)</f>
        <v>0</v>
      </c>
      <c r="L49" s="10"/>
      <c r="M49" s="1074">
        <f>M41+M43+M47</f>
        <v>0</v>
      </c>
    </row>
    <row r="50" spans="1:16" ht="13.5" thickTop="1">
      <c r="C50" s="163"/>
      <c r="D50" s="10"/>
      <c r="E50" s="204"/>
      <c r="F50" s="10"/>
      <c r="G50" s="163"/>
      <c r="H50" s="10"/>
      <c r="I50" s="204"/>
      <c r="K50" s="163"/>
      <c r="L50" s="10"/>
      <c r="M50" s="204"/>
    </row>
    <row r="51" spans="1:16">
      <c r="A51" s="1" t="s">
        <v>471</v>
      </c>
      <c r="C51" s="2918"/>
      <c r="D51" s="10"/>
      <c r="E51" s="2919"/>
      <c r="F51" s="10"/>
      <c r="G51" s="2918"/>
      <c r="H51" s="10"/>
      <c r="I51" s="2919"/>
      <c r="K51" s="1069">
        <f>C51+G51</f>
        <v>0</v>
      </c>
      <c r="L51" s="27"/>
      <c r="M51" s="1070">
        <f>E51+I51</f>
        <v>0</v>
      </c>
    </row>
    <row r="52" spans="1:16" ht="3.95" customHeight="1">
      <c r="C52" s="163"/>
      <c r="D52" s="10"/>
      <c r="E52" s="204"/>
      <c r="F52" s="10"/>
      <c r="G52" s="163"/>
      <c r="H52" s="10"/>
      <c r="I52" s="204"/>
      <c r="K52" s="163"/>
      <c r="L52" s="10"/>
      <c r="M52" s="204"/>
    </row>
    <row r="53" spans="1:16">
      <c r="A53" s="1" t="s">
        <v>472</v>
      </c>
      <c r="C53" s="2918"/>
      <c r="D53" s="10"/>
      <c r="E53" s="639"/>
      <c r="F53" s="10"/>
      <c r="G53" s="2918"/>
      <c r="H53" s="10"/>
      <c r="I53" s="639"/>
      <c r="K53" s="1069">
        <f>C53+G53</f>
        <v>0</v>
      </c>
      <c r="L53" s="10"/>
      <c r="M53" s="639">
        <f>E53+I53</f>
        <v>0</v>
      </c>
    </row>
    <row r="54" spans="1:16" ht="3.95" customHeight="1">
      <c r="C54" s="163"/>
      <c r="D54" s="10"/>
      <c r="E54" s="204"/>
      <c r="F54" s="10"/>
      <c r="G54" s="163"/>
      <c r="H54" s="10"/>
      <c r="I54" s="204"/>
      <c r="K54" s="163"/>
      <c r="L54" s="10"/>
      <c r="M54" s="204"/>
    </row>
    <row r="55" spans="1:16">
      <c r="A55" s="1" t="s">
        <v>473</v>
      </c>
      <c r="C55" s="2918"/>
      <c r="D55" s="10"/>
      <c r="E55" s="639"/>
      <c r="F55" s="10"/>
      <c r="G55" s="2918"/>
      <c r="H55" s="10"/>
      <c r="I55" s="639"/>
      <c r="K55" s="1069">
        <f>C55+G55</f>
        <v>0</v>
      </c>
      <c r="L55" s="10"/>
      <c r="M55" s="639">
        <f>IF(K55&lt;1,0,(M41/K41)*K55)</f>
        <v>0</v>
      </c>
      <c r="O55" s="1029"/>
    </row>
    <row r="56" spans="1:16" ht="3.95" customHeight="1">
      <c r="C56" s="163"/>
      <c r="D56" s="10"/>
      <c r="E56" s="204"/>
      <c r="F56" s="10"/>
      <c r="G56" s="163"/>
      <c r="H56" s="10"/>
      <c r="I56" s="204"/>
      <c r="K56" s="163"/>
      <c r="L56" s="10"/>
      <c r="M56" s="204"/>
    </row>
    <row r="57" spans="1:16" ht="13.5" thickBot="1">
      <c r="A57" s="1" t="s">
        <v>474</v>
      </c>
      <c r="C57" s="1069"/>
      <c r="D57" s="10"/>
      <c r="E57" s="639"/>
      <c r="F57" s="10"/>
      <c r="G57" s="1069"/>
      <c r="H57" s="10"/>
      <c r="I57" s="639"/>
      <c r="K57" s="1075">
        <f>K49-K51-K53-K55</f>
        <v>0</v>
      </c>
      <c r="L57" s="27"/>
      <c r="M57" s="1074">
        <f>IF(K57&gt;0,K57*(M49/K49),0)</f>
        <v>0</v>
      </c>
    </row>
    <row r="58" spans="1:16" ht="13.5" thickTop="1">
      <c r="C58" s="163"/>
      <c r="D58" s="10"/>
      <c r="E58" s="204"/>
      <c r="F58" s="10"/>
      <c r="G58" s="163"/>
      <c r="H58" s="10"/>
      <c r="I58" s="204"/>
      <c r="K58" s="163"/>
      <c r="L58" s="10"/>
      <c r="M58" s="204" t="s">
        <v>508</v>
      </c>
    </row>
    <row r="59" spans="1:16">
      <c r="C59" s="1071"/>
      <c r="D59" s="10"/>
      <c r="E59" s="1070"/>
      <c r="F59" s="10"/>
      <c r="G59" s="1071"/>
      <c r="H59" s="10"/>
      <c r="I59" s="1070"/>
      <c r="K59" s="1071"/>
      <c r="L59" s="10"/>
      <c r="M59" s="1076">
        <f>+M51+M53+M55+M57-M41-M43</f>
        <v>0</v>
      </c>
    </row>
    <row r="61" spans="1:16">
      <c r="A61" s="2921" t="s">
        <v>1054</v>
      </c>
      <c r="C61" s="3749" t="str">
        <f>"ACTUAL TO " &amp; UPPER(TEXT(DATE(YEAR(MIN('Projected Income &amp; Expenses'!$9:$9)),MONTH(MIN('Projected Income &amp; Expenses'!$9:$9)),0),"dd mmm"))</f>
        <v>ACTUAL TO 30 JUN</v>
      </c>
      <c r="D61" s="3750"/>
      <c r="E61" s="3751"/>
      <c r="F61" s="6"/>
      <c r="G61" s="3749" t="str">
        <f>UPPER("ESTIMATED (" &amp; TEXT(MIN('Projected Income &amp; Expenses'!$9:$9),"mmm") &amp;  TEXT(MAX('Projected Income &amp; Expenses'!$9:$9)," - mmm)"))</f>
        <v>ESTIMATED (JUL - JUN)</v>
      </c>
      <c r="H61" s="3750"/>
      <c r="I61" s="3751"/>
      <c r="K61" s="3749" t="s">
        <v>875</v>
      </c>
      <c r="L61" s="3750"/>
      <c r="M61" s="3751"/>
    </row>
    <row r="62" spans="1:16">
      <c r="C62" s="6" t="s">
        <v>1060</v>
      </c>
      <c r="D62" s="6"/>
      <c r="E62" s="38" t="s">
        <v>1128</v>
      </c>
      <c r="F62" s="6"/>
      <c r="G62" s="6" t="s">
        <v>1060</v>
      </c>
      <c r="H62" s="6"/>
      <c r="I62" s="38" t="s">
        <v>1128</v>
      </c>
      <c r="K62" s="6" t="s">
        <v>1060</v>
      </c>
      <c r="L62" s="6"/>
      <c r="M62" s="38" t="s">
        <v>1128</v>
      </c>
    </row>
    <row r="63" spans="1:16">
      <c r="A63" s="1" t="s">
        <v>469</v>
      </c>
      <c r="C63" s="2918"/>
      <c r="D63" s="10"/>
      <c r="E63" s="2919"/>
      <c r="F63" s="10"/>
      <c r="G63" s="1069"/>
      <c r="H63" s="27"/>
      <c r="I63" s="1070"/>
      <c r="J63" s="1056"/>
      <c r="K63" s="1069">
        <f>C63</f>
        <v>0</v>
      </c>
      <c r="L63" s="10"/>
      <c r="M63" s="1070">
        <f>E63</f>
        <v>0</v>
      </c>
      <c r="N63" s="1056"/>
      <c r="O63" s="1056"/>
      <c r="P63" s="1056"/>
    </row>
    <row r="64" spans="1:16" ht="3.95" customHeight="1">
      <c r="C64" s="163"/>
      <c r="D64" s="10"/>
      <c r="E64" s="204"/>
      <c r="F64" s="10"/>
      <c r="G64" s="163"/>
      <c r="H64" s="10"/>
      <c r="I64" s="204"/>
      <c r="K64" s="163"/>
      <c r="L64" s="10"/>
      <c r="M64" s="184"/>
    </row>
    <row r="65" spans="1:15">
      <c r="A65" s="1" t="s">
        <v>544</v>
      </c>
      <c r="C65" s="2918"/>
      <c r="D65" s="10"/>
      <c r="E65" s="2919"/>
      <c r="F65" s="10"/>
      <c r="G65" s="2918"/>
      <c r="H65" s="10"/>
      <c r="I65" s="2919"/>
      <c r="K65" s="1069">
        <f>C65+G65</f>
        <v>0</v>
      </c>
      <c r="L65" s="10"/>
      <c r="M65" s="1070">
        <f>E65+I65</f>
        <v>0</v>
      </c>
    </row>
    <row r="66" spans="1:15" ht="3.95" customHeight="1">
      <c r="C66" s="3745"/>
      <c r="D66" s="10"/>
      <c r="E66" s="204"/>
      <c r="F66" s="10"/>
      <c r="G66" s="3745"/>
      <c r="H66" s="10"/>
      <c r="I66" s="204"/>
      <c r="K66" s="3748"/>
      <c r="L66" s="10"/>
      <c r="M66" s="204"/>
    </row>
    <row r="67" spans="1:15">
      <c r="A67" s="1" t="s">
        <v>1234</v>
      </c>
      <c r="C67" s="3746"/>
      <c r="D67" s="10"/>
      <c r="E67" s="1072">
        <f>IF(ISERROR(VLOOKUP(A61,Natural_Increase,2,0)),"",VLOOKUP(A61,Natural_Increase,2,0))</f>
        <v>12</v>
      </c>
      <c r="F67" s="10"/>
      <c r="G67" s="3746"/>
      <c r="H67" s="10"/>
      <c r="I67" s="1073"/>
      <c r="K67" s="3746"/>
      <c r="L67" s="10"/>
      <c r="M67" s="1073"/>
    </row>
    <row r="68" spans="1:15" ht="3.95" customHeight="1">
      <c r="C68" s="3747"/>
      <c r="D68" s="10"/>
      <c r="E68" s="204"/>
      <c r="F68" s="10"/>
      <c r="G68" s="3747"/>
      <c r="H68" s="10"/>
      <c r="I68" s="204"/>
      <c r="K68" s="3748"/>
      <c r="L68" s="10"/>
      <c r="M68" s="204"/>
    </row>
    <row r="69" spans="1:15">
      <c r="A69" s="1" t="s">
        <v>470</v>
      </c>
      <c r="C69" s="2918"/>
      <c r="D69" s="10"/>
      <c r="E69" s="638">
        <f>E67*C69</f>
        <v>0</v>
      </c>
      <c r="F69" s="10"/>
      <c r="G69" s="2918"/>
      <c r="H69" s="10"/>
      <c r="I69" s="638">
        <f>$E$67*G69</f>
        <v>0</v>
      </c>
      <c r="K69" s="1069">
        <f>C69+G69</f>
        <v>0</v>
      </c>
      <c r="L69" s="10"/>
      <c r="M69" s="638">
        <f>E69+I69</f>
        <v>0</v>
      </c>
    </row>
    <row r="70" spans="1:15" ht="3.95" customHeight="1">
      <c r="C70" s="163"/>
      <c r="D70" s="10"/>
      <c r="E70" s="204"/>
      <c r="F70" s="10"/>
      <c r="G70" s="163"/>
      <c r="H70" s="10"/>
      <c r="I70" s="204"/>
      <c r="K70" s="163"/>
      <c r="L70" s="10"/>
      <c r="M70" s="204"/>
    </row>
    <row r="71" spans="1:15" ht="13.5" thickBot="1">
      <c r="A71" s="1" t="s">
        <v>1096</v>
      </c>
      <c r="C71" s="205">
        <f>SUM(C63:C70)</f>
        <v>0</v>
      </c>
      <c r="D71" s="10"/>
      <c r="E71" s="639"/>
      <c r="F71" s="10"/>
      <c r="G71" s="205">
        <f>SUM(G63:G70)</f>
        <v>0</v>
      </c>
      <c r="H71" s="10"/>
      <c r="I71" s="639"/>
      <c r="K71" s="205">
        <f>SUM(K63:K70)</f>
        <v>0</v>
      </c>
      <c r="L71" s="10"/>
      <c r="M71" s="1074">
        <f>M63+M65+M69</f>
        <v>0</v>
      </c>
    </row>
    <row r="72" spans="1:15" ht="13.5" thickTop="1">
      <c r="C72" s="163"/>
      <c r="D72" s="10"/>
      <c r="E72" s="204"/>
      <c r="F72" s="10"/>
      <c r="G72" s="163"/>
      <c r="H72" s="1789"/>
      <c r="I72" s="204"/>
      <c r="K72" s="163"/>
      <c r="L72" s="10"/>
      <c r="M72" s="204"/>
    </row>
    <row r="73" spans="1:15">
      <c r="A73" s="1" t="s">
        <v>471</v>
      </c>
      <c r="C73" s="2918"/>
      <c r="D73" s="10"/>
      <c r="E73" s="2919"/>
      <c r="F73" s="10"/>
      <c r="G73" s="2918"/>
      <c r="H73" s="1789"/>
      <c r="I73" s="2919"/>
      <c r="K73" s="1069">
        <f>C73+G73</f>
        <v>0</v>
      </c>
      <c r="L73" s="27"/>
      <c r="M73" s="1070">
        <f>E73+I73</f>
        <v>0</v>
      </c>
    </row>
    <row r="74" spans="1:15" ht="3.95" customHeight="1">
      <c r="C74" s="163"/>
      <c r="D74" s="10"/>
      <c r="E74" s="204"/>
      <c r="F74" s="10"/>
      <c r="G74" s="163"/>
      <c r="H74" s="1789"/>
      <c r="I74" s="204"/>
      <c r="K74" s="163"/>
      <c r="L74" s="10"/>
      <c r="M74" s="204"/>
    </row>
    <row r="75" spans="1:15">
      <c r="A75" s="1" t="s">
        <v>472</v>
      </c>
      <c r="C75" s="2918"/>
      <c r="D75" s="10"/>
      <c r="E75" s="639"/>
      <c r="F75" s="10"/>
      <c r="G75" s="2918"/>
      <c r="H75" s="1789"/>
      <c r="I75" s="639"/>
      <c r="K75" s="1069">
        <f>C75+G75</f>
        <v>0</v>
      </c>
      <c r="L75" s="10"/>
      <c r="M75" s="639">
        <f>E75+I75</f>
        <v>0</v>
      </c>
    </row>
    <row r="76" spans="1:15" ht="3.95" customHeight="1">
      <c r="C76" s="163"/>
      <c r="D76" s="10"/>
      <c r="E76" s="204"/>
      <c r="F76" s="10"/>
      <c r="G76" s="163"/>
      <c r="H76" s="10"/>
      <c r="I76" s="204"/>
      <c r="K76" s="163"/>
      <c r="L76" s="10"/>
      <c r="M76" s="204"/>
    </row>
    <row r="77" spans="1:15">
      <c r="A77" s="1" t="s">
        <v>473</v>
      </c>
      <c r="C77" s="2918"/>
      <c r="D77" s="10"/>
      <c r="E77" s="639"/>
      <c r="F77" s="10"/>
      <c r="G77" s="2918"/>
      <c r="H77" s="10"/>
      <c r="I77" s="639"/>
      <c r="K77" s="1069">
        <f>C77+G77</f>
        <v>0</v>
      </c>
      <c r="L77" s="10"/>
      <c r="M77" s="639">
        <f>IF(K77&lt;1,0,(M63/K63)*K77)</f>
        <v>0</v>
      </c>
      <c r="O77" s="1029"/>
    </row>
    <row r="78" spans="1:15" ht="3.95" customHeight="1">
      <c r="C78" s="163"/>
      <c r="D78" s="10"/>
      <c r="E78" s="204"/>
      <c r="F78" s="10"/>
      <c r="G78" s="163"/>
      <c r="H78" s="10"/>
      <c r="I78" s="204"/>
      <c r="K78" s="163"/>
      <c r="L78" s="10"/>
      <c r="M78" s="204"/>
    </row>
    <row r="79" spans="1:15" ht="13.5" thickBot="1">
      <c r="A79" s="1" t="s">
        <v>474</v>
      </c>
      <c r="C79" s="1069"/>
      <c r="D79" s="10"/>
      <c r="E79" s="639"/>
      <c r="F79" s="10"/>
      <c r="G79" s="1069"/>
      <c r="H79" s="10"/>
      <c r="I79" s="639"/>
      <c r="K79" s="1075">
        <f>K71-K73-K75-K77</f>
        <v>0</v>
      </c>
      <c r="L79" s="27"/>
      <c r="M79" s="1074">
        <f>IF(K79&gt;0,K79*(M71/K71),0)</f>
        <v>0</v>
      </c>
    </row>
    <row r="80" spans="1:15" ht="13.5" thickTop="1">
      <c r="C80" s="163"/>
      <c r="D80" s="10"/>
      <c r="E80" s="204"/>
      <c r="F80" s="10"/>
      <c r="G80" s="163"/>
      <c r="H80" s="10"/>
      <c r="I80" s="204"/>
      <c r="K80" s="163"/>
      <c r="L80" s="10"/>
      <c r="M80" s="204" t="s">
        <v>508</v>
      </c>
    </row>
    <row r="81" spans="1:15">
      <c r="C81" s="1071"/>
      <c r="D81" s="10"/>
      <c r="E81" s="1070"/>
      <c r="F81" s="10"/>
      <c r="G81" s="1071"/>
      <c r="H81" s="10"/>
      <c r="I81" s="1070"/>
      <c r="K81" s="1071"/>
      <c r="L81" s="10"/>
      <c r="M81" s="1076">
        <f>+M73+M75+M77+M79-M63-M65</f>
        <v>0</v>
      </c>
    </row>
    <row r="83" spans="1:15">
      <c r="A83" s="3" t="s">
        <v>172</v>
      </c>
    </row>
    <row r="84" spans="1:15" ht="54" customHeight="1">
      <c r="A84" s="3742"/>
      <c r="B84" s="3743"/>
      <c r="C84" s="3743"/>
      <c r="D84" s="3743"/>
      <c r="E84" s="3743"/>
      <c r="F84" s="3743"/>
      <c r="G84" s="3743"/>
      <c r="H84" s="3743"/>
      <c r="I84" s="3743"/>
      <c r="J84" s="3743"/>
      <c r="K84" s="3743"/>
      <c r="L84" s="3743"/>
      <c r="M84" s="3743"/>
      <c r="N84" s="3743"/>
      <c r="O84" s="3744"/>
    </row>
    <row r="86" spans="1:15" ht="39.75" customHeight="1">
      <c r="A86" s="3739" t="str">
        <f>"In preparing these calculations we have relied on source information provided to us by "&amp;ClientName&amp;". Although this source information is likely to be based on various assumptions and forecasts made by "&amp;ClientName&amp;" we have relied on this in formation as being accurate and complete and have not sought to verify or vouch for any of the information provided."</f>
        <v>In preparing these calculations we have relied on source information provided to us by Example Trust. Although this source information is likely to be based on various assumptions and forecasts made by Example Trust we have relied on this in formation as being accurate and complete and have not sought to verify or vouch for any of the information provided.</v>
      </c>
      <c r="B86" s="3739"/>
      <c r="C86" s="3739"/>
      <c r="D86" s="3739"/>
      <c r="E86" s="3739"/>
      <c r="F86" s="3739"/>
      <c r="G86" s="3739"/>
      <c r="H86" s="3739"/>
      <c r="I86" s="3739"/>
      <c r="J86" s="3739"/>
      <c r="K86" s="3739"/>
      <c r="L86" s="3739"/>
      <c r="M86" s="3739"/>
      <c r="N86" s="3739"/>
      <c r="O86" s="3739"/>
    </row>
    <row r="87" spans="1:15" ht="36.75" customHeight="1">
      <c r="A87" s="3739" t="str">
        <f>"Further, the estimates have been prepared at the request of and for the benefit of the above named client only, and neither Findex (Aust) Pty Ltd "&amp; "or any member or employee of Crowe Horwath undertakes any responsibility in any way whatsoever to any person or company other than " &amp;ClientName &amp; " for any errors or omissions in the calculations or recommendations, however caused."</f>
        <v>Further, the estimates have been prepared at the request of and for the benefit of the above named client only, and neither Findex (Aust) Pty Ltd or any member or employee of Crowe Horwath undertakes any responsibility in any way whatsoever to any person or company other than Example Trust for any errors or omissions in the calculations or recommendations, however caused.</v>
      </c>
      <c r="B87" s="3739"/>
      <c r="C87" s="3739"/>
      <c r="D87" s="3739"/>
      <c r="E87" s="3739"/>
      <c r="F87" s="3739"/>
      <c r="G87" s="3739"/>
      <c r="H87" s="3739"/>
      <c r="I87" s="3739"/>
      <c r="J87" s="3739"/>
      <c r="K87" s="3739"/>
      <c r="L87" s="3739"/>
      <c r="M87" s="3739"/>
      <c r="N87" s="3739"/>
      <c r="O87" s="3739"/>
    </row>
  </sheetData>
  <sheetProtection selectLockedCells="1"/>
  <customSheetViews>
    <customSheetView guid="{BCBE45D4-3C45-4659-992E-5C5D3E9FD81C}" showPageBreaks="1" showGridLines="0" fitToPage="1" printArea="1" hiddenRows="1" state="hidden">
      <pageMargins left="0.59055118110236227" right="0.43307086614173229" top="0.6692913385826772" bottom="0.94488188976377963" header="0.51181102362204722" footer="0.39370078740157483"/>
      <printOptions horizontalCentered="1"/>
      <pageSetup paperSize="9" scale="8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showGridLines="0" fitToPage="1" printArea="1" hiddenRows="1" state="hidden">
      <pageMargins left="0.59055118110236227" right="0.43307086614173229" top="0.6692913385826772" bottom="0.94488188976377963" header="0.51181102362204722" footer="0.39370078740157483"/>
      <printOptions horizontalCentered="1"/>
      <pageSetup paperSize="9" scale="80" fitToHeight="999" orientation="portrait" blackAndWhite="1" r:id="rId2"/>
      <headerFooter alignWithMargins="0">
        <oddFooter>&amp;L&amp;8Copyright Crowe Horwath (Aust) Pty Ltd 2016.  All rights reserved.
&amp;Z&amp;F[&amp;A]&amp;R&amp;8&amp;P/&amp;N</oddFooter>
      </headerFooter>
    </customSheetView>
  </customSheetViews>
  <mergeCells count="23">
    <mergeCell ref="K39:M39"/>
    <mergeCell ref="C66:C68"/>
    <mergeCell ref="G66:G68"/>
    <mergeCell ref="K66:K68"/>
    <mergeCell ref="C61:E61"/>
    <mergeCell ref="G61:I61"/>
    <mergeCell ref="K61:M61"/>
    <mergeCell ref="A87:O87"/>
    <mergeCell ref="A7:O7"/>
    <mergeCell ref="A8:O8"/>
    <mergeCell ref="A86:O86"/>
    <mergeCell ref="A84:O84"/>
    <mergeCell ref="C21:C23"/>
    <mergeCell ref="G21:G23"/>
    <mergeCell ref="K21:K23"/>
    <mergeCell ref="C39:E39"/>
    <mergeCell ref="C16:E16"/>
    <mergeCell ref="G16:I16"/>
    <mergeCell ref="K16:M16"/>
    <mergeCell ref="C44:C46"/>
    <mergeCell ref="G44:G46"/>
    <mergeCell ref="K44:K46"/>
    <mergeCell ref="G39:I39"/>
  </mergeCells>
  <phoneticPr fontId="26" type="noConversion"/>
  <dataValidations count="1">
    <dataValidation type="list" allowBlank="1" showInputMessage="1" showErrorMessage="1" sqref="A16 A39 A61" xr:uid="{00000000-0002-0000-1500-000000000000}">
      <formula1>OFFSET(Natural_Increase,,,,1)</formula1>
    </dataValidation>
  </dataValidations>
  <hyperlinks>
    <hyperlink ref="Q5" location="'WPIndex'!A1" display="Back to Workpaper Index" xr:uid="{99795246-5523-461C-82CD-BDAC2AC2886D}"/>
  </hyperlinks>
  <printOptions horizontalCentered="1"/>
  <pageMargins left="0.59055118110236227" right="0.43307086614173229" top="0.6692913385826772" bottom="0.94488188976377963" header="0.51181102362204722" footer="0.39370078740157483"/>
  <pageSetup paperSize="9" scale="78" fitToHeight="999" orientation="portrait" r:id="rId3"/>
  <headerFooter alignWithMargins="0">
    <oddFooter>&amp;L&amp;8© Findex (Aust) Pty Ltd.  All rights reserved.&amp;R&amp;8&amp;P/&amp;N</oddFoot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38D0C-5C81-4B2E-B159-879AE9E09CF9}">
  <sheetPr codeName="Template_Sheet1">
    <tabColor theme="8" tint="0.79998168889431442"/>
    <pageSetUpPr fitToPage="1"/>
  </sheetPr>
  <dimension ref="A1:AI299"/>
  <sheetViews>
    <sheetView showGridLines="0" zoomScaleNormal="100" zoomScaleSheetLayoutView="70" workbookViewId="0">
      <pane ySplit="12" topLeftCell="A15" activePane="bottomLeft" state="frozen"/>
      <selection sqref="A1:F1"/>
      <selection pane="bottomLeft" sqref="A1:F1"/>
    </sheetView>
  </sheetViews>
  <sheetFormatPr defaultColWidth="11.7109375" defaultRowHeight="12.75"/>
  <cols>
    <col min="1" max="1" width="47.28515625" style="2558" customWidth="1"/>
    <col min="2" max="5" width="12.85546875" style="2558" customWidth="1"/>
    <col min="6" max="11" width="12.85546875" style="2558" hidden="1" customWidth="1"/>
    <col min="12" max="12" width="12.85546875" style="2558" customWidth="1" collapsed="1"/>
    <col min="13" max="15" width="12.85546875" style="2558" hidden="1" customWidth="1"/>
    <col min="16" max="16" width="12.85546875" style="2558" customWidth="1" collapsed="1"/>
    <col min="17" max="17" width="12.85546875" style="1619" customWidth="1"/>
    <col min="18" max="20" width="12.85546875" style="1619" hidden="1" customWidth="1"/>
    <col min="21" max="21" width="13.85546875" style="1620" customWidth="1" collapsed="1"/>
    <col min="22" max="22" width="12.85546875" style="1619" bestFit="1" customWidth="1"/>
    <col min="23" max="23" width="15.140625" style="1619" customWidth="1"/>
    <col min="24" max="24" width="4.5703125" style="2557" bestFit="1" customWidth="1"/>
    <col min="25" max="26" width="11.7109375" style="2558"/>
    <col min="27" max="28" width="11.85546875" style="2558" customWidth="1"/>
    <col min="29" max="29" width="11.85546875" style="2558" hidden="1" customWidth="1"/>
    <col min="30" max="30" width="11.85546875" style="2558" customWidth="1"/>
    <col min="31" max="16384" width="11.7109375" style="2558"/>
  </cols>
  <sheetData>
    <row r="1" spans="1:29">
      <c r="A1" s="3178"/>
      <c r="V1" s="3099" t="s">
        <v>2425</v>
      </c>
      <c r="W1" s="3101" t="s">
        <v>2758</v>
      </c>
    </row>
    <row r="2" spans="1:29">
      <c r="A2" s="3179"/>
      <c r="V2" s="3099"/>
      <c r="W2" s="3101"/>
    </row>
    <row r="3" spans="1:29">
      <c r="A3" s="3179"/>
      <c r="V3" s="3099"/>
      <c r="W3" s="3101"/>
    </row>
    <row r="4" spans="1:29">
      <c r="A4" s="3179"/>
      <c r="V4" s="3099"/>
      <c r="W4" s="3101"/>
    </row>
    <row r="5" spans="1:29" ht="13.5" thickBot="1">
      <c r="A5" s="3180"/>
      <c r="V5" s="3099"/>
      <c r="W5" s="3101"/>
    </row>
    <row r="6" spans="1:29" ht="18">
      <c r="A6" s="2559" t="s">
        <v>2288</v>
      </c>
      <c r="B6" s="2602"/>
      <c r="C6" s="2556"/>
      <c r="D6" s="2556"/>
      <c r="E6" s="2556"/>
      <c r="F6" s="2556"/>
      <c r="G6" s="2556"/>
      <c r="H6" s="2556"/>
      <c r="I6" s="2556"/>
      <c r="J6" s="2556"/>
      <c r="K6" s="2556"/>
      <c r="L6" s="2556"/>
      <c r="M6" s="2556"/>
      <c r="N6" s="2556"/>
      <c r="O6" s="2556"/>
      <c r="P6" s="2556"/>
      <c r="Q6" s="2558"/>
      <c r="R6" s="2558"/>
      <c r="S6" s="2558"/>
      <c r="T6" s="2558"/>
      <c r="U6" s="2560"/>
      <c r="V6" s="2730" t="s">
        <v>1163</v>
      </c>
      <c r="W6" s="2730" t="s">
        <v>1262</v>
      </c>
      <c r="X6" s="2562"/>
    </row>
    <row r="7" spans="1:29" ht="17.25" customHeight="1">
      <c r="A7" s="2556"/>
      <c r="B7" s="3752"/>
      <c r="C7" s="3753"/>
      <c r="D7" s="3753"/>
      <c r="E7" s="3753"/>
      <c r="F7" s="3753"/>
      <c r="G7" s="3753"/>
      <c r="H7" s="3753"/>
      <c r="I7" s="3753"/>
      <c r="J7" s="3753"/>
      <c r="K7" s="3753"/>
      <c r="L7" s="3753"/>
      <c r="M7" s="3753"/>
      <c r="N7" s="3753"/>
      <c r="O7" s="3753"/>
      <c r="P7" s="3754"/>
      <c r="Q7" s="2558"/>
      <c r="R7" s="2558"/>
      <c r="S7" s="2558"/>
      <c r="T7" s="2558"/>
      <c r="U7" s="2561" t="s">
        <v>332</v>
      </c>
      <c r="V7" s="2624"/>
      <c r="W7" s="2623"/>
      <c r="X7" s="2562"/>
    </row>
    <row r="8" spans="1:29" ht="17.25" customHeight="1">
      <c r="A8" s="2556"/>
      <c r="B8" s="3755"/>
      <c r="C8" s="3756"/>
      <c r="D8" s="3756"/>
      <c r="E8" s="3756"/>
      <c r="F8" s="3756"/>
      <c r="G8" s="3756"/>
      <c r="H8" s="3756"/>
      <c r="I8" s="3756"/>
      <c r="J8" s="3756"/>
      <c r="K8" s="3756"/>
      <c r="L8" s="3756"/>
      <c r="M8" s="3756"/>
      <c r="N8" s="3756"/>
      <c r="O8" s="3756"/>
      <c r="P8" s="3757"/>
      <c r="Q8" s="2558"/>
      <c r="R8" s="2558"/>
      <c r="S8" s="2558"/>
      <c r="T8" s="2558"/>
      <c r="U8" s="2561" t="s">
        <v>333</v>
      </c>
      <c r="V8" s="2625"/>
      <c r="W8" s="2626"/>
      <c r="X8" s="2562"/>
    </row>
    <row r="9" spans="1:29" ht="17.25" customHeight="1">
      <c r="B9" s="3181"/>
      <c r="C9" s="3181"/>
      <c r="D9" s="3181"/>
      <c r="E9" s="3181"/>
      <c r="F9" s="3181"/>
      <c r="G9" s="3181"/>
      <c r="H9" s="3181"/>
      <c r="I9" s="3181"/>
      <c r="J9" s="3181"/>
      <c r="K9" s="3181"/>
      <c r="L9" s="3181"/>
      <c r="M9" s="3181"/>
      <c r="N9" s="3181"/>
      <c r="O9" s="3181"/>
      <c r="P9" s="3181"/>
      <c r="Q9" s="2558"/>
      <c r="R9" s="2558"/>
      <c r="S9" s="2558"/>
      <c r="T9" s="2558"/>
      <c r="U9" s="3182"/>
      <c r="V9" s="3183"/>
      <c r="W9" s="3184"/>
      <c r="X9" s="3185"/>
    </row>
    <row r="10" spans="1:29" ht="17.25" customHeight="1">
      <c r="A10" s="3189" t="str">
        <f>RIGHT(YEAR(Period_End),4)&amp;" Tax Planning Summary - "&amp;W16&amp;" Group"</f>
        <v>2024 Tax Planning Summary -  Group</v>
      </c>
      <c r="B10" s="3181"/>
      <c r="C10" s="3181"/>
      <c r="D10" s="3181"/>
      <c r="E10" s="3181"/>
      <c r="F10" s="3181"/>
      <c r="G10" s="3181"/>
      <c r="H10" s="3181"/>
      <c r="I10" s="3181"/>
      <c r="J10" s="3181"/>
      <c r="K10" s="3181"/>
      <c r="L10" s="3181"/>
      <c r="M10" s="3181"/>
      <c r="N10" s="3181"/>
      <c r="O10" s="3181"/>
      <c r="P10" s="3181"/>
      <c r="Q10" s="2558"/>
      <c r="R10" s="2558"/>
      <c r="S10" s="2558"/>
      <c r="T10" s="2558"/>
      <c r="U10" s="3182"/>
      <c r="V10" s="3183"/>
      <c r="W10" s="3184"/>
      <c r="X10" s="3185"/>
    </row>
    <row r="11" spans="1:29" ht="18.75">
      <c r="A11" s="3143"/>
      <c r="B11" s="2560"/>
      <c r="C11" s="2560"/>
      <c r="D11" s="2560"/>
      <c r="E11" s="2560"/>
      <c r="F11" s="2560"/>
      <c r="G11" s="2560"/>
      <c r="H11" s="2560"/>
      <c r="I11" s="2560"/>
      <c r="J11" s="2560"/>
      <c r="K11" s="2560"/>
      <c r="L11" s="2560"/>
      <c r="M11" s="2560"/>
      <c r="N11" s="2560"/>
      <c r="O11" s="2560"/>
      <c r="P11" s="2560"/>
      <c r="Q11" s="2560"/>
      <c r="R11" s="2560"/>
      <c r="S11" s="2560"/>
      <c r="T11" s="2560"/>
      <c r="U11" s="2560"/>
      <c r="V11" s="3247" t="s">
        <v>2526</v>
      </c>
      <c r="W11" s="3148"/>
    </row>
    <row r="12" spans="1:29">
      <c r="B12" s="2563" t="s">
        <v>2289</v>
      </c>
      <c r="C12" s="2563" t="s">
        <v>2290</v>
      </c>
      <c r="D12" s="2563" t="s">
        <v>2291</v>
      </c>
      <c r="E12" s="2563" t="s">
        <v>2292</v>
      </c>
      <c r="F12" s="2563" t="s">
        <v>2293</v>
      </c>
      <c r="G12" s="2563" t="s">
        <v>2294</v>
      </c>
      <c r="H12" s="2563" t="s">
        <v>2295</v>
      </c>
      <c r="I12" s="2563" t="s">
        <v>2296</v>
      </c>
      <c r="J12" s="2563" t="s">
        <v>2297</v>
      </c>
      <c r="K12" s="2563" t="s">
        <v>2298</v>
      </c>
      <c r="L12" s="2563" t="s">
        <v>90</v>
      </c>
      <c r="M12" s="2563" t="s">
        <v>2299</v>
      </c>
      <c r="N12" s="2563" t="s">
        <v>92</v>
      </c>
      <c r="O12" s="2563" t="s">
        <v>93</v>
      </c>
      <c r="P12" s="2563" t="s">
        <v>10</v>
      </c>
      <c r="Q12" s="2564" t="s">
        <v>2421</v>
      </c>
      <c r="R12" s="2564" t="s">
        <v>2422</v>
      </c>
      <c r="S12" s="2564" t="s">
        <v>2423</v>
      </c>
      <c r="T12" s="2564" t="s">
        <v>2424</v>
      </c>
      <c r="X12" s="2565"/>
      <c r="AC12" s="2566" t="s">
        <v>2300</v>
      </c>
    </row>
    <row r="13" spans="1:29">
      <c r="A13" s="2560" t="s">
        <v>2301</v>
      </c>
      <c r="B13" s="2567" t="s">
        <v>2037</v>
      </c>
      <c r="C13" s="2567" t="s">
        <v>2037</v>
      </c>
      <c r="D13" s="2567" t="s">
        <v>2037</v>
      </c>
      <c r="E13" s="2567" t="s">
        <v>2037</v>
      </c>
      <c r="F13" s="2567" t="s">
        <v>2037</v>
      </c>
      <c r="G13" s="2567" t="s">
        <v>2037</v>
      </c>
      <c r="H13" s="2567" t="s">
        <v>2037</v>
      </c>
      <c r="I13" s="2567" t="s">
        <v>2037</v>
      </c>
      <c r="J13" s="2567" t="s">
        <v>2037</v>
      </c>
      <c r="K13" s="2567" t="s">
        <v>2037</v>
      </c>
      <c r="Q13" s="2568" t="s">
        <v>2037</v>
      </c>
      <c r="R13" s="2568" t="s">
        <v>2037</v>
      </c>
      <c r="S13" s="2568" t="s">
        <v>2037</v>
      </c>
      <c r="T13" s="2568" t="s">
        <v>2037</v>
      </c>
      <c r="V13" s="2561" t="s">
        <v>952</v>
      </c>
      <c r="W13" s="2569">
        <f>Period_Start</f>
        <v>45108</v>
      </c>
      <c r="AC13" s="2570"/>
    </row>
    <row r="14" spans="1:29">
      <c r="A14" s="2560" t="s">
        <v>2302</v>
      </c>
      <c r="B14" s="2571"/>
      <c r="C14" s="2571"/>
      <c r="D14" s="2572"/>
      <c r="E14" s="2572"/>
      <c r="F14" s="2572"/>
      <c r="G14" s="2572"/>
      <c r="H14" s="2572"/>
      <c r="I14" s="2572"/>
      <c r="J14" s="2571"/>
      <c r="K14" s="2572"/>
      <c r="Q14" s="2571"/>
      <c r="R14" s="2572"/>
      <c r="S14" s="2572"/>
      <c r="T14" s="2572"/>
      <c r="V14" s="2561" t="s">
        <v>951</v>
      </c>
      <c r="W14" s="2569">
        <f>Period_End</f>
        <v>45473</v>
      </c>
      <c r="AC14" s="2570" t="s">
        <v>2037</v>
      </c>
    </row>
    <row r="15" spans="1:29">
      <c r="A15" s="2560" t="s">
        <v>2303</v>
      </c>
      <c r="B15" s="2573" t="str">
        <f t="shared" ref="B15:K15" si="0">IF(B14="","",DATEDIF(B14,$W$14,"y"))</f>
        <v/>
      </c>
      <c r="C15" s="2573" t="str">
        <f t="shared" si="0"/>
        <v/>
      </c>
      <c r="D15" s="2573" t="str">
        <f t="shared" si="0"/>
        <v/>
      </c>
      <c r="E15" s="2573" t="str">
        <f t="shared" si="0"/>
        <v/>
      </c>
      <c r="F15" s="2573" t="str">
        <f t="shared" si="0"/>
        <v/>
      </c>
      <c r="G15" s="2573" t="str">
        <f t="shared" si="0"/>
        <v/>
      </c>
      <c r="H15" s="2573" t="str">
        <f t="shared" si="0"/>
        <v/>
      </c>
      <c r="I15" s="2573" t="str">
        <f t="shared" si="0"/>
        <v/>
      </c>
      <c r="J15" s="2573" t="str">
        <f t="shared" si="0"/>
        <v/>
      </c>
      <c r="K15" s="2573" t="str">
        <f t="shared" si="0"/>
        <v/>
      </c>
      <c r="Q15" s="2573" t="str">
        <f>IF(Q14="","",DATEDIF(Q14,$W$14,"y"))</f>
        <v/>
      </c>
      <c r="R15" s="2573" t="str">
        <f>IF(R14="","",DATEDIF(R14,$W$14,"y"))</f>
        <v/>
      </c>
      <c r="S15" s="2573" t="str">
        <f>IF(S14="","",DATEDIF(S14,$W$14,"y"))</f>
        <v/>
      </c>
      <c r="T15" s="2573" t="str">
        <f>IF(T14="","",DATEDIF(T14,$W$14,"y"))</f>
        <v/>
      </c>
      <c r="V15" s="2558"/>
      <c r="W15" s="2558"/>
      <c r="AC15" s="2570" t="s">
        <v>2304</v>
      </c>
    </row>
    <row r="16" spans="1:29" ht="16.5" customHeight="1">
      <c r="A16" s="2560" t="s">
        <v>2634</v>
      </c>
      <c r="B16" s="2567"/>
      <c r="C16" s="2567"/>
      <c r="D16" s="2567"/>
      <c r="E16" s="2567"/>
      <c r="F16" s="2567"/>
      <c r="G16" s="2567"/>
      <c r="H16" s="2567"/>
      <c r="I16" s="2567"/>
      <c r="J16" s="2567"/>
      <c r="K16" s="2567"/>
      <c r="Q16" s="2567"/>
      <c r="R16" s="2567"/>
      <c r="S16" s="2567"/>
      <c r="T16" s="2567"/>
      <c r="V16" s="2574" t="s">
        <v>2305</v>
      </c>
      <c r="W16" s="2575"/>
      <c r="AC16" s="2570" t="s">
        <v>2306</v>
      </c>
    </row>
    <row r="17" spans="1:29">
      <c r="A17" s="2560" t="s">
        <v>2307</v>
      </c>
      <c r="B17" s="3100"/>
      <c r="C17" s="3100"/>
      <c r="D17" s="3100"/>
      <c r="E17" s="3100"/>
      <c r="F17" s="3100"/>
      <c r="G17" s="3100"/>
      <c r="H17" s="3100"/>
      <c r="I17" s="3100"/>
      <c r="J17" s="3100"/>
      <c r="K17" s="3100"/>
      <c r="V17" s="2558"/>
      <c r="W17" s="2558"/>
      <c r="AC17" s="2570"/>
    </row>
    <row r="18" spans="1:29">
      <c r="A18" s="2560" t="s">
        <v>2308</v>
      </c>
      <c r="B18" s="2576"/>
      <c r="C18" s="2576"/>
      <c r="D18" s="2576"/>
      <c r="E18" s="2576"/>
      <c r="F18" s="2576"/>
      <c r="G18" s="2576"/>
      <c r="H18" s="2576"/>
      <c r="I18" s="2576"/>
      <c r="J18" s="2576"/>
      <c r="K18" s="2576"/>
      <c r="AC18" s="2570" t="s">
        <v>440</v>
      </c>
    </row>
    <row r="19" spans="1:29">
      <c r="A19" s="2560" t="s">
        <v>2309</v>
      </c>
      <c r="B19" s="2567"/>
      <c r="C19" s="2567"/>
      <c r="D19" s="2567"/>
      <c r="E19" s="2567"/>
      <c r="F19" s="2567"/>
      <c r="G19" s="2567"/>
      <c r="H19" s="2567"/>
      <c r="I19" s="2567"/>
      <c r="J19" s="2567"/>
      <c r="K19" s="2567"/>
      <c r="AC19" s="2570" t="s">
        <v>441</v>
      </c>
    </row>
    <row r="20" spans="1:29">
      <c r="A20" s="2560" t="s">
        <v>2310</v>
      </c>
      <c r="B20" s="2567"/>
      <c r="C20" s="2567"/>
      <c r="D20" s="2567"/>
      <c r="E20" s="2567"/>
      <c r="F20" s="2567"/>
      <c r="G20" s="2567"/>
      <c r="H20" s="2567"/>
      <c r="I20" s="2567"/>
      <c r="J20" s="2567"/>
      <c r="K20" s="2567"/>
    </row>
    <row r="21" spans="1:29">
      <c r="A21" s="2560" t="s">
        <v>2311</v>
      </c>
      <c r="B21" s="2567"/>
      <c r="C21" s="2567"/>
      <c r="D21" s="2567"/>
      <c r="E21" s="2567"/>
      <c r="F21" s="2567"/>
      <c r="G21" s="2567"/>
      <c r="H21" s="2567"/>
      <c r="I21" s="2567"/>
      <c r="J21" s="2567"/>
      <c r="K21" s="2567"/>
      <c r="AC21" s="2558" t="s">
        <v>2635</v>
      </c>
    </row>
    <row r="22" spans="1:29">
      <c r="A22" s="2560"/>
      <c r="B22" s="2577"/>
      <c r="C22" s="2577"/>
      <c r="D22" s="2577"/>
      <c r="E22" s="2577"/>
      <c r="F22" s="2577"/>
      <c r="G22" s="2577"/>
      <c r="H22" s="2577"/>
      <c r="I22" s="2577"/>
      <c r="J22" s="2577"/>
      <c r="K22" s="2577"/>
      <c r="AC22" s="2558">
        <f>(W14-W13+1)</f>
        <v>366</v>
      </c>
    </row>
    <row r="23" spans="1:29">
      <c r="A23" s="2560" t="s">
        <v>2312</v>
      </c>
      <c r="B23" s="2576"/>
      <c r="C23" s="2576"/>
      <c r="D23" s="2576"/>
      <c r="E23" s="2576"/>
      <c r="F23" s="2576"/>
      <c r="G23" s="2576"/>
      <c r="H23" s="2576"/>
      <c r="I23" s="2576"/>
      <c r="J23" s="2576"/>
      <c r="K23" s="2576"/>
      <c r="L23" s="2576"/>
      <c r="M23" s="2576"/>
      <c r="N23" s="2576"/>
      <c r="O23" s="2576"/>
      <c r="P23" s="2576"/>
      <c r="Q23" s="2578"/>
      <c r="R23" s="2578"/>
      <c r="S23" s="2578"/>
      <c r="T23" s="2578"/>
    </row>
    <row r="24" spans="1:29">
      <c r="A24" s="2560" t="s">
        <v>2313</v>
      </c>
      <c r="B24" s="2567"/>
      <c r="C24" s="2567"/>
      <c r="D24" s="2567"/>
      <c r="E24" s="2567"/>
      <c r="F24" s="2567"/>
      <c r="G24" s="2567"/>
      <c r="H24" s="2567"/>
      <c r="I24" s="2567"/>
      <c r="J24" s="2567"/>
      <c r="K24" s="2567"/>
      <c r="L24" s="2567"/>
      <c r="M24" s="2567"/>
      <c r="N24" s="2567"/>
      <c r="O24" s="2567"/>
    </row>
    <row r="25" spans="1:29">
      <c r="A25" s="2560" t="s">
        <v>1982</v>
      </c>
      <c r="B25" s="2576"/>
      <c r="C25" s="2576"/>
      <c r="D25" s="2576"/>
      <c r="E25" s="2576"/>
      <c r="F25" s="2576"/>
      <c r="G25" s="2576"/>
      <c r="H25" s="2576"/>
      <c r="I25" s="2576"/>
      <c r="J25" s="2576"/>
      <c r="K25" s="2576"/>
    </row>
    <row r="26" spans="1:29">
      <c r="A26" s="2560" t="s">
        <v>2314</v>
      </c>
    </row>
    <row r="27" spans="1:29">
      <c r="A27" s="2579" t="str">
        <f>YEAR(Period_End)-5 &amp; "/"&amp;RIGHT(YEAR(Period_End)-4,2)</f>
        <v>2019/20</v>
      </c>
      <c r="B27" s="2580" t="s">
        <v>1842</v>
      </c>
      <c r="C27" s="2580" t="s">
        <v>1842</v>
      </c>
      <c r="D27" s="2580" t="s">
        <v>1842</v>
      </c>
      <c r="E27" s="2580" t="s">
        <v>1842</v>
      </c>
      <c r="F27" s="2580" t="s">
        <v>1842</v>
      </c>
      <c r="G27" s="2580" t="s">
        <v>1842</v>
      </c>
      <c r="H27" s="2580" t="s">
        <v>1842</v>
      </c>
      <c r="I27" s="2580" t="s">
        <v>1842</v>
      </c>
      <c r="J27" s="2580" t="s">
        <v>1842</v>
      </c>
      <c r="K27" s="2580" t="s">
        <v>1842</v>
      </c>
    </row>
    <row r="28" spans="1:29">
      <c r="A28" s="2579" t="str">
        <f>YEAR(Period_End)-4 &amp; "/"&amp;RIGHT(YEAR(Period_End)-3,2)</f>
        <v>2020/21</v>
      </c>
      <c r="B28" s="2580" t="s">
        <v>1842</v>
      </c>
      <c r="C28" s="2580" t="s">
        <v>1842</v>
      </c>
      <c r="D28" s="2580" t="s">
        <v>1842</v>
      </c>
      <c r="E28" s="2580" t="s">
        <v>1842</v>
      </c>
      <c r="F28" s="2580" t="s">
        <v>1842</v>
      </c>
      <c r="G28" s="2580" t="s">
        <v>1842</v>
      </c>
      <c r="H28" s="2580" t="s">
        <v>1842</v>
      </c>
      <c r="I28" s="2580" t="s">
        <v>1842</v>
      </c>
      <c r="J28" s="2580" t="s">
        <v>1842</v>
      </c>
      <c r="K28" s="2580" t="s">
        <v>1842</v>
      </c>
    </row>
    <row r="29" spans="1:29">
      <c r="A29" s="2579" t="str">
        <f>YEAR(Period_End)-3 &amp; "/"&amp;RIGHT(YEAR(Period_End)-2,2)</f>
        <v>2021/22</v>
      </c>
      <c r="B29" s="2580" t="s">
        <v>1842</v>
      </c>
      <c r="C29" s="2580" t="s">
        <v>1842</v>
      </c>
      <c r="D29" s="2580" t="s">
        <v>1842</v>
      </c>
      <c r="E29" s="2580" t="s">
        <v>1842</v>
      </c>
      <c r="F29" s="2580" t="s">
        <v>1842</v>
      </c>
      <c r="G29" s="2580" t="s">
        <v>1842</v>
      </c>
      <c r="H29" s="2580" t="s">
        <v>1842</v>
      </c>
      <c r="I29" s="2580" t="s">
        <v>1842</v>
      </c>
      <c r="J29" s="2580" t="s">
        <v>1842</v>
      </c>
      <c r="K29" s="2580" t="s">
        <v>1842</v>
      </c>
    </row>
    <row r="30" spans="1:29">
      <c r="A30" s="2579" t="str">
        <f>YEAR(Period_End)-2 &amp; "/"&amp;RIGHT(YEAR(Period_End)-1,2)</f>
        <v>2022/23</v>
      </c>
      <c r="B30" s="2580" t="s">
        <v>1842</v>
      </c>
      <c r="C30" s="2580" t="s">
        <v>1842</v>
      </c>
      <c r="D30" s="2580" t="s">
        <v>1842</v>
      </c>
      <c r="E30" s="2580" t="s">
        <v>1842</v>
      </c>
      <c r="F30" s="2580" t="s">
        <v>1842</v>
      </c>
      <c r="G30" s="2580" t="s">
        <v>1842</v>
      </c>
      <c r="H30" s="2580" t="s">
        <v>1842</v>
      </c>
      <c r="I30" s="2580" t="s">
        <v>1842</v>
      </c>
      <c r="J30" s="2580" t="s">
        <v>1842</v>
      </c>
      <c r="K30" s="2580" t="s">
        <v>1842</v>
      </c>
    </row>
    <row r="32" spans="1:29">
      <c r="A32" s="2560" t="str">
        <f>"HELP/TSL debt balance as at 30 June "&amp;RIGHT(YEAR(Period_End),4)</f>
        <v>HELP/TSL debt balance as at 30 June 2024</v>
      </c>
      <c r="B32" s="2576"/>
      <c r="C32" s="2576"/>
      <c r="D32" s="2576"/>
      <c r="E32" s="2576"/>
      <c r="F32" s="2576"/>
      <c r="G32" s="2576"/>
      <c r="H32" s="2576"/>
      <c r="I32" s="2576"/>
      <c r="J32" s="2576"/>
      <c r="K32" s="2576"/>
    </row>
    <row r="33" spans="1:29">
      <c r="A33" s="2560"/>
      <c r="B33" s="2578"/>
      <c r="C33" s="2578"/>
      <c r="D33" s="2578"/>
      <c r="E33" s="2578"/>
      <c r="F33" s="2578"/>
      <c r="G33" s="2578"/>
      <c r="H33" s="2578"/>
      <c r="I33" s="2578"/>
      <c r="J33" s="2578"/>
      <c r="K33" s="2578"/>
    </row>
    <row r="34" spans="1:29">
      <c r="A34" s="2560" t="s">
        <v>2315</v>
      </c>
      <c r="B34" s="2578"/>
      <c r="C34" s="2578"/>
      <c r="D34" s="2578"/>
      <c r="E34" s="2578"/>
      <c r="F34" s="2578"/>
      <c r="G34" s="2578"/>
      <c r="H34" s="2578"/>
      <c r="I34" s="2578"/>
      <c r="J34" s="2578"/>
      <c r="K34" s="2578"/>
    </row>
    <row r="35" spans="1:29">
      <c r="A35" s="2581" t="s">
        <v>2316</v>
      </c>
      <c r="B35" s="2576"/>
      <c r="C35" s="2576"/>
      <c r="D35" s="2576"/>
      <c r="E35" s="2576"/>
      <c r="F35" s="2576"/>
      <c r="G35" s="2576"/>
      <c r="H35" s="2576"/>
      <c r="I35" s="2576"/>
      <c r="J35" s="2576"/>
      <c r="K35" s="2576"/>
      <c r="Q35" s="2578"/>
      <c r="R35" s="2578"/>
      <c r="S35" s="2578"/>
      <c r="T35" s="2578"/>
    </row>
    <row r="36" spans="1:29">
      <c r="A36" s="2581" t="s">
        <v>2456</v>
      </c>
      <c r="B36" s="2576"/>
      <c r="C36" s="2576"/>
      <c r="D36" s="2576"/>
      <c r="E36" s="2576"/>
      <c r="F36" s="2576"/>
      <c r="G36" s="2576"/>
      <c r="H36" s="2576"/>
      <c r="I36" s="2576"/>
      <c r="J36" s="2576"/>
      <c r="K36" s="2576"/>
      <c r="Q36" s="2578"/>
      <c r="R36" s="2578"/>
      <c r="S36" s="2578"/>
      <c r="T36" s="2578"/>
    </row>
    <row r="37" spans="1:29">
      <c r="A37" s="2581" t="s">
        <v>2317</v>
      </c>
      <c r="B37" s="2576"/>
      <c r="C37" s="2576"/>
      <c r="D37" s="2576"/>
      <c r="E37" s="2576"/>
      <c r="F37" s="2576"/>
      <c r="G37" s="2576"/>
      <c r="H37" s="2576"/>
      <c r="I37" s="2576"/>
      <c r="J37" s="2576"/>
      <c r="K37" s="2576"/>
    </row>
    <row r="38" spans="1:29">
      <c r="A38" s="2581" t="s">
        <v>2318</v>
      </c>
      <c r="B38" s="2576"/>
      <c r="C38" s="2576"/>
      <c r="D38" s="2576"/>
      <c r="E38" s="2576"/>
      <c r="F38" s="2576"/>
      <c r="G38" s="2576"/>
      <c r="H38" s="2576"/>
      <c r="I38" s="2576"/>
      <c r="J38" s="2576"/>
      <c r="K38" s="2576"/>
    </row>
    <row r="39" spans="1:29">
      <c r="A39" s="2581" t="s">
        <v>2319</v>
      </c>
      <c r="B39" s="2576"/>
      <c r="C39" s="2576"/>
      <c r="D39" s="2576"/>
      <c r="E39" s="2576"/>
      <c r="F39" s="2576"/>
      <c r="G39" s="2576"/>
      <c r="H39" s="2576"/>
      <c r="I39" s="2576"/>
      <c r="J39" s="2576"/>
      <c r="K39" s="2576"/>
    </row>
    <row r="40" spans="1:29">
      <c r="A40" s="2581" t="s">
        <v>2320</v>
      </c>
      <c r="B40" s="3122">
        <f t="shared" ref="B40:K40" si="1">IF(B56&lt;0,-B56,0)</f>
        <v>0</v>
      </c>
      <c r="C40" s="3122">
        <f t="shared" si="1"/>
        <v>0</v>
      </c>
      <c r="D40" s="3122">
        <f t="shared" si="1"/>
        <v>0</v>
      </c>
      <c r="E40" s="3122">
        <f t="shared" si="1"/>
        <v>0</v>
      </c>
      <c r="F40" s="3122">
        <f t="shared" si="1"/>
        <v>0</v>
      </c>
      <c r="G40" s="3122">
        <f t="shared" si="1"/>
        <v>0</v>
      </c>
      <c r="H40" s="3122">
        <f t="shared" si="1"/>
        <v>0</v>
      </c>
      <c r="I40" s="3122">
        <f t="shared" si="1"/>
        <v>0</v>
      </c>
      <c r="J40" s="3122">
        <f t="shared" si="1"/>
        <v>0</v>
      </c>
      <c r="K40" s="3122">
        <f t="shared" si="1"/>
        <v>0</v>
      </c>
    </row>
    <row r="41" spans="1:29">
      <c r="A41" s="2581" t="s">
        <v>2321</v>
      </c>
      <c r="B41" s="2576"/>
      <c r="C41" s="2576"/>
      <c r="D41" s="2576"/>
      <c r="E41" s="2576"/>
      <c r="F41" s="2576"/>
      <c r="G41" s="2576"/>
      <c r="H41" s="2576"/>
      <c r="I41" s="2576"/>
      <c r="J41" s="2576"/>
      <c r="K41" s="2576"/>
    </row>
    <row r="42" spans="1:29">
      <c r="A42" s="2581" t="s">
        <v>2322</v>
      </c>
      <c r="B42" s="2576"/>
      <c r="C42" s="2576"/>
      <c r="D42" s="2576"/>
      <c r="E42" s="2576"/>
      <c r="F42" s="2576"/>
      <c r="G42" s="2576"/>
      <c r="H42" s="2576"/>
      <c r="I42" s="2576"/>
      <c r="J42" s="2576"/>
      <c r="K42" s="2576"/>
      <c r="AC42" s="3279" t="s">
        <v>2477</v>
      </c>
    </row>
    <row r="43" spans="1:29">
      <c r="A43" s="2581" t="s">
        <v>2451</v>
      </c>
      <c r="B43" s="2576"/>
      <c r="C43" s="2576"/>
      <c r="D43" s="2576"/>
      <c r="E43" s="2576"/>
      <c r="F43" s="2576"/>
      <c r="G43" s="2576"/>
      <c r="H43" s="2576"/>
      <c r="I43" s="2576"/>
      <c r="J43" s="2576"/>
      <c r="K43" s="2576"/>
      <c r="AC43" s="3280"/>
    </row>
    <row r="44" spans="1:29" ht="25.5">
      <c r="A44" s="2583" t="s">
        <v>2323</v>
      </c>
      <c r="B44" s="2576"/>
      <c r="C44" s="2576"/>
      <c r="D44" s="2576"/>
      <c r="E44" s="2576"/>
      <c r="F44" s="2576"/>
      <c r="G44" s="2576"/>
      <c r="H44" s="2576"/>
      <c r="I44" s="2576"/>
      <c r="J44" s="2576"/>
      <c r="K44" s="2576"/>
      <c r="AC44" s="3280"/>
    </row>
    <row r="45" spans="1:29">
      <c r="AC45" s="3280"/>
    </row>
    <row r="46" spans="1:29">
      <c r="A46" s="2560" t="s">
        <v>2324</v>
      </c>
      <c r="AC46" s="3279" t="s">
        <v>2478</v>
      </c>
    </row>
    <row r="47" spans="1:29">
      <c r="A47" s="2581" t="s">
        <v>529</v>
      </c>
      <c r="B47" s="2576"/>
      <c r="C47" s="2576"/>
      <c r="D47" s="2576"/>
      <c r="E47" s="2576"/>
      <c r="F47" s="2576"/>
      <c r="G47" s="2576"/>
      <c r="H47" s="2576"/>
      <c r="I47" s="2576"/>
      <c r="J47" s="2576"/>
      <c r="K47" s="2576"/>
      <c r="L47" s="3123"/>
      <c r="M47" s="3123"/>
      <c r="N47" s="3123"/>
      <c r="O47" s="3123"/>
      <c r="P47" s="3123"/>
      <c r="Q47" s="3124"/>
      <c r="R47" s="3124"/>
      <c r="S47" s="3124"/>
      <c r="T47" s="3124"/>
      <c r="AC47" s="3278">
        <f>SUM(B47:T47)</f>
        <v>0</v>
      </c>
    </row>
    <row r="48" spans="1:29">
      <c r="A48" s="2581" t="s">
        <v>383</v>
      </c>
      <c r="B48" s="2576"/>
      <c r="C48" s="2576"/>
      <c r="D48" s="2576"/>
      <c r="E48" s="2576"/>
      <c r="F48" s="2576"/>
      <c r="G48" s="2576"/>
      <c r="H48" s="2576"/>
      <c r="I48" s="2576"/>
      <c r="J48" s="2576"/>
      <c r="K48" s="2576"/>
      <c r="L48" s="3123"/>
      <c r="M48" s="3123"/>
      <c r="N48" s="3123"/>
      <c r="O48" s="3123"/>
      <c r="P48" s="3123"/>
      <c r="Q48" s="3124"/>
      <c r="R48" s="3124"/>
      <c r="S48" s="3124"/>
      <c r="T48" s="3124"/>
      <c r="AC48" s="3278">
        <f t="shared" ref="AC48:AC91" si="2">SUM(B48:T48)</f>
        <v>0</v>
      </c>
    </row>
    <row r="49" spans="1:29">
      <c r="A49" s="2581" t="s">
        <v>2325</v>
      </c>
      <c r="B49" s="2576"/>
      <c r="C49" s="2576"/>
      <c r="D49" s="2576"/>
      <c r="E49" s="2576"/>
      <c r="F49" s="2576"/>
      <c r="G49" s="2576"/>
      <c r="H49" s="2576"/>
      <c r="I49" s="2576"/>
      <c r="J49" s="2576"/>
      <c r="K49" s="2576"/>
      <c r="L49" s="3123"/>
      <c r="M49" s="3123"/>
      <c r="N49" s="3123"/>
      <c r="O49" s="3123"/>
      <c r="P49" s="3123"/>
      <c r="Q49" s="3124"/>
      <c r="R49" s="3124"/>
      <c r="S49" s="3124"/>
      <c r="T49" s="3124"/>
      <c r="AC49" s="3278">
        <f t="shared" si="2"/>
        <v>0</v>
      </c>
    </row>
    <row r="50" spans="1:29">
      <c r="A50" s="2581" t="s">
        <v>1272</v>
      </c>
      <c r="B50" s="2576"/>
      <c r="C50" s="2576"/>
      <c r="D50" s="2576"/>
      <c r="E50" s="2576"/>
      <c r="F50" s="2576"/>
      <c r="G50" s="2576"/>
      <c r="H50" s="2576"/>
      <c r="I50" s="2576"/>
      <c r="J50" s="2576"/>
      <c r="K50" s="2576"/>
      <c r="L50" s="2576"/>
      <c r="M50" s="2576"/>
      <c r="N50" s="3125"/>
      <c r="O50" s="2576"/>
      <c r="P50" s="2577"/>
      <c r="Q50" s="2576"/>
      <c r="R50" s="3126"/>
      <c r="S50" s="2576"/>
      <c r="T50" s="2576"/>
      <c r="AC50" s="3278">
        <f t="shared" si="2"/>
        <v>0</v>
      </c>
    </row>
    <row r="51" spans="1:29">
      <c r="A51" s="2581" t="s">
        <v>2326</v>
      </c>
      <c r="B51" s="2576"/>
      <c r="C51" s="2576"/>
      <c r="D51" s="2576"/>
      <c r="E51" s="2576"/>
      <c r="F51" s="2576"/>
      <c r="G51" s="2576"/>
      <c r="H51" s="2576"/>
      <c r="I51" s="2576"/>
      <c r="J51" s="2576"/>
      <c r="K51" s="2576"/>
      <c r="L51" s="2576"/>
      <c r="M51" s="2576"/>
      <c r="N51" s="3125"/>
      <c r="O51" s="2576"/>
      <c r="P51" s="2577"/>
      <c r="Q51" s="2576"/>
      <c r="R51" s="3126"/>
      <c r="S51" s="2576"/>
      <c r="T51" s="2576"/>
      <c r="AC51" s="3278">
        <f t="shared" si="2"/>
        <v>0</v>
      </c>
    </row>
    <row r="52" spans="1:29">
      <c r="A52" s="2581" t="s">
        <v>2327</v>
      </c>
      <c r="B52" s="2576"/>
      <c r="C52" s="2576"/>
      <c r="D52" s="2576"/>
      <c r="E52" s="2576"/>
      <c r="F52" s="2576"/>
      <c r="G52" s="2576"/>
      <c r="H52" s="2576"/>
      <c r="I52" s="2576"/>
      <c r="J52" s="2576"/>
      <c r="K52" s="2576"/>
      <c r="L52" s="2576"/>
      <c r="M52" s="2576"/>
      <c r="N52" s="3125"/>
      <c r="O52" s="2576"/>
      <c r="P52" s="2577"/>
      <c r="Q52" s="2576"/>
      <c r="R52" s="3126"/>
      <c r="S52" s="2576"/>
      <c r="T52" s="2576"/>
      <c r="AC52" s="3278">
        <f t="shared" si="2"/>
        <v>0</v>
      </c>
    </row>
    <row r="53" spans="1:29">
      <c r="A53" s="2581" t="s">
        <v>31</v>
      </c>
      <c r="B53" s="2576"/>
      <c r="C53" s="2576"/>
      <c r="D53" s="2576"/>
      <c r="E53" s="2576"/>
      <c r="F53" s="2576"/>
      <c r="G53" s="2576"/>
      <c r="H53" s="2576"/>
      <c r="I53" s="2576"/>
      <c r="J53" s="2576"/>
      <c r="K53" s="2576"/>
      <c r="L53" s="2576"/>
      <c r="M53" s="2576"/>
      <c r="N53" s="3125"/>
      <c r="O53" s="2576"/>
      <c r="P53" s="2577"/>
      <c r="Q53" s="2576"/>
      <c r="R53" s="3126"/>
      <c r="S53" s="2576"/>
      <c r="T53" s="2576"/>
      <c r="AC53" s="3278">
        <f t="shared" si="2"/>
        <v>0</v>
      </c>
    </row>
    <row r="54" spans="1:29">
      <c r="A54" s="2581" t="s">
        <v>2454</v>
      </c>
      <c r="B54" s="2576"/>
      <c r="C54" s="2576"/>
      <c r="D54" s="2576"/>
      <c r="E54" s="2576"/>
      <c r="F54" s="2576"/>
      <c r="G54" s="2576"/>
      <c r="H54" s="2576"/>
      <c r="I54" s="2576"/>
      <c r="J54" s="2576"/>
      <c r="K54" s="2576"/>
      <c r="L54" s="3123"/>
      <c r="M54" s="3123"/>
      <c r="N54" s="3123"/>
      <c r="O54" s="3123"/>
      <c r="P54" s="3123"/>
      <c r="Q54" s="3124"/>
      <c r="R54" s="3124"/>
      <c r="S54" s="3124"/>
      <c r="T54" s="3124"/>
      <c r="AC54" s="3278">
        <f t="shared" si="2"/>
        <v>0</v>
      </c>
    </row>
    <row r="55" spans="1:29">
      <c r="A55" s="2581" t="s">
        <v>2329</v>
      </c>
      <c r="B55" s="2576"/>
      <c r="C55" s="2576"/>
      <c r="D55" s="2576"/>
      <c r="E55" s="2576"/>
      <c r="F55" s="2576"/>
      <c r="G55" s="2576"/>
      <c r="H55" s="2576"/>
      <c r="I55" s="2576"/>
      <c r="J55" s="2576"/>
      <c r="K55" s="2576"/>
      <c r="L55" s="2576"/>
      <c r="M55" s="2576"/>
      <c r="N55" s="3125"/>
      <c r="O55" s="2576"/>
      <c r="P55" s="2577"/>
      <c r="Q55" s="2576"/>
      <c r="R55" s="3126"/>
      <c r="S55" s="2576"/>
      <c r="T55" s="2576"/>
      <c r="AC55" s="3278">
        <f t="shared" si="2"/>
        <v>0</v>
      </c>
    </row>
    <row r="56" spans="1:29">
      <c r="A56" s="2581" t="s">
        <v>2330</v>
      </c>
      <c r="B56" s="2576"/>
      <c r="C56" s="2576"/>
      <c r="D56" s="2576"/>
      <c r="E56" s="2576"/>
      <c r="F56" s="2576"/>
      <c r="G56" s="2576"/>
      <c r="H56" s="2576"/>
      <c r="I56" s="2576"/>
      <c r="J56" s="2576"/>
      <c r="K56" s="2576"/>
      <c r="L56" s="2576"/>
      <c r="M56" s="2576"/>
      <c r="N56" s="3125"/>
      <c r="O56" s="2576"/>
      <c r="P56" s="2577"/>
      <c r="Q56" s="3124"/>
      <c r="R56" s="3124"/>
      <c r="S56" s="3124"/>
      <c r="T56" s="3124"/>
      <c r="AC56" s="3278">
        <f t="shared" si="2"/>
        <v>0</v>
      </c>
    </row>
    <row r="57" spans="1:29">
      <c r="A57" s="2585" t="s">
        <v>2331</v>
      </c>
      <c r="B57" s="2578"/>
      <c r="C57" s="2578"/>
      <c r="D57" s="2578"/>
      <c r="E57" s="2578"/>
      <c r="F57" s="2578"/>
      <c r="G57" s="2578"/>
      <c r="H57" s="2578"/>
      <c r="I57" s="2578"/>
      <c r="J57" s="2578"/>
      <c r="K57" s="2578"/>
      <c r="L57" s="2584"/>
      <c r="M57" s="2584"/>
      <c r="N57" s="2584"/>
      <c r="O57" s="2584"/>
      <c r="P57" s="2584"/>
      <c r="Q57" s="2578"/>
      <c r="R57" s="2578"/>
      <c r="S57" s="2578"/>
      <c r="T57" s="2578"/>
      <c r="V57" s="2586" t="s">
        <v>2332</v>
      </c>
      <c r="W57" s="2586" t="s">
        <v>1520</v>
      </c>
      <c r="AC57" s="3278">
        <f t="shared" si="2"/>
        <v>0</v>
      </c>
    </row>
    <row r="58" spans="1:29">
      <c r="A58" s="2587" t="s">
        <v>2333</v>
      </c>
      <c r="B58" s="2576"/>
      <c r="C58" s="2576"/>
      <c r="D58" s="2576"/>
      <c r="E58" s="2576"/>
      <c r="F58" s="2576"/>
      <c r="G58" s="2576"/>
      <c r="H58" s="2576"/>
      <c r="I58" s="2576"/>
      <c r="J58" s="2576"/>
      <c r="K58" s="2576"/>
      <c r="L58" s="2576"/>
      <c r="M58" s="2576"/>
      <c r="N58" s="2576"/>
      <c r="O58" s="2576"/>
      <c r="P58" s="2577"/>
      <c r="Q58" s="2576"/>
      <c r="R58" s="2576"/>
      <c r="S58" s="2576"/>
      <c r="T58" s="2576"/>
      <c r="V58" s="3122">
        <v>0</v>
      </c>
      <c r="W58" s="3122">
        <f>IF(V58=0,0,V58-SUM(B58:T58))</f>
        <v>0</v>
      </c>
      <c r="AC58" s="3278">
        <f t="shared" si="2"/>
        <v>0</v>
      </c>
    </row>
    <row r="59" spans="1:29">
      <c r="A59" s="2587" t="s">
        <v>2334</v>
      </c>
      <c r="B59" s="2576"/>
      <c r="C59" s="2576"/>
      <c r="D59" s="2576"/>
      <c r="E59" s="2576"/>
      <c r="F59" s="2576"/>
      <c r="G59" s="2576"/>
      <c r="H59" s="2576"/>
      <c r="I59" s="2576"/>
      <c r="J59" s="2576"/>
      <c r="K59" s="2576"/>
      <c r="L59" s="2576"/>
      <c r="M59" s="2576"/>
      <c r="N59" s="3125"/>
      <c r="O59" s="2576"/>
      <c r="P59" s="2577"/>
      <c r="Q59" s="3127"/>
      <c r="R59" s="3128"/>
      <c r="S59" s="3127"/>
      <c r="T59" s="3127"/>
      <c r="V59" s="3122">
        <v>0</v>
      </c>
      <c r="W59" s="3122">
        <f>IF(V59=0,0,V59-SUM(B59:T59))</f>
        <v>0</v>
      </c>
      <c r="AC59" s="3278">
        <f t="shared" si="2"/>
        <v>0</v>
      </c>
    </row>
    <row r="60" spans="1:29">
      <c r="A60" s="2587" t="s">
        <v>2335</v>
      </c>
      <c r="B60" s="2576"/>
      <c r="C60" s="2576"/>
      <c r="D60" s="2576"/>
      <c r="E60" s="2576"/>
      <c r="F60" s="2576"/>
      <c r="G60" s="2576"/>
      <c r="H60" s="2576"/>
      <c r="I60" s="2576"/>
      <c r="J60" s="2576"/>
      <c r="K60" s="2576"/>
      <c r="L60" s="2576"/>
      <c r="M60" s="2576"/>
      <c r="N60" s="3125"/>
      <c r="O60" s="2576"/>
      <c r="P60" s="2577"/>
      <c r="Q60" s="2576"/>
      <c r="R60" s="2576"/>
      <c r="S60" s="2576"/>
      <c r="T60" s="2576"/>
      <c r="V60" s="3122">
        <v>0</v>
      </c>
      <c r="W60" s="3122">
        <f t="shared" ref="W60:W62" si="3">IF(V60=0,0,V60-SUM(B60:T60))</f>
        <v>0</v>
      </c>
      <c r="AC60" s="3278">
        <f t="shared" si="2"/>
        <v>0</v>
      </c>
    </row>
    <row r="61" spans="1:29">
      <c r="A61" s="2587" t="s">
        <v>2336</v>
      </c>
      <c r="B61" s="2576"/>
      <c r="C61" s="2576"/>
      <c r="D61" s="2576"/>
      <c r="E61" s="2576"/>
      <c r="F61" s="2576"/>
      <c r="G61" s="2576"/>
      <c r="H61" s="2576"/>
      <c r="I61" s="2576"/>
      <c r="J61" s="2576"/>
      <c r="K61" s="2576"/>
      <c r="L61" s="2576"/>
      <c r="M61" s="2576"/>
      <c r="N61" s="3125"/>
      <c r="O61" s="2576"/>
      <c r="P61" s="2577"/>
      <c r="Q61" s="2576"/>
      <c r="R61" s="2576"/>
      <c r="S61" s="2576"/>
      <c r="T61" s="2576"/>
      <c r="V61" s="3122">
        <v>0</v>
      </c>
      <c r="W61" s="3122">
        <f t="shared" si="3"/>
        <v>0</v>
      </c>
      <c r="AC61" s="3278">
        <f t="shared" si="2"/>
        <v>0</v>
      </c>
    </row>
    <row r="62" spans="1:29">
      <c r="A62" s="2587" t="s">
        <v>31</v>
      </c>
      <c r="B62" s="2576"/>
      <c r="C62" s="2576"/>
      <c r="D62" s="2576"/>
      <c r="E62" s="2576"/>
      <c r="F62" s="2576"/>
      <c r="G62" s="2576"/>
      <c r="H62" s="2576"/>
      <c r="I62" s="2576"/>
      <c r="J62" s="2576"/>
      <c r="K62" s="2576"/>
      <c r="L62" s="2576"/>
      <c r="M62" s="2576"/>
      <c r="N62" s="3125"/>
      <c r="O62" s="2576"/>
      <c r="P62" s="2577"/>
      <c r="Q62" s="2576"/>
      <c r="R62" s="2576"/>
      <c r="S62" s="2576"/>
      <c r="T62" s="2576"/>
      <c r="V62" s="3122">
        <v>0</v>
      </c>
      <c r="W62" s="3122">
        <f t="shared" si="3"/>
        <v>0</v>
      </c>
      <c r="AC62" s="3278">
        <f t="shared" si="2"/>
        <v>0</v>
      </c>
    </row>
    <row r="63" spans="1:29">
      <c r="A63" s="2587" t="s">
        <v>2337</v>
      </c>
      <c r="B63" s="2576"/>
      <c r="C63" s="2576"/>
      <c r="D63" s="2576"/>
      <c r="E63" s="2576"/>
      <c r="F63" s="2576"/>
      <c r="G63" s="2576"/>
      <c r="H63" s="2576"/>
      <c r="I63" s="2576"/>
      <c r="J63" s="2576"/>
      <c r="K63" s="2576"/>
      <c r="L63" s="2576"/>
      <c r="M63" s="2576"/>
      <c r="N63" s="3125"/>
      <c r="O63" s="2576"/>
      <c r="P63" s="2577"/>
      <c r="Q63" s="3124"/>
      <c r="R63" s="3124"/>
      <c r="S63" s="3124"/>
      <c r="T63" s="3124"/>
      <c r="V63" s="3122">
        <f>'Tax Rec'!I90</f>
        <v>50000</v>
      </c>
      <c r="W63" s="3122">
        <f>IF(V63=0,0,V63-SUM(B63:T63))</f>
        <v>50000</v>
      </c>
      <c r="AC63" s="3278">
        <f t="shared" si="2"/>
        <v>0</v>
      </c>
    </row>
    <row r="64" spans="1:29">
      <c r="A64" s="2587" t="s">
        <v>1836</v>
      </c>
      <c r="B64" s="2576"/>
      <c r="C64" s="2576"/>
      <c r="D64" s="2576"/>
      <c r="E64" s="2576"/>
      <c r="F64" s="2576"/>
      <c r="G64" s="2576"/>
      <c r="H64" s="2576"/>
      <c r="I64" s="2576"/>
      <c r="J64" s="2576"/>
      <c r="K64" s="2576"/>
      <c r="L64" s="2576"/>
      <c r="M64" s="2576"/>
      <c r="N64" s="3125"/>
      <c r="O64" s="2576"/>
      <c r="P64" s="2577"/>
      <c r="Q64" s="3124"/>
      <c r="R64" s="3124"/>
      <c r="S64" s="3124"/>
      <c r="T64" s="3124"/>
      <c r="V64" s="3122">
        <f>'Tax Rec'!J90</f>
        <v>0</v>
      </c>
      <c r="W64" s="3122">
        <f>IF(V64=0,0,V64-SUM(B64:T64))</f>
        <v>0</v>
      </c>
      <c r="AC64" s="3278">
        <f t="shared" si="2"/>
        <v>0</v>
      </c>
    </row>
    <row r="65" spans="1:29">
      <c r="A65" s="2587" t="s">
        <v>2338</v>
      </c>
      <c r="B65" s="2576"/>
      <c r="C65" s="2576"/>
      <c r="D65" s="2576"/>
      <c r="E65" s="2576"/>
      <c r="F65" s="2576"/>
      <c r="G65" s="2576"/>
      <c r="H65" s="2576"/>
      <c r="I65" s="2576"/>
      <c r="J65" s="2576"/>
      <c r="K65" s="2576"/>
      <c r="L65" s="2576"/>
      <c r="M65" s="2576"/>
      <c r="N65" s="2576"/>
      <c r="O65" s="2576"/>
      <c r="P65" s="2577"/>
      <c r="Q65" s="3124"/>
      <c r="R65" s="3124"/>
      <c r="S65" s="3124"/>
      <c r="T65" s="3124"/>
      <c r="V65" s="3122">
        <v>0</v>
      </c>
      <c r="W65" s="3122">
        <f>IF(V65=0,0,V65-SUM(B65:T65))</f>
        <v>0</v>
      </c>
      <c r="AC65" s="3278">
        <f t="shared" si="2"/>
        <v>0</v>
      </c>
    </row>
    <row r="66" spans="1:29">
      <c r="A66" s="2581" t="s">
        <v>2339</v>
      </c>
      <c r="B66" s="2577"/>
      <c r="C66" s="2577"/>
      <c r="D66" s="2577"/>
      <c r="E66" s="2577"/>
      <c r="F66" s="2577"/>
      <c r="G66" s="2577"/>
      <c r="H66" s="2577"/>
      <c r="I66" s="2577"/>
      <c r="J66" s="2577"/>
      <c r="K66" s="2577"/>
      <c r="L66" s="3123"/>
      <c r="M66" s="3123"/>
      <c r="N66" s="3123"/>
      <c r="O66" s="3123"/>
      <c r="P66" s="3123"/>
      <c r="Q66" s="2576"/>
      <c r="R66" s="2576"/>
      <c r="S66" s="2576"/>
      <c r="T66" s="2576"/>
      <c r="V66" s="2558"/>
      <c r="W66" s="2558"/>
      <c r="AC66" s="3278">
        <f t="shared" si="2"/>
        <v>0</v>
      </c>
    </row>
    <row r="67" spans="1:29">
      <c r="A67" s="2581" t="s">
        <v>2340</v>
      </c>
      <c r="B67" s="2577"/>
      <c r="C67" s="2577"/>
      <c r="D67" s="2577"/>
      <c r="E67" s="2577"/>
      <c r="F67" s="2577"/>
      <c r="G67" s="2577"/>
      <c r="H67" s="2577"/>
      <c r="I67" s="2577"/>
      <c r="J67" s="2577"/>
      <c r="K67" s="2577"/>
      <c r="L67" s="2577"/>
      <c r="M67" s="2577"/>
      <c r="N67" s="2577"/>
      <c r="O67" s="2577"/>
      <c r="P67" s="3122">
        <f>SUM(B82:K82)</f>
        <v>0</v>
      </c>
      <c r="Q67" s="3124"/>
      <c r="R67" s="3124"/>
      <c r="S67" s="3124"/>
      <c r="T67" s="3124"/>
      <c r="V67" s="2558"/>
      <c r="W67" s="2558"/>
      <c r="AC67" s="3278">
        <f t="shared" si="2"/>
        <v>0</v>
      </c>
    </row>
    <row r="68" spans="1:29">
      <c r="A68" s="2581" t="s">
        <v>1274</v>
      </c>
      <c r="B68" s="2576"/>
      <c r="C68" s="2576"/>
      <c r="D68" s="2576"/>
      <c r="E68" s="2576"/>
      <c r="F68" s="2576"/>
      <c r="G68" s="2576"/>
      <c r="H68" s="2576"/>
      <c r="I68" s="2576"/>
      <c r="J68" s="2576"/>
      <c r="K68" s="2576"/>
      <c r="L68" s="2576"/>
      <c r="M68" s="2576"/>
      <c r="N68" s="2576"/>
      <c r="O68" s="2576"/>
      <c r="P68" s="2576"/>
      <c r="Q68" s="2576"/>
      <c r="R68" s="2576"/>
      <c r="S68" s="2576"/>
      <c r="T68" s="2576"/>
      <c r="AC68" s="3278">
        <f t="shared" si="2"/>
        <v>0</v>
      </c>
    </row>
    <row r="69" spans="1:29">
      <c r="A69" s="2581" t="s">
        <v>1274</v>
      </c>
      <c r="B69" s="2576"/>
      <c r="C69" s="2576"/>
      <c r="D69" s="2576"/>
      <c r="E69" s="2576"/>
      <c r="F69" s="2576"/>
      <c r="G69" s="2576"/>
      <c r="H69" s="2576"/>
      <c r="I69" s="2576"/>
      <c r="J69" s="2576"/>
      <c r="K69" s="2576"/>
      <c r="L69" s="2576"/>
      <c r="M69" s="2576"/>
      <c r="N69" s="2576"/>
      <c r="O69" s="2576"/>
      <c r="P69" s="2576"/>
      <c r="Q69" s="2576"/>
      <c r="R69" s="2576"/>
      <c r="S69" s="2576"/>
      <c r="T69" s="2576"/>
      <c r="AC69" s="3278">
        <f t="shared" si="2"/>
        <v>0</v>
      </c>
    </row>
    <row r="70" spans="1:29">
      <c r="A70" s="2581" t="s">
        <v>1274</v>
      </c>
      <c r="B70" s="2576"/>
      <c r="C70" s="2576"/>
      <c r="D70" s="2576"/>
      <c r="E70" s="2576"/>
      <c r="F70" s="2576"/>
      <c r="G70" s="2576"/>
      <c r="H70" s="2576"/>
      <c r="I70" s="2576"/>
      <c r="J70" s="2576"/>
      <c r="K70" s="2576"/>
      <c r="L70" s="2576"/>
      <c r="M70" s="2576"/>
      <c r="N70" s="2576"/>
      <c r="O70" s="2576"/>
      <c r="P70" s="2576"/>
      <c r="Q70" s="2576"/>
      <c r="R70" s="2576"/>
      <c r="S70" s="2576"/>
      <c r="T70" s="2576"/>
      <c r="AC70" s="3278">
        <f t="shared" si="2"/>
        <v>0</v>
      </c>
    </row>
    <row r="71" spans="1:29">
      <c r="A71" s="2560" t="s">
        <v>2341</v>
      </c>
      <c r="B71" s="2603">
        <f t="shared" ref="B71:T71" si="4">SUM(B47:B70)</f>
        <v>0</v>
      </c>
      <c r="C71" s="2603">
        <f t="shared" si="4"/>
        <v>0</v>
      </c>
      <c r="D71" s="2603">
        <f t="shared" si="4"/>
        <v>0</v>
      </c>
      <c r="E71" s="2603">
        <f t="shared" si="4"/>
        <v>0</v>
      </c>
      <c r="F71" s="2603">
        <f t="shared" si="4"/>
        <v>0</v>
      </c>
      <c r="G71" s="2603">
        <f t="shared" si="4"/>
        <v>0</v>
      </c>
      <c r="H71" s="2603">
        <f t="shared" si="4"/>
        <v>0</v>
      </c>
      <c r="I71" s="2603">
        <f t="shared" si="4"/>
        <v>0</v>
      </c>
      <c r="J71" s="2603">
        <f t="shared" si="4"/>
        <v>0</v>
      </c>
      <c r="K71" s="2603">
        <f t="shared" si="4"/>
        <v>0</v>
      </c>
      <c r="L71" s="2603">
        <f t="shared" si="4"/>
        <v>0</v>
      </c>
      <c r="M71" s="2603">
        <f t="shared" si="4"/>
        <v>0</v>
      </c>
      <c r="N71" s="2603">
        <f t="shared" si="4"/>
        <v>0</v>
      </c>
      <c r="O71" s="2603">
        <f t="shared" si="4"/>
        <v>0</v>
      </c>
      <c r="P71" s="2603">
        <f t="shared" si="4"/>
        <v>0</v>
      </c>
      <c r="Q71" s="2603">
        <f t="shared" si="4"/>
        <v>0</v>
      </c>
      <c r="R71" s="2603">
        <f t="shared" si="4"/>
        <v>0</v>
      </c>
      <c r="S71" s="2603">
        <f t="shared" si="4"/>
        <v>0</v>
      </c>
      <c r="T71" s="2603">
        <f t="shared" si="4"/>
        <v>0</v>
      </c>
      <c r="AC71" s="3190"/>
    </row>
    <row r="72" spans="1:29">
      <c r="AC72" s="3190"/>
    </row>
    <row r="73" spans="1:29">
      <c r="A73" s="2560" t="s">
        <v>1207</v>
      </c>
      <c r="AC73" s="3190"/>
    </row>
    <row r="74" spans="1:29">
      <c r="A74" s="2581" t="s">
        <v>2342</v>
      </c>
      <c r="B74" s="2576"/>
      <c r="C74" s="2576"/>
      <c r="D74" s="2576"/>
      <c r="E74" s="2576"/>
      <c r="F74" s="2576"/>
      <c r="G74" s="2576"/>
      <c r="H74" s="2576"/>
      <c r="I74" s="2576"/>
      <c r="J74" s="2576"/>
      <c r="K74" s="2576"/>
      <c r="L74" s="3123"/>
      <c r="M74" s="3123"/>
      <c r="N74" s="3123"/>
      <c r="O74" s="3123"/>
      <c r="P74" s="3123"/>
      <c r="Q74" s="2577"/>
      <c r="R74" s="2577"/>
      <c r="S74" s="2577"/>
      <c r="T74" s="2577"/>
      <c r="AC74" s="3278">
        <f t="shared" si="2"/>
        <v>0</v>
      </c>
    </row>
    <row r="75" spans="1:29">
      <c r="A75" s="2581" t="s">
        <v>865</v>
      </c>
      <c r="B75" s="2576"/>
      <c r="C75" s="2576"/>
      <c r="D75" s="2576"/>
      <c r="E75" s="2576"/>
      <c r="F75" s="2576"/>
      <c r="G75" s="2576"/>
      <c r="H75" s="2576"/>
      <c r="I75" s="2576"/>
      <c r="J75" s="2576"/>
      <c r="K75" s="2576"/>
      <c r="L75" s="3123"/>
      <c r="M75" s="3123"/>
      <c r="N75" s="3123"/>
      <c r="O75" s="3123"/>
      <c r="P75" s="3123"/>
      <c r="Q75" s="2577"/>
      <c r="R75" s="2577"/>
      <c r="S75" s="2577"/>
      <c r="T75" s="2577"/>
      <c r="AC75" s="3278">
        <f t="shared" si="2"/>
        <v>0</v>
      </c>
    </row>
    <row r="76" spans="1:29">
      <c r="A76" s="2581" t="s">
        <v>2343</v>
      </c>
      <c r="B76" s="2576"/>
      <c r="C76" s="2576"/>
      <c r="D76" s="2576"/>
      <c r="E76" s="2576"/>
      <c r="F76" s="2576"/>
      <c r="G76" s="2576"/>
      <c r="H76" s="2576"/>
      <c r="I76" s="2576"/>
      <c r="J76" s="2576"/>
      <c r="K76" s="2576"/>
      <c r="L76" s="3123"/>
      <c r="M76" s="3123"/>
      <c r="N76" s="3123"/>
      <c r="O76" s="3123"/>
      <c r="P76" s="3123"/>
      <c r="Q76" s="2577"/>
      <c r="R76" s="2577"/>
      <c r="S76" s="2577"/>
      <c r="T76" s="2577"/>
      <c r="AC76" s="3278">
        <f t="shared" si="2"/>
        <v>0</v>
      </c>
    </row>
    <row r="77" spans="1:29">
      <c r="A77" s="2581" t="s">
        <v>2344</v>
      </c>
      <c r="B77" s="2576"/>
      <c r="C77" s="2576"/>
      <c r="D77" s="2576"/>
      <c r="E77" s="2576"/>
      <c r="F77" s="2576"/>
      <c r="G77" s="2576"/>
      <c r="H77" s="2576"/>
      <c r="I77" s="2576"/>
      <c r="J77" s="2576"/>
      <c r="K77" s="2576"/>
      <c r="L77" s="3123"/>
      <c r="M77" s="3123"/>
      <c r="N77" s="3123"/>
      <c r="O77" s="3123"/>
      <c r="P77" s="3123"/>
      <c r="Q77" s="2577"/>
      <c r="R77" s="2577"/>
      <c r="S77" s="2577"/>
      <c r="T77" s="2577"/>
      <c r="AC77" s="3278">
        <f t="shared" si="2"/>
        <v>0</v>
      </c>
    </row>
    <row r="78" spans="1:29">
      <c r="A78" s="2581" t="s">
        <v>2345</v>
      </c>
      <c r="B78" s="2576"/>
      <c r="C78" s="2576"/>
      <c r="D78" s="2576"/>
      <c r="E78" s="2576"/>
      <c r="F78" s="2576"/>
      <c r="G78" s="2576"/>
      <c r="H78" s="2576"/>
      <c r="I78" s="2576"/>
      <c r="J78" s="2576"/>
      <c r="K78" s="2576"/>
      <c r="L78" s="3123"/>
      <c r="M78" s="3123"/>
      <c r="N78" s="3123"/>
      <c r="O78" s="3123"/>
      <c r="P78" s="3123"/>
      <c r="Q78" s="2577"/>
      <c r="R78" s="2577"/>
      <c r="S78" s="2577"/>
      <c r="T78" s="2577"/>
      <c r="AC78" s="3278">
        <f t="shared" si="2"/>
        <v>0</v>
      </c>
    </row>
    <row r="79" spans="1:29">
      <c r="A79" s="2581" t="s">
        <v>2346</v>
      </c>
      <c r="B79" s="2576"/>
      <c r="C79" s="2576"/>
      <c r="D79" s="2576"/>
      <c r="E79" s="2576"/>
      <c r="F79" s="2576"/>
      <c r="G79" s="2576"/>
      <c r="H79" s="2576"/>
      <c r="I79" s="2576"/>
      <c r="J79" s="2576"/>
      <c r="K79" s="2576"/>
      <c r="L79" s="3123"/>
      <c r="M79" s="3123"/>
      <c r="N79" s="3123"/>
      <c r="O79" s="3123"/>
      <c r="P79" s="3123"/>
      <c r="Q79" s="2577"/>
      <c r="R79" s="2577"/>
      <c r="S79" s="2577"/>
      <c r="T79" s="2577"/>
      <c r="AC79" s="3278">
        <f t="shared" si="2"/>
        <v>0</v>
      </c>
    </row>
    <row r="80" spans="1:29">
      <c r="A80" s="2581" t="s">
        <v>855</v>
      </c>
      <c r="B80" s="2576"/>
      <c r="C80" s="2576"/>
      <c r="D80" s="2576"/>
      <c r="E80" s="2576"/>
      <c r="F80" s="2576"/>
      <c r="G80" s="2576"/>
      <c r="H80" s="2576"/>
      <c r="I80" s="2576"/>
      <c r="J80" s="2576"/>
      <c r="K80" s="2576"/>
      <c r="L80" s="3123"/>
      <c r="M80" s="3123"/>
      <c r="N80" s="3123"/>
      <c r="O80" s="3123"/>
      <c r="P80" s="3123"/>
      <c r="Q80" s="2577"/>
      <c r="R80" s="2577"/>
      <c r="S80" s="2577"/>
      <c r="T80" s="2577"/>
      <c r="AC80" s="3278">
        <f t="shared" si="2"/>
        <v>0</v>
      </c>
    </row>
    <row r="81" spans="1:29">
      <c r="A81" s="2581" t="s">
        <v>2347</v>
      </c>
      <c r="B81" s="2576"/>
      <c r="C81" s="2576"/>
      <c r="D81" s="2576"/>
      <c r="E81" s="2576"/>
      <c r="F81" s="2576"/>
      <c r="G81" s="2576"/>
      <c r="H81" s="2576"/>
      <c r="I81" s="2576"/>
      <c r="J81" s="2576"/>
      <c r="K81" s="2576"/>
      <c r="L81" s="3123"/>
      <c r="M81" s="3123"/>
      <c r="N81" s="3123"/>
      <c r="O81" s="3123"/>
      <c r="P81" s="3123"/>
      <c r="Q81" s="2577"/>
      <c r="R81" s="2577"/>
      <c r="S81" s="2577"/>
      <c r="T81" s="2577"/>
      <c r="AC81" s="3278">
        <f t="shared" si="2"/>
        <v>0</v>
      </c>
    </row>
    <row r="82" spans="1:29">
      <c r="A82" s="2581" t="s">
        <v>431</v>
      </c>
      <c r="B82" s="2576"/>
      <c r="C82" s="2576"/>
      <c r="D82" s="2576"/>
      <c r="E82" s="2576"/>
      <c r="F82" s="2576"/>
      <c r="G82" s="2576"/>
      <c r="H82" s="2576"/>
      <c r="I82" s="2576"/>
      <c r="J82" s="2576"/>
      <c r="K82" s="2576"/>
      <c r="L82" s="3123"/>
      <c r="M82" s="3123"/>
      <c r="N82" s="3123"/>
      <c r="O82" s="3123"/>
      <c r="P82" s="3123"/>
      <c r="Q82" s="2577"/>
      <c r="R82" s="2577"/>
      <c r="S82" s="2577"/>
      <c r="T82" s="2577"/>
      <c r="AC82" s="3278">
        <f t="shared" si="2"/>
        <v>0</v>
      </c>
    </row>
    <row r="83" spans="1:29">
      <c r="A83" s="2581" t="s">
        <v>2328</v>
      </c>
      <c r="B83" s="2576"/>
      <c r="C83" s="2576"/>
      <c r="D83" s="2576"/>
      <c r="E83" s="2576"/>
      <c r="F83" s="2576"/>
      <c r="G83" s="2576"/>
      <c r="H83" s="2576"/>
      <c r="I83" s="2576"/>
      <c r="J83" s="2576"/>
      <c r="K83" s="2576"/>
      <c r="L83" s="3123"/>
      <c r="M83" s="3123"/>
      <c r="N83" s="3123"/>
      <c r="O83" s="3123"/>
      <c r="P83" s="3123"/>
      <c r="Q83" s="2577"/>
      <c r="R83" s="2577"/>
      <c r="S83" s="2577"/>
      <c r="T83" s="2577"/>
      <c r="AC83" s="3278">
        <f t="shared" si="2"/>
        <v>0</v>
      </c>
    </row>
    <row r="84" spans="1:29">
      <c r="A84" s="2581" t="s">
        <v>1274</v>
      </c>
      <c r="B84" s="2576"/>
      <c r="C84" s="2576"/>
      <c r="D84" s="2576"/>
      <c r="E84" s="2576"/>
      <c r="F84" s="2576"/>
      <c r="G84" s="2576"/>
      <c r="H84" s="2576"/>
      <c r="I84" s="2576"/>
      <c r="J84" s="2576"/>
      <c r="K84" s="2576"/>
      <c r="L84" s="2576"/>
      <c r="M84" s="2576"/>
      <c r="N84" s="2576"/>
      <c r="O84" s="2576"/>
      <c r="P84" s="2576"/>
      <c r="Q84" s="2577"/>
      <c r="R84" s="2577"/>
      <c r="S84" s="2577"/>
      <c r="T84" s="2577"/>
      <c r="AC84" s="3278">
        <f t="shared" si="2"/>
        <v>0</v>
      </c>
    </row>
    <row r="85" spans="1:29">
      <c r="A85" s="2581" t="s">
        <v>1274</v>
      </c>
      <c r="B85" s="2576"/>
      <c r="C85" s="2576"/>
      <c r="D85" s="2576"/>
      <c r="E85" s="2576"/>
      <c r="F85" s="2576"/>
      <c r="G85" s="2576"/>
      <c r="H85" s="2576"/>
      <c r="I85" s="2576"/>
      <c r="J85" s="2576"/>
      <c r="K85" s="2576"/>
      <c r="L85" s="2576"/>
      <c r="M85" s="2576"/>
      <c r="N85" s="2576"/>
      <c r="O85" s="2576"/>
      <c r="P85" s="2576"/>
      <c r="Q85" s="2577"/>
      <c r="R85" s="2577"/>
      <c r="S85" s="2577"/>
      <c r="T85" s="2577"/>
      <c r="AC85" s="3278">
        <f t="shared" si="2"/>
        <v>0</v>
      </c>
    </row>
    <row r="86" spans="1:29">
      <c r="A86" s="2581" t="s">
        <v>1274</v>
      </c>
      <c r="B86" s="2576"/>
      <c r="C86" s="2576"/>
      <c r="D86" s="2576"/>
      <c r="E86" s="2576"/>
      <c r="F86" s="2576"/>
      <c r="G86" s="2576"/>
      <c r="H86" s="2576"/>
      <c r="I86" s="2576"/>
      <c r="J86" s="2576"/>
      <c r="K86" s="2576"/>
      <c r="L86" s="2576"/>
      <c r="M86" s="2576"/>
      <c r="N86" s="2576"/>
      <c r="O86" s="2576"/>
      <c r="P86" s="2576"/>
      <c r="Q86" s="2577"/>
      <c r="R86" s="2577"/>
      <c r="S86" s="2577"/>
      <c r="T86" s="2577"/>
      <c r="AC86" s="3278">
        <f t="shared" si="2"/>
        <v>0</v>
      </c>
    </row>
    <row r="87" spans="1:29">
      <c r="A87" s="2581" t="s">
        <v>2348</v>
      </c>
      <c r="B87" s="2577"/>
      <c r="C87" s="2577"/>
      <c r="D87" s="2577"/>
      <c r="E87" s="2577"/>
      <c r="F87" s="2577"/>
      <c r="G87" s="2577"/>
      <c r="H87" s="2577"/>
      <c r="I87" s="2577"/>
      <c r="J87" s="2577"/>
      <c r="K87" s="2577"/>
      <c r="L87" s="2577"/>
      <c r="M87" s="2577"/>
      <c r="N87" s="2577"/>
      <c r="O87" s="2577"/>
      <c r="P87" s="2577"/>
      <c r="Q87" s="2576"/>
      <c r="R87" s="2576"/>
      <c r="S87" s="2576"/>
      <c r="T87" s="2576"/>
      <c r="AC87" s="3278">
        <f t="shared" si="2"/>
        <v>0</v>
      </c>
    </row>
    <row r="88" spans="1:29">
      <c r="A88" s="2581" t="s">
        <v>2349</v>
      </c>
      <c r="B88" s="2577"/>
      <c r="C88" s="2577"/>
      <c r="D88" s="2577"/>
      <c r="E88" s="2577"/>
      <c r="F88" s="2577"/>
      <c r="G88" s="2577"/>
      <c r="H88" s="2577"/>
      <c r="I88" s="2577"/>
      <c r="J88" s="2577"/>
      <c r="K88" s="2577"/>
      <c r="L88" s="2577"/>
      <c r="M88" s="2577"/>
      <c r="N88" s="2577"/>
      <c r="O88" s="2577"/>
      <c r="P88" s="2577"/>
      <c r="Q88" s="2576"/>
      <c r="R88" s="2576"/>
      <c r="S88" s="2576"/>
      <c r="T88" s="2576"/>
      <c r="AC88" s="3278">
        <f t="shared" si="2"/>
        <v>0</v>
      </c>
    </row>
    <row r="89" spans="1:29">
      <c r="A89" s="2560" t="s">
        <v>2350</v>
      </c>
      <c r="B89" s="3129">
        <f t="shared" ref="B89:T89" si="5">SUM(B74:B88)</f>
        <v>0</v>
      </c>
      <c r="C89" s="3129">
        <f t="shared" si="5"/>
        <v>0</v>
      </c>
      <c r="D89" s="3129">
        <f t="shared" si="5"/>
        <v>0</v>
      </c>
      <c r="E89" s="3129">
        <f t="shared" si="5"/>
        <v>0</v>
      </c>
      <c r="F89" s="3129">
        <f t="shared" si="5"/>
        <v>0</v>
      </c>
      <c r="G89" s="3129">
        <f t="shared" si="5"/>
        <v>0</v>
      </c>
      <c r="H89" s="3129">
        <f t="shared" si="5"/>
        <v>0</v>
      </c>
      <c r="I89" s="3129">
        <f t="shared" si="5"/>
        <v>0</v>
      </c>
      <c r="J89" s="3129">
        <f t="shared" si="5"/>
        <v>0</v>
      </c>
      <c r="K89" s="3129">
        <f t="shared" si="5"/>
        <v>0</v>
      </c>
      <c r="L89" s="3129">
        <f t="shared" si="5"/>
        <v>0</v>
      </c>
      <c r="M89" s="3129">
        <f t="shared" si="5"/>
        <v>0</v>
      </c>
      <c r="N89" s="3129">
        <f t="shared" si="5"/>
        <v>0</v>
      </c>
      <c r="O89" s="3129">
        <f t="shared" si="5"/>
        <v>0</v>
      </c>
      <c r="P89" s="3129">
        <f t="shared" si="5"/>
        <v>0</v>
      </c>
      <c r="Q89" s="3129">
        <f t="shared" si="5"/>
        <v>0</v>
      </c>
      <c r="R89" s="3129">
        <f t="shared" si="5"/>
        <v>0</v>
      </c>
      <c r="S89" s="3129">
        <f t="shared" si="5"/>
        <v>0</v>
      </c>
      <c r="T89" s="3129">
        <f t="shared" si="5"/>
        <v>0</v>
      </c>
      <c r="AC89" s="3190"/>
    </row>
    <row r="90" spans="1:29">
      <c r="A90" s="2560"/>
      <c r="B90" s="2588"/>
      <c r="C90" s="2588"/>
      <c r="D90" s="2588"/>
      <c r="E90" s="2588"/>
      <c r="F90" s="2588"/>
      <c r="G90" s="2588"/>
      <c r="H90" s="2588"/>
      <c r="I90" s="2588"/>
      <c r="J90" s="2588"/>
      <c r="K90" s="2588"/>
      <c r="AC90" s="3190"/>
    </row>
    <row r="91" spans="1:29">
      <c r="A91" s="2560" t="s">
        <v>2351</v>
      </c>
      <c r="B91" s="2576"/>
      <c r="C91" s="2576"/>
      <c r="D91" s="2576"/>
      <c r="E91" s="2576"/>
      <c r="F91" s="2576"/>
      <c r="G91" s="2576"/>
      <c r="H91" s="2576"/>
      <c r="I91" s="2576"/>
      <c r="J91" s="2576"/>
      <c r="K91" s="2576"/>
      <c r="L91" s="2576"/>
      <c r="M91" s="2576"/>
      <c r="N91" s="2576"/>
      <c r="O91" s="2576"/>
      <c r="P91" s="2576"/>
      <c r="Q91" s="2578"/>
      <c r="R91" s="2578"/>
      <c r="S91" s="2578"/>
      <c r="T91" s="2578"/>
      <c r="AC91" s="3278">
        <f t="shared" si="2"/>
        <v>0</v>
      </c>
    </row>
    <row r="92" spans="1:29">
      <c r="AC92" s="3278">
        <f>SUM(B92:T92)</f>
        <v>0</v>
      </c>
    </row>
    <row r="93" spans="1:29">
      <c r="A93" s="2560" t="s">
        <v>1837</v>
      </c>
      <c r="B93" s="3130">
        <f t="shared" ref="B93:O93" si="6">B71-B89-B91</f>
        <v>0</v>
      </c>
      <c r="C93" s="3130">
        <f t="shared" si="6"/>
        <v>0</v>
      </c>
      <c r="D93" s="3130">
        <f t="shared" si="6"/>
        <v>0</v>
      </c>
      <c r="E93" s="3130">
        <f t="shared" si="6"/>
        <v>0</v>
      </c>
      <c r="F93" s="3130">
        <f t="shared" si="6"/>
        <v>0</v>
      </c>
      <c r="G93" s="3130">
        <f t="shared" si="6"/>
        <v>0</v>
      </c>
      <c r="H93" s="3130">
        <f t="shared" si="6"/>
        <v>0</v>
      </c>
      <c r="I93" s="3130">
        <f t="shared" si="6"/>
        <v>0</v>
      </c>
      <c r="J93" s="3130">
        <f t="shared" si="6"/>
        <v>0</v>
      </c>
      <c r="K93" s="3130">
        <f t="shared" si="6"/>
        <v>0</v>
      </c>
      <c r="L93" s="3130">
        <f t="shared" si="6"/>
        <v>0</v>
      </c>
      <c r="M93" s="3130">
        <f t="shared" si="6"/>
        <v>0</v>
      </c>
      <c r="N93" s="3130">
        <f t="shared" si="6"/>
        <v>0</v>
      </c>
      <c r="O93" s="3130">
        <f t="shared" si="6"/>
        <v>0</v>
      </c>
      <c r="P93" s="3130">
        <f>P71-P89-P91</f>
        <v>0</v>
      </c>
      <c r="Q93" s="3130">
        <f>Q71-Q89</f>
        <v>0</v>
      </c>
      <c r="R93" s="3130">
        <f>R71-R89</f>
        <v>0</v>
      </c>
      <c r="S93" s="3130">
        <f>S71-S89</f>
        <v>0</v>
      </c>
      <c r="T93" s="3130">
        <f>T71-T89</f>
        <v>0</v>
      </c>
      <c r="AC93" s="3191"/>
    </row>
    <row r="94" spans="1:29">
      <c r="B94" s="3131"/>
      <c r="C94" s="3131"/>
      <c r="D94" s="3131"/>
      <c r="E94" s="3131"/>
      <c r="F94" s="3131"/>
      <c r="G94" s="3131"/>
      <c r="H94" s="3131"/>
      <c r="I94" s="3131"/>
      <c r="J94" s="3131"/>
      <c r="K94" s="3131"/>
      <c r="L94" s="3131"/>
      <c r="M94" s="3131"/>
      <c r="N94" s="3131"/>
      <c r="O94" s="3131"/>
      <c r="P94" s="3131"/>
      <c r="Q94" s="3131"/>
      <c r="R94" s="3131"/>
      <c r="S94" s="3131"/>
      <c r="T94" s="3131"/>
      <c r="AC94" s="3191"/>
    </row>
    <row r="95" spans="1:29">
      <c r="A95" s="2560" t="s">
        <v>2352</v>
      </c>
      <c r="B95" s="3129">
        <f>IF(B93&lt;0,0,IF(B$13="Resident",VLOOKUP(B93,'Standard Thresholds'!$A$39:$C$43,2)*(B93-VLOOKUP(B93,'Standard Thresholds'!$A$39:$C$43,1))+VLOOKUP(B93,'Standard Thresholds'!$A$39:$C$43,3),IF(B$13="Non-resident",VLOOKUP(B93,'Standard Thresholds'!$A$47:$C$49,2)*(B93-VLOOKUP(B93,'Standard Thresholds'!$A$47:$C$49,1))+VLOOKUP(B93,'Standard Thresholds'!$A$47:$C$49,3),IF(B$13="Working holiday maker",VLOOKUP(B93,'Standard Thresholds'!$A$53:$C$56,2)*(B93-VLOOKUP(B93,'Standard Thresholds'!$A$53:$C$56,1))+VLOOKUP(B93,'Standard Thresholds'!$A$53:$C$56,3),0))))</f>
        <v>0</v>
      </c>
      <c r="C95" s="3129">
        <f>IF(C93&lt;0,0,IF(C$13="Resident",VLOOKUP(C93,'Standard Thresholds'!$A$39:$C$43,2)*(C93-VLOOKUP(C93,'Standard Thresholds'!$A$39:$C$43,1))+VLOOKUP(C93,'Standard Thresholds'!$A$39:$C$43,3),IF(C$13="Non-resident",VLOOKUP(C93,'Standard Thresholds'!$A$47:$C$49,2)*(C93-VLOOKUP(C93,'Standard Thresholds'!$A$47:$C$49,1))+VLOOKUP(C93,'Standard Thresholds'!$A$47:$C$49,3),IF(C$13="Working holiday maker",VLOOKUP(C93,'Standard Thresholds'!$A$53:$C$56,2)*(C93-VLOOKUP(C93,'Standard Thresholds'!$A$53:$C$56,1))+VLOOKUP(C93,'Standard Thresholds'!$A$53:$C$56,3),0))))</f>
        <v>0</v>
      </c>
      <c r="D95" s="3129">
        <f>IF(D93&lt;0,0,IF(D$13="Resident",VLOOKUP(D93,'Standard Thresholds'!$A$39:$C$43,2)*(D93-VLOOKUP(D93,'Standard Thresholds'!$A$39:$C$43,1))+VLOOKUP(D93,'Standard Thresholds'!$A$39:$C$43,3),IF(D$13="Non-resident",VLOOKUP(D93,'Standard Thresholds'!$A$47:$C$49,2)*(D93-VLOOKUP(D93,'Standard Thresholds'!$A$47:$C$49,1))+VLOOKUP(D93,'Standard Thresholds'!$A$47:$C$49,3),IF(D$13="Working holiday maker",VLOOKUP(D93,'Standard Thresholds'!$A$53:$C$56,2)*(D93-VLOOKUP(D93,'Standard Thresholds'!$A$53:$C$56,1))+VLOOKUP(D93,'Standard Thresholds'!$A$53:$C$56,3),0))))</f>
        <v>0</v>
      </c>
      <c r="E95" s="3129">
        <f>IF(E93&lt;0,0,IF(E$13="Resident",VLOOKUP(E93,'Standard Thresholds'!$A$39:$C$43,2)*(E93-VLOOKUP(E93,'Standard Thresholds'!$A$39:$C$43,1))+VLOOKUP(E93,'Standard Thresholds'!$A$39:$C$43,3),IF(E$13="Non-resident",VLOOKUP(E93,'Standard Thresholds'!$A$47:$C$49,2)*(E93-VLOOKUP(E93,'Standard Thresholds'!$A$47:$C$49,1))+VLOOKUP(E93,'Standard Thresholds'!$A$47:$C$49,3),IF(E$13="Working holiday maker",VLOOKUP(E93,'Standard Thresholds'!$A$53:$C$56,2)*(E93-VLOOKUP(E93,'Standard Thresholds'!$A$53:$C$56,1))+VLOOKUP(E93,'Standard Thresholds'!$A$53:$C$56,3),0))))</f>
        <v>0</v>
      </c>
      <c r="F95" s="3129">
        <f>IF(F93&lt;0,0,IF(F$13="Resident",VLOOKUP(F93,'Standard Thresholds'!$A$39:$C$43,2)*(F93-VLOOKUP(F93,'Standard Thresholds'!$A$39:$C$43,1))+VLOOKUP(F93,'Standard Thresholds'!$A$39:$C$43,3),IF(F$13="Non-resident",VLOOKUP(F93,'Standard Thresholds'!$A$47:$C$49,2)*(F93-VLOOKUP(F93,'Standard Thresholds'!$A$47:$C$49,1))+VLOOKUP(F93,'Standard Thresholds'!$A$47:$C$49,3),IF(F$13="Working holiday maker",VLOOKUP(F93,'Standard Thresholds'!$A$53:$C$56,2)*(F93-VLOOKUP(F93,'Standard Thresholds'!$A$53:$C$56,1))+VLOOKUP(F93,'Standard Thresholds'!$A$53:$C$56,3),0))))</f>
        <v>0</v>
      </c>
      <c r="G95" s="3129">
        <f>IF(G93&lt;0,0,IF(G$13="Resident",VLOOKUP(G93,'Standard Thresholds'!$A$39:$C$43,2)*(G93-VLOOKUP(G93,'Standard Thresholds'!$A$39:$C$43,1))+VLOOKUP(G93,'Standard Thresholds'!$A$39:$C$43,3),IF(G$13="Non-resident",VLOOKUP(G93,'Standard Thresholds'!$A$47:$C$49,2)*(G93-VLOOKUP(G93,'Standard Thresholds'!$A$47:$C$49,1))+VLOOKUP(G93,'Standard Thresholds'!$A$47:$C$49,3),IF(G$13="Working holiday maker",VLOOKUP(G93,'Standard Thresholds'!$A$53:$C$56,2)*(G93-VLOOKUP(G93,'Standard Thresholds'!$A$53:$C$56,1))+VLOOKUP(G93,'Standard Thresholds'!$A$53:$C$56,3),0))))</f>
        <v>0</v>
      </c>
      <c r="H95" s="3129">
        <f>IF(H93&lt;0,0,IF(H$13="Resident",VLOOKUP(H93,'Standard Thresholds'!$A$39:$C$43,2)*(H93-VLOOKUP(H93,'Standard Thresholds'!$A$39:$C$43,1))+VLOOKUP(H93,'Standard Thresholds'!$A$39:$C$43,3),IF(H$13="Non-resident",VLOOKUP(H93,'Standard Thresholds'!$A$47:$C$49,2)*(H93-VLOOKUP(H93,'Standard Thresholds'!$A$47:$C$49,1))+VLOOKUP(H93,'Standard Thresholds'!$A$47:$C$49,3),IF(H$13="Working holiday maker",VLOOKUP(H93,'Standard Thresholds'!$A$53:$C$56,2)*(H93-VLOOKUP(H93,'Standard Thresholds'!$A$53:$C$56,1))+VLOOKUP(H93,'Standard Thresholds'!$A$53:$C$56,3),0))))</f>
        <v>0</v>
      </c>
      <c r="I95" s="3129">
        <f>IF(I93&lt;0,0,IF(I$13="Resident",VLOOKUP(I93,'Standard Thresholds'!$A$39:$C$43,2)*(I93-VLOOKUP(I93,'Standard Thresholds'!$A$39:$C$43,1))+VLOOKUP(I93,'Standard Thresholds'!$A$39:$C$43,3),IF(I$13="Non-resident",VLOOKUP(I93,'Standard Thresholds'!$A$47:$C$49,2)*(I93-VLOOKUP(I93,'Standard Thresholds'!$A$47:$C$49,1))+VLOOKUP(I93,'Standard Thresholds'!$A$47:$C$49,3),IF(I$13="Working holiday maker",VLOOKUP(I93,'Standard Thresholds'!$A$53:$C$56,2)*(I93-VLOOKUP(I93,'Standard Thresholds'!$A$53:$C$56,1))+VLOOKUP(I93,'Standard Thresholds'!$A$53:$C$56,3),0))))</f>
        <v>0</v>
      </c>
      <c r="J95" s="3129">
        <f>IF(J93&lt;0,0,IF(J$13="Resident",VLOOKUP(J93,'Standard Thresholds'!$A$39:$C$43,2)*(J93-VLOOKUP(J93,'Standard Thresholds'!$A$39:$C$43,1))+VLOOKUP(J93,'Standard Thresholds'!$A$39:$C$43,3),IF(J$13="Non-resident",VLOOKUP(J93,'Standard Thresholds'!$A$47:$C$49,2)*(J93-VLOOKUP(J93,'Standard Thresholds'!$A$47:$C$49,1))+VLOOKUP(J93,'Standard Thresholds'!$A$47:$C$49,3),IF(J$13="Working holiday maker",VLOOKUP(J93,'Standard Thresholds'!$A$53:$C$56,2)*(J93-VLOOKUP(J93,'Standard Thresholds'!$A$53:$C$56,1))+VLOOKUP(J93,'Standard Thresholds'!$A$53:$C$56,3),0))))</f>
        <v>0</v>
      </c>
      <c r="K95" s="3129">
        <f>IF(K93&lt;0,0,IF(K$13="Resident",VLOOKUP(K93,'Standard Thresholds'!$A$39:$C$43,2)*(K93-VLOOKUP(K93,'Standard Thresholds'!$A$39:$C$43,1))+VLOOKUP(K93,'Standard Thresholds'!$A$39:$C$43,3),IF(K$13="Non-resident",VLOOKUP(K93,'Standard Thresholds'!$A$47:$C$49,2)*(K93-VLOOKUP(K93,'Standard Thresholds'!$A$47:$C$49,1))+VLOOKUP(K93,'Standard Thresholds'!$A$47:$C$49,3),IF(K$13="Working holiday maker",VLOOKUP(K93,'Standard Thresholds'!$A$53:$C$56,2)*(K93-VLOOKUP(K93,'Standard Thresholds'!$A$53:$C$56,1))+VLOOKUP(K93,'Standard Thresholds'!$A$53:$C$56,3),0))))</f>
        <v>0</v>
      </c>
      <c r="L95" s="3129">
        <f>IF(L93&lt;0,0,IF(L24="Yes",L93*'Standard Thresholds'!$B$71,L93*'Standard Thresholds'!$B$72))</f>
        <v>0</v>
      </c>
      <c r="M95" s="3129">
        <f>IF(M93&lt;0,0,IF(M24="Yes",M93*'Standard Thresholds'!$B$71,M93*'Standard Thresholds'!$B$72))</f>
        <v>0</v>
      </c>
      <c r="N95" s="3129">
        <f>IF(N93&lt;0,0,IF(N24="Yes",N93*'Standard Thresholds'!$B$71,N93*'Standard Thresholds'!$B$72))</f>
        <v>0</v>
      </c>
      <c r="O95" s="3129">
        <f>IF(O93&lt;0,0,IF(O24="Yes",O93*'Standard Thresholds'!$B$71,O93*'Standard Thresholds'!$B$72))</f>
        <v>0</v>
      </c>
      <c r="P95" s="3129">
        <f>IF(P93&lt;0,0,P93*'Standard Thresholds'!$B$75)</f>
        <v>0</v>
      </c>
      <c r="Q95" s="3129">
        <f>IF(Q93&lt;0,0,IF(Q$13="Resident",VLOOKUP(Q101,'Standard Thresholds'!$A$39:$C$43,2)*(Q101-VLOOKUP(Q101,'Standard Thresholds'!$A$39:$C$43,1))+VLOOKUP(Q101,'Standard Thresholds'!$A$39:$C$43,3),IF(Q$13="Non-resident",VLOOKUP(Q101,'Standard Thresholds'!$A$47:$C$49,2)*(Q101-VLOOKUP(Q101,'Standard Thresholds'!$A$47:$C$49,1))+VLOOKUP(Q101,'Standard Thresholds'!$A$47:$C$49,3),0)))</f>
        <v>0</v>
      </c>
      <c r="R95" s="3129">
        <f>IF(R93&lt;0,0,IF(R$13="Resident",VLOOKUP(R101,'Standard Thresholds'!$A$39:$C$43,2)*(R101-VLOOKUP(R101,'Standard Thresholds'!$A$39:$C$43,1))+VLOOKUP(R101,'Standard Thresholds'!$A$39:$C$43,3),IF(R$13="Non-resident",VLOOKUP(R101,'Standard Thresholds'!$A$47:$C$49,2)*(R101-VLOOKUP(R101,'Standard Thresholds'!$A$47:$C$49,1))+VLOOKUP(R101,'Standard Thresholds'!$A$47:$C$49,3),0)))</f>
        <v>0</v>
      </c>
      <c r="S95" s="3129">
        <f>IF(S93&lt;0,0,IF(S$13="Resident",VLOOKUP(S101,'Standard Thresholds'!$A$39:$C$43,2)*(S101-VLOOKUP(S101,'Standard Thresholds'!$A$39:$C$43,1))+VLOOKUP(S101,'Standard Thresholds'!$A$39:$C$43,3),IF(S$13="Non-resident",VLOOKUP(S101,'Standard Thresholds'!$A$47:$C$49,2)*(S101-VLOOKUP(S101,'Standard Thresholds'!$A$47:$C$49,1))+VLOOKUP(S101,'Standard Thresholds'!$A$47:$C$49,3),0)))</f>
        <v>0</v>
      </c>
      <c r="T95" s="3129">
        <f>IF(T93&lt;0,0,IF(T$13="Resident",VLOOKUP(T101,'Standard Thresholds'!$A$39:$C$43,2)*(T101-VLOOKUP(T101,'Standard Thresholds'!$A$39:$C$43,1))+VLOOKUP(T101,'Standard Thresholds'!$A$39:$C$43,3),IF(T$13="Non-resident",VLOOKUP(T101,'Standard Thresholds'!$A$47:$C$49,2)*(T101-VLOOKUP(T101,'Standard Thresholds'!$A$47:$C$49,1))+VLOOKUP(T101,'Standard Thresholds'!$A$47:$C$49,3),0)))</f>
        <v>0</v>
      </c>
      <c r="AC95" s="3191"/>
    </row>
    <row r="96" spans="1:29">
      <c r="A96" s="2560" t="s">
        <v>1895</v>
      </c>
      <c r="B96" s="3129">
        <f>IF(B150&lt;0,-B150,0)</f>
        <v>0</v>
      </c>
      <c r="C96" s="3129">
        <f t="shared" ref="C96:K96" si="7">IF(C150&lt;0,-C150,0)</f>
        <v>0</v>
      </c>
      <c r="D96" s="3129">
        <f t="shared" si="7"/>
        <v>0</v>
      </c>
      <c r="E96" s="3129">
        <f t="shared" si="7"/>
        <v>0</v>
      </c>
      <c r="F96" s="3129">
        <f t="shared" si="7"/>
        <v>0</v>
      </c>
      <c r="G96" s="3129">
        <f t="shared" si="7"/>
        <v>0</v>
      </c>
      <c r="H96" s="3129">
        <f t="shared" si="7"/>
        <v>0</v>
      </c>
      <c r="I96" s="3129">
        <f t="shared" si="7"/>
        <v>0</v>
      </c>
      <c r="J96" s="3129">
        <f t="shared" si="7"/>
        <v>0</v>
      </c>
      <c r="K96" s="3129">
        <f t="shared" si="7"/>
        <v>0</v>
      </c>
      <c r="L96" s="3132"/>
      <c r="M96" s="3132"/>
      <c r="N96" s="3132"/>
      <c r="O96" s="3132"/>
      <c r="P96" s="3132"/>
      <c r="Q96" s="3132"/>
      <c r="R96" s="3132"/>
      <c r="S96" s="3132"/>
      <c r="T96" s="3132"/>
      <c r="AC96" s="3278">
        <f t="shared" ref="AC96:AC97" si="8">SUM(B96:T96)</f>
        <v>0</v>
      </c>
    </row>
    <row r="97" spans="1:29">
      <c r="A97" s="2560" t="s">
        <v>2353</v>
      </c>
      <c r="B97" s="2577"/>
      <c r="C97" s="2577"/>
      <c r="D97" s="2577"/>
      <c r="E97" s="2577"/>
      <c r="F97" s="2577"/>
      <c r="G97" s="2577"/>
      <c r="H97" s="2577"/>
      <c r="I97" s="2577"/>
      <c r="J97" s="2577"/>
      <c r="K97" s="2577"/>
      <c r="L97" s="2577"/>
      <c r="M97" s="2577"/>
      <c r="N97" s="2577"/>
      <c r="O97" s="2577"/>
      <c r="P97" s="2577"/>
      <c r="Q97" s="3129">
        <f>IF(Q13="Resident",IF(Q102&lt;='Standard Thresholds'!$A$61,0,IF(Q102&lt;='Standard Thresholds'!$A$62,'Standard Thresholds'!$C$61+(Q102-'Standard Thresholds'!$A$61)*'Standard Thresholds'!$B$61,Q102*'Standard Thresholds'!$B$62)),IF(Q13="Non-Resident",IF(Q102&lt;='Standard Thresholds'!$A$67,Q102*'Standard Thresholds'!$B$66,IF(Q102&lt;='Standard Thresholds'!$A$68,'Standard Thresholds'!$C$67+(Q102-'Standard Thresholds'!$A$67)*'Standard Thresholds'!$B$67,Q102*'Standard Thresholds'!$B$68))))</f>
        <v>0</v>
      </c>
      <c r="R97" s="3129">
        <f>IF(R13="Resident",IF(R102&lt;='Standard Thresholds'!$A$61,0,IF(R102&lt;='Standard Thresholds'!$A$62,'Standard Thresholds'!$C$61+(R102-'Standard Thresholds'!$A$61)*'Standard Thresholds'!$B$61,R102*'Standard Thresholds'!$B$62)),IF(R13="Non-Resident",IF(R102&lt;='Standard Thresholds'!$A$67,R102*'Standard Thresholds'!$B$66,IF(R102&lt;='Standard Thresholds'!$A$68,'Standard Thresholds'!$C$67+(R102-'Standard Thresholds'!$A$67)*'Standard Thresholds'!$B$67,R102*'Standard Thresholds'!$B$68))))</f>
        <v>0</v>
      </c>
      <c r="S97" s="3129">
        <f>IF(S13="Resident",IF(S102&lt;='Standard Thresholds'!$A$61,0,IF(S102&lt;='Standard Thresholds'!$A$62,'Standard Thresholds'!$C$61+(S102-'Standard Thresholds'!$A$61)*'Standard Thresholds'!$B$61,S102*'Standard Thresholds'!$B$62)),IF(S13="Non-Resident",IF(S102&lt;='Standard Thresholds'!$A$67,S102*'Standard Thresholds'!$B$66,IF(S102&lt;='Standard Thresholds'!$A$68,'Standard Thresholds'!$C$67+(S102-'Standard Thresholds'!$A$67)*'Standard Thresholds'!$B$67,S102*'Standard Thresholds'!$B$68))))</f>
        <v>0</v>
      </c>
      <c r="T97" s="3129">
        <f>IF(T13="Resident",IF(T102&lt;='Standard Thresholds'!$A$61,0,IF(T102&lt;='Standard Thresholds'!$A$62,'Standard Thresholds'!$C$61+(T102-'Standard Thresholds'!$A$61)*'Standard Thresholds'!$B$61,T102*'Standard Thresholds'!$B$62)),IF(T13="Non-Resident",IF(T102&lt;='Standard Thresholds'!$A$67,T102*'Standard Thresholds'!$B$66,IF(T102&lt;='Standard Thresholds'!$A$68,'Standard Thresholds'!$C$67+(T102-'Standard Thresholds'!$A$67)*'Standard Thresholds'!$B$67,T102*'Standard Thresholds'!$B$68))))</f>
        <v>0</v>
      </c>
      <c r="AC97" s="3278">
        <f t="shared" si="8"/>
        <v>0</v>
      </c>
    </row>
    <row r="98" spans="1:29">
      <c r="A98" s="2560" t="s">
        <v>2354</v>
      </c>
      <c r="B98" s="3133">
        <f>B95+B96</f>
        <v>0</v>
      </c>
      <c r="C98" s="3133">
        <f t="shared" ref="C98:K98" si="9">C95+C96</f>
        <v>0</v>
      </c>
      <c r="D98" s="3133">
        <f t="shared" si="9"/>
        <v>0</v>
      </c>
      <c r="E98" s="3133">
        <f t="shared" si="9"/>
        <v>0</v>
      </c>
      <c r="F98" s="3133">
        <f t="shared" si="9"/>
        <v>0</v>
      </c>
      <c r="G98" s="3133">
        <f t="shared" si="9"/>
        <v>0</v>
      </c>
      <c r="H98" s="3133">
        <f t="shared" si="9"/>
        <v>0</v>
      </c>
      <c r="I98" s="3133">
        <f t="shared" si="9"/>
        <v>0</v>
      </c>
      <c r="J98" s="3133">
        <f t="shared" si="9"/>
        <v>0</v>
      </c>
      <c r="K98" s="3133">
        <f t="shared" si="9"/>
        <v>0</v>
      </c>
      <c r="L98" s="3133">
        <f>L95</f>
        <v>0</v>
      </c>
      <c r="M98" s="3133">
        <f t="shared" ref="M98:P98" si="10">M95</f>
        <v>0</v>
      </c>
      <c r="N98" s="3133">
        <f t="shared" si="10"/>
        <v>0</v>
      </c>
      <c r="O98" s="3133">
        <f t="shared" si="10"/>
        <v>0</v>
      </c>
      <c r="P98" s="3133">
        <f t="shared" si="10"/>
        <v>0</v>
      </c>
      <c r="Q98" s="3130">
        <f>Q95+Q97</f>
        <v>0</v>
      </c>
      <c r="R98" s="3130">
        <f t="shared" ref="R98:T98" si="11">R95+R97</f>
        <v>0</v>
      </c>
      <c r="S98" s="3130">
        <f t="shared" si="11"/>
        <v>0</v>
      </c>
      <c r="T98" s="3130">
        <f t="shared" si="11"/>
        <v>0</v>
      </c>
      <c r="AC98" s="3191"/>
    </row>
    <row r="99" spans="1:29">
      <c r="A99" s="2560" t="s">
        <v>2769</v>
      </c>
      <c r="B99" s="2589">
        <f t="shared" ref="B99:T99" si="12">IF(B98&lt;=0,0,B98/B93)</f>
        <v>0</v>
      </c>
      <c r="C99" s="2589">
        <f t="shared" si="12"/>
        <v>0</v>
      </c>
      <c r="D99" s="2589">
        <f t="shared" si="12"/>
        <v>0</v>
      </c>
      <c r="E99" s="2589">
        <f t="shared" si="12"/>
        <v>0</v>
      </c>
      <c r="F99" s="2589">
        <f t="shared" si="12"/>
        <v>0</v>
      </c>
      <c r="G99" s="2589">
        <f t="shared" si="12"/>
        <v>0</v>
      </c>
      <c r="H99" s="2589">
        <f t="shared" si="12"/>
        <v>0</v>
      </c>
      <c r="I99" s="2589">
        <f t="shared" si="12"/>
        <v>0</v>
      </c>
      <c r="J99" s="2589">
        <f t="shared" si="12"/>
        <v>0</v>
      </c>
      <c r="K99" s="2589">
        <f t="shared" si="12"/>
        <v>0</v>
      </c>
      <c r="L99" s="2589">
        <f t="shared" si="12"/>
        <v>0</v>
      </c>
      <c r="M99" s="2589">
        <f t="shared" si="12"/>
        <v>0</v>
      </c>
      <c r="N99" s="2589">
        <f t="shared" si="12"/>
        <v>0</v>
      </c>
      <c r="O99" s="2589">
        <f t="shared" si="12"/>
        <v>0</v>
      </c>
      <c r="P99" s="2589">
        <f t="shared" si="12"/>
        <v>0</v>
      </c>
      <c r="Q99" s="2589">
        <f t="shared" si="12"/>
        <v>0</v>
      </c>
      <c r="R99" s="2589">
        <f t="shared" si="12"/>
        <v>0</v>
      </c>
      <c r="S99" s="2589">
        <f t="shared" si="12"/>
        <v>0</v>
      </c>
      <c r="T99" s="2589">
        <f t="shared" si="12"/>
        <v>0</v>
      </c>
      <c r="AC99" s="3191"/>
    </row>
    <row r="100" spans="1:29">
      <c r="B100" s="2578"/>
      <c r="C100" s="2578"/>
      <c r="D100" s="2592"/>
      <c r="E100" s="2578"/>
      <c r="F100" s="2578"/>
      <c r="G100" s="2578"/>
      <c r="H100" s="2578"/>
      <c r="I100" s="2578"/>
      <c r="J100" s="2578"/>
      <c r="K100" s="2578"/>
      <c r="AC100" s="3191"/>
    </row>
    <row r="101" spans="1:29" hidden="1">
      <c r="A101" s="2590" t="s">
        <v>2355</v>
      </c>
      <c r="B101" s="2600"/>
      <c r="C101" s="2600"/>
      <c r="D101" s="2600"/>
      <c r="E101" s="2600"/>
      <c r="F101" s="2600"/>
      <c r="G101" s="2600"/>
      <c r="H101" s="2600"/>
      <c r="I101" s="2600"/>
      <c r="J101" s="2600"/>
      <c r="K101" s="2600"/>
      <c r="L101" s="2600"/>
      <c r="M101" s="2600"/>
      <c r="N101" s="2600"/>
      <c r="O101" s="2600"/>
      <c r="P101" s="2600"/>
      <c r="Q101" s="2600">
        <f>Q66-Q87</f>
        <v>0</v>
      </c>
      <c r="R101" s="2600">
        <f>R66-R87</f>
        <v>0</v>
      </c>
      <c r="S101" s="2600">
        <f>S66-S87</f>
        <v>0</v>
      </c>
      <c r="T101" s="2600">
        <f>T66-T87</f>
        <v>0</v>
      </c>
      <c r="AC101" s="3191"/>
    </row>
    <row r="102" spans="1:29" hidden="1">
      <c r="A102" s="2590" t="s">
        <v>2356</v>
      </c>
      <c r="B102" s="2600"/>
      <c r="C102" s="2600"/>
      <c r="D102" s="2600"/>
      <c r="E102" s="2600"/>
      <c r="F102" s="2600"/>
      <c r="G102" s="2600"/>
      <c r="H102" s="2600"/>
      <c r="I102" s="2600"/>
      <c r="J102" s="2600"/>
      <c r="K102" s="2600"/>
      <c r="L102" s="2600"/>
      <c r="M102" s="2600"/>
      <c r="N102" s="2600"/>
      <c r="O102" s="2600"/>
      <c r="P102" s="2600"/>
      <c r="Q102" s="2600">
        <f>Q71-Q66-Q88</f>
        <v>0</v>
      </c>
      <c r="R102" s="2600">
        <f>R71-R66-R88</f>
        <v>0</v>
      </c>
      <c r="S102" s="2600">
        <f>S71-S66-S88</f>
        <v>0</v>
      </c>
      <c r="T102" s="2600">
        <f>T71-T66-T88</f>
        <v>0</v>
      </c>
      <c r="AC102" s="3191"/>
    </row>
    <row r="103" spans="1:29" hidden="1">
      <c r="B103" s="2578"/>
      <c r="C103" s="2578"/>
      <c r="D103" s="2592"/>
      <c r="E103" s="2578"/>
      <c r="F103" s="2578"/>
      <c r="G103" s="2578"/>
      <c r="H103" s="2578"/>
      <c r="I103" s="2578"/>
      <c r="J103" s="2578"/>
      <c r="K103" s="2578"/>
      <c r="AC103" s="3191"/>
    </row>
    <row r="104" spans="1:29" collapsed="1">
      <c r="A104" s="2560" t="s">
        <v>2357</v>
      </c>
      <c r="B104" s="3132">
        <f>SUM(B105:B106,B128:B129,B152:B153)</f>
        <v>700</v>
      </c>
      <c r="C104" s="3132">
        <f t="shared" ref="C104:K104" si="13">SUM(C105:C106,C128:C129,C152:C153)</f>
        <v>700</v>
      </c>
      <c r="D104" s="3132">
        <f t="shared" si="13"/>
        <v>700</v>
      </c>
      <c r="E104" s="3132">
        <f t="shared" si="13"/>
        <v>700</v>
      </c>
      <c r="F104" s="3132">
        <f t="shared" si="13"/>
        <v>700</v>
      </c>
      <c r="G104" s="3132">
        <f t="shared" si="13"/>
        <v>700</v>
      </c>
      <c r="H104" s="3132">
        <f t="shared" si="13"/>
        <v>700</v>
      </c>
      <c r="I104" s="3132">
        <f t="shared" si="13"/>
        <v>700</v>
      </c>
      <c r="J104" s="3132">
        <f t="shared" si="13"/>
        <v>700</v>
      </c>
      <c r="K104" s="3132">
        <f t="shared" si="13"/>
        <v>700</v>
      </c>
      <c r="AC104" s="3191"/>
    </row>
    <row r="105" spans="1:29">
      <c r="A105" s="2581" t="s">
        <v>2276</v>
      </c>
      <c r="B105" s="3122">
        <f>IF(B93&lt;'Standard Thresholds'!$A$131,'Standard Thresholds'!$B$131,IF(B93&lt;'Standard Thresholds'!$A$132,'Standard Thresholds'!$B$131+(B93-'Standard Thresholds'!$A$131)*'Standard Thresholds'!$C$131,IF(B93&lt;'Standard Thresholds'!$A$133,'Standard Thresholds'!$B$132+(B93-'Standard Thresholds'!$A$132)*'Standard Thresholds'!$C$132,0)))</f>
        <v>700</v>
      </c>
      <c r="C105" s="3122">
        <f>IF(C93&lt;'Standard Thresholds'!$A$131,'Standard Thresholds'!$B$131,IF(C93&lt;'Standard Thresholds'!$A$132,'Standard Thresholds'!$B$131+(C93-'Standard Thresholds'!$A$131)*'Standard Thresholds'!$C$131,IF(C93&lt;'Standard Thresholds'!$A$133,'Standard Thresholds'!$B$132+(C93-'Standard Thresholds'!$A$132)*'Standard Thresholds'!$C$132,0)))</f>
        <v>700</v>
      </c>
      <c r="D105" s="3122">
        <f>IF(D93&lt;'Standard Thresholds'!$A$131,'Standard Thresholds'!$B$131,IF(D93&lt;'Standard Thresholds'!$A$132,'Standard Thresholds'!$B$131+(D93-'Standard Thresholds'!$A$131)*'Standard Thresholds'!$C$131,IF(D93&lt;'Standard Thresholds'!$A$133,'Standard Thresholds'!$B$132+(D93-'Standard Thresholds'!$A$132)*'Standard Thresholds'!$C$132,0)))</f>
        <v>700</v>
      </c>
      <c r="E105" s="3122">
        <f>IF(E93&lt;'Standard Thresholds'!$A$131,'Standard Thresholds'!$B$131,IF(E93&lt;'Standard Thresholds'!$A$132,'Standard Thresholds'!$B$131+(E93-'Standard Thresholds'!$A$131)*'Standard Thresholds'!$C$131,IF(E93&lt;'Standard Thresholds'!$A$133,'Standard Thresholds'!$B$132+(E93-'Standard Thresholds'!$A$132)*'Standard Thresholds'!$C$132,0)))</f>
        <v>700</v>
      </c>
      <c r="F105" s="3122">
        <f>IF(F93&lt;'Standard Thresholds'!$A$131,'Standard Thresholds'!$B$131,IF(F93&lt;'Standard Thresholds'!$A$132,'Standard Thresholds'!$B$131+(F93-'Standard Thresholds'!$A$131)*'Standard Thresholds'!$C$131,IF(F93&lt;'Standard Thresholds'!$A$133,'Standard Thresholds'!$B$132+(F93-'Standard Thresholds'!$A$132)*'Standard Thresholds'!$C$132,0)))</f>
        <v>700</v>
      </c>
      <c r="G105" s="3122">
        <f>IF(G93&lt;'Standard Thresholds'!$A$131,'Standard Thresholds'!$B$131,IF(G93&lt;'Standard Thresholds'!$A$132,'Standard Thresholds'!$B$131+(G93-'Standard Thresholds'!$A$131)*'Standard Thresholds'!$C$131,IF(G93&lt;'Standard Thresholds'!$A$133,'Standard Thresholds'!$B$132+(G93-'Standard Thresholds'!$A$132)*'Standard Thresholds'!$C$132,0)))</f>
        <v>700</v>
      </c>
      <c r="H105" s="3122">
        <f>IF(H93&lt;'Standard Thresholds'!$A$131,'Standard Thresholds'!$B$131,IF(H93&lt;'Standard Thresholds'!$A$132,'Standard Thresholds'!$B$131+(H93-'Standard Thresholds'!$A$131)*'Standard Thresholds'!$C$131,IF(H93&lt;'Standard Thresholds'!$A$133,'Standard Thresholds'!$B$132+(H93-'Standard Thresholds'!$A$132)*'Standard Thresholds'!$C$132,0)))</f>
        <v>700</v>
      </c>
      <c r="I105" s="3122">
        <f>IF(I93&lt;'Standard Thresholds'!$A$131,'Standard Thresholds'!$B$131,IF(I93&lt;'Standard Thresholds'!$A$132,'Standard Thresholds'!$B$131+(I93-'Standard Thresholds'!$A$131)*'Standard Thresholds'!$C$131,IF(I93&lt;'Standard Thresholds'!$A$133,'Standard Thresholds'!$B$132+(I93-'Standard Thresholds'!$A$132)*'Standard Thresholds'!$C$132,0)))</f>
        <v>700</v>
      </c>
      <c r="J105" s="3122">
        <f>IF(J93&lt;'Standard Thresholds'!$A$131,'Standard Thresholds'!$B$131,IF(J93&lt;'Standard Thresholds'!$A$132,'Standard Thresholds'!$B$131+(J93-'Standard Thresholds'!$A$131)*'Standard Thresholds'!$C$131,IF(J93&lt;'Standard Thresholds'!$A$133,'Standard Thresholds'!$B$132+(J93-'Standard Thresholds'!$A$132)*'Standard Thresholds'!$C$132,0)))</f>
        <v>700</v>
      </c>
      <c r="K105" s="3122">
        <f>IF(K93&lt;'Standard Thresholds'!$A$131,'Standard Thresholds'!$B$131,IF(K93&lt;'Standard Thresholds'!$A$132,'Standard Thresholds'!$B$131+(K93-'Standard Thresholds'!$A$131)*'Standard Thresholds'!$C$131,IF(K93&lt;'Standard Thresholds'!$A$133,'Standard Thresholds'!$B$132+(K93-'Standard Thresholds'!$A$132)*'Standard Thresholds'!$C$132,0)))</f>
        <v>700</v>
      </c>
      <c r="Q105" s="2578"/>
      <c r="R105" s="2578"/>
      <c r="S105" s="2578"/>
      <c r="T105" s="2578"/>
      <c r="AC105" s="3278">
        <f t="shared" ref="AC105:AC153" si="14">SUM(B105:T105)</f>
        <v>7000</v>
      </c>
    </row>
    <row r="106" spans="1:29">
      <c r="A106" s="2581" t="s">
        <v>1776</v>
      </c>
      <c r="B106" s="3122">
        <f>IF(B109="Single",B113,B126)</f>
        <v>0</v>
      </c>
      <c r="C106" s="3122">
        <f t="shared" ref="C106:K106" si="15">IF(C109="Single",C113,C126)</f>
        <v>0</v>
      </c>
      <c r="D106" s="3122">
        <f t="shared" si="15"/>
        <v>0</v>
      </c>
      <c r="E106" s="3122">
        <f t="shared" si="15"/>
        <v>0</v>
      </c>
      <c r="F106" s="3122">
        <f t="shared" si="15"/>
        <v>0</v>
      </c>
      <c r="G106" s="3122">
        <f t="shared" si="15"/>
        <v>0</v>
      </c>
      <c r="H106" s="3122">
        <f t="shared" si="15"/>
        <v>0</v>
      </c>
      <c r="I106" s="3122">
        <f t="shared" si="15"/>
        <v>0</v>
      </c>
      <c r="J106" s="3122">
        <f t="shared" si="15"/>
        <v>0</v>
      </c>
      <c r="K106" s="3122">
        <f t="shared" si="15"/>
        <v>0</v>
      </c>
      <c r="Q106" s="2593"/>
      <c r="R106" s="2593"/>
      <c r="S106" s="2593"/>
      <c r="T106" s="2593"/>
      <c r="AC106" s="3278">
        <f t="shared" si="14"/>
        <v>0</v>
      </c>
    </row>
    <row r="107" spans="1:29" hidden="1">
      <c r="A107" s="2594"/>
      <c r="B107" s="2591"/>
      <c r="C107" s="2591"/>
      <c r="D107" s="2591"/>
      <c r="E107" s="2591"/>
      <c r="F107" s="2591"/>
      <c r="G107" s="2591"/>
      <c r="H107" s="2591"/>
      <c r="I107" s="2591"/>
      <c r="J107" s="2591"/>
      <c r="K107" s="2591"/>
      <c r="L107" s="2595"/>
      <c r="M107" s="2595"/>
      <c r="N107" s="2595"/>
      <c r="O107" s="2595"/>
      <c r="P107" s="2595"/>
      <c r="Q107" s="2596"/>
      <c r="R107" s="2596"/>
      <c r="S107" s="2596"/>
      <c r="T107" s="2596"/>
      <c r="U107" s="3193"/>
      <c r="V107" s="3194"/>
      <c r="W107" s="3194"/>
      <c r="X107" s="3195"/>
      <c r="Y107" s="3191"/>
      <c r="Z107" s="3191"/>
      <c r="AA107" s="3191"/>
      <c r="AB107" s="3191"/>
      <c r="AC107" s="3278"/>
    </row>
    <row r="108" spans="1:29" hidden="1">
      <c r="A108" s="2594" t="s">
        <v>2310</v>
      </c>
      <c r="B108" s="2597">
        <f t="shared" ref="B108:K108" si="16">B20</f>
        <v>0</v>
      </c>
      <c r="C108" s="2597">
        <f t="shared" si="16"/>
        <v>0</v>
      </c>
      <c r="D108" s="2597">
        <f t="shared" si="16"/>
        <v>0</v>
      </c>
      <c r="E108" s="2597">
        <f t="shared" si="16"/>
        <v>0</v>
      </c>
      <c r="F108" s="2597">
        <f t="shared" si="16"/>
        <v>0</v>
      </c>
      <c r="G108" s="2597">
        <f t="shared" si="16"/>
        <v>0</v>
      </c>
      <c r="H108" s="2597">
        <f t="shared" si="16"/>
        <v>0</v>
      </c>
      <c r="I108" s="2597">
        <f t="shared" si="16"/>
        <v>0</v>
      </c>
      <c r="J108" s="2597">
        <f t="shared" si="16"/>
        <v>0</v>
      </c>
      <c r="K108" s="2597">
        <f t="shared" si="16"/>
        <v>0</v>
      </c>
      <c r="L108" s="2595"/>
      <c r="M108" s="2595"/>
      <c r="N108" s="2595"/>
      <c r="O108" s="2595"/>
      <c r="P108" s="2595"/>
      <c r="Q108" s="2596"/>
      <c r="R108" s="2596"/>
      <c r="S108" s="2596"/>
      <c r="T108" s="2596"/>
      <c r="U108" s="3193"/>
      <c r="V108" s="3194"/>
      <c r="W108" s="3194"/>
      <c r="X108" s="3195"/>
      <c r="Y108" s="3191"/>
      <c r="Z108" s="3191"/>
      <c r="AA108" s="3191"/>
      <c r="AB108" s="3191"/>
      <c r="AC108" s="3278"/>
    </row>
    <row r="109" spans="1:29" hidden="1">
      <c r="A109" s="2594" t="s">
        <v>2358</v>
      </c>
      <c r="B109" s="2597" t="str">
        <f t="shared" ref="B109:K109" si="17">IF(AND(OR(ISBLANK(B17),B17=B12),B18&lt;1),"Single","Family")</f>
        <v>Single</v>
      </c>
      <c r="C109" s="2597" t="str">
        <f t="shared" si="17"/>
        <v>Single</v>
      </c>
      <c r="D109" s="2597" t="str">
        <f t="shared" si="17"/>
        <v>Single</v>
      </c>
      <c r="E109" s="2597" t="str">
        <f t="shared" si="17"/>
        <v>Single</v>
      </c>
      <c r="F109" s="2597" t="str">
        <f t="shared" si="17"/>
        <v>Single</v>
      </c>
      <c r="G109" s="2597" t="str">
        <f t="shared" si="17"/>
        <v>Single</v>
      </c>
      <c r="H109" s="2597" t="str">
        <f t="shared" si="17"/>
        <v>Single</v>
      </c>
      <c r="I109" s="2597" t="str">
        <f t="shared" si="17"/>
        <v>Single</v>
      </c>
      <c r="J109" s="2597" t="str">
        <f t="shared" si="17"/>
        <v>Single</v>
      </c>
      <c r="K109" s="2597" t="str">
        <f t="shared" si="17"/>
        <v>Single</v>
      </c>
      <c r="L109" s="2595"/>
      <c r="M109" s="2595"/>
      <c r="N109" s="2595"/>
      <c r="O109" s="2595"/>
      <c r="P109" s="2595"/>
      <c r="Q109" s="2596"/>
      <c r="R109" s="2596"/>
      <c r="S109" s="2596"/>
      <c r="T109" s="2596"/>
      <c r="U109" s="3193"/>
      <c r="V109" s="3194"/>
      <c r="W109" s="3194"/>
      <c r="X109" s="3195"/>
      <c r="Y109" s="3191"/>
      <c r="Z109" s="3191"/>
      <c r="AA109" s="3191"/>
      <c r="AB109" s="3191"/>
      <c r="AC109" s="3278"/>
    </row>
    <row r="110" spans="1:29" hidden="1">
      <c r="A110" s="2594" t="s">
        <v>2359</v>
      </c>
      <c r="B110" s="2597">
        <f t="shared" ref="B110:K110" si="18">B21</f>
        <v>0</v>
      </c>
      <c r="C110" s="2597">
        <f t="shared" si="18"/>
        <v>0</v>
      </c>
      <c r="D110" s="2597">
        <f t="shared" si="18"/>
        <v>0</v>
      </c>
      <c r="E110" s="2597">
        <f t="shared" si="18"/>
        <v>0</v>
      </c>
      <c r="F110" s="2597">
        <f t="shared" si="18"/>
        <v>0</v>
      </c>
      <c r="G110" s="2597">
        <f t="shared" si="18"/>
        <v>0</v>
      </c>
      <c r="H110" s="2597">
        <f t="shared" si="18"/>
        <v>0</v>
      </c>
      <c r="I110" s="2597">
        <f t="shared" si="18"/>
        <v>0</v>
      </c>
      <c r="J110" s="2597">
        <f t="shared" si="18"/>
        <v>0</v>
      </c>
      <c r="K110" s="2597">
        <f t="shared" si="18"/>
        <v>0</v>
      </c>
      <c r="L110" s="2595"/>
      <c r="M110" s="2595"/>
      <c r="N110" s="2595"/>
      <c r="O110" s="2595"/>
      <c r="P110" s="2595"/>
      <c r="Q110" s="2596"/>
      <c r="R110" s="2596"/>
      <c r="S110" s="2596"/>
      <c r="T110" s="2596"/>
      <c r="U110" s="3193"/>
      <c r="V110" s="3194"/>
      <c r="W110" s="3194"/>
      <c r="X110" s="3195"/>
      <c r="Y110" s="3191"/>
      <c r="Z110" s="3191"/>
      <c r="AA110" s="3191"/>
      <c r="AB110" s="3191"/>
      <c r="AC110" s="3278"/>
    </row>
    <row r="111" spans="1:29" hidden="1">
      <c r="A111" s="2594"/>
      <c r="B111" s="2591"/>
      <c r="C111" s="2591"/>
      <c r="D111" s="2591"/>
      <c r="E111" s="2591"/>
      <c r="F111" s="2591"/>
      <c r="G111" s="2591"/>
      <c r="H111" s="2591"/>
      <c r="I111" s="2591"/>
      <c r="J111" s="2591"/>
      <c r="K111" s="2591"/>
      <c r="L111" s="2595"/>
      <c r="M111" s="2595"/>
      <c r="N111" s="2595"/>
      <c r="O111" s="2595"/>
      <c r="P111" s="2595"/>
      <c r="Q111" s="2596"/>
      <c r="R111" s="2596"/>
      <c r="S111" s="2596"/>
      <c r="T111" s="2596"/>
      <c r="U111" s="3193"/>
      <c r="V111" s="3194"/>
      <c r="W111" s="3194"/>
      <c r="X111" s="3195"/>
      <c r="Y111" s="3191"/>
      <c r="Z111" s="3191"/>
      <c r="AA111" s="3191"/>
      <c r="AB111" s="3191"/>
      <c r="AC111" s="3278"/>
    </row>
    <row r="112" spans="1:29" hidden="1">
      <c r="A112" s="2594" t="s">
        <v>2360</v>
      </c>
      <c r="B112" s="2600">
        <f t="shared" ref="B112:K112" si="19">B93+B36+B39+B35</f>
        <v>0</v>
      </c>
      <c r="C112" s="2600">
        <f t="shared" si="19"/>
        <v>0</v>
      </c>
      <c r="D112" s="2600">
        <f t="shared" si="19"/>
        <v>0</v>
      </c>
      <c r="E112" s="2600">
        <f t="shared" si="19"/>
        <v>0</v>
      </c>
      <c r="F112" s="2600">
        <f t="shared" si="19"/>
        <v>0</v>
      </c>
      <c r="G112" s="2600">
        <f t="shared" si="19"/>
        <v>0</v>
      </c>
      <c r="H112" s="2600">
        <f t="shared" si="19"/>
        <v>0</v>
      </c>
      <c r="I112" s="2600">
        <f t="shared" si="19"/>
        <v>0</v>
      </c>
      <c r="J112" s="2600">
        <f t="shared" si="19"/>
        <v>0</v>
      </c>
      <c r="K112" s="2600">
        <f t="shared" si="19"/>
        <v>0</v>
      </c>
      <c r="L112" s="2595"/>
      <c r="M112" s="2595"/>
      <c r="N112" s="2595"/>
      <c r="O112" s="2595"/>
      <c r="P112" s="2595"/>
      <c r="Q112" s="2596"/>
      <c r="R112" s="2596"/>
      <c r="S112" s="2596"/>
      <c r="T112" s="2596"/>
      <c r="U112" s="3193"/>
      <c r="V112" s="3194"/>
      <c r="W112" s="3194"/>
      <c r="X112" s="3195"/>
      <c r="Y112" s="3191"/>
      <c r="Z112" s="3191"/>
      <c r="AA112" s="3191"/>
      <c r="AB112" s="3191"/>
      <c r="AC112" s="3278"/>
    </row>
    <row r="113" spans="1:29" hidden="1">
      <c r="A113" s="2598" t="s">
        <v>2361</v>
      </c>
      <c r="B113" s="3134">
        <f>IF(AND(B108="Yes",B109="Single"),IF(B112&lt;'Standard Thresholds'!$C$137,'Standard Thresholds'!$B$137,IF(B112&lt;'Standard Thresholds'!$D$137,'Standard Thresholds'!$B$137-(B112-'Standard Thresholds'!$C$137)*'Standard Thresholds'!$B$141,0)),0)</f>
        <v>0</v>
      </c>
      <c r="C113" s="3134">
        <f>IF(AND(C108="Yes",C109="Single"),IF(C112&lt;'Standard Thresholds'!$C$137,'Standard Thresholds'!$B$137,IF(C112&lt;'Standard Thresholds'!$D$137,'Standard Thresholds'!$B$137-(C112-'Standard Thresholds'!$C$137)*'Standard Thresholds'!$B$141,0)),0)</f>
        <v>0</v>
      </c>
      <c r="D113" s="3134">
        <f>IF(AND(D108="Yes",D109="Single"),IF(D112&lt;'Standard Thresholds'!$C$137,'Standard Thresholds'!$B$137,IF(D112&lt;'Standard Thresholds'!$D$137,'Standard Thresholds'!$B$137-(D112-'Standard Thresholds'!$C$137)*'Standard Thresholds'!$B$141,0)),0)</f>
        <v>0</v>
      </c>
      <c r="E113" s="3134">
        <f>IF(AND(E108="Yes",E109="Single"),IF(E112&lt;'Standard Thresholds'!$C$137,'Standard Thresholds'!$B$137,IF(E112&lt;'Standard Thresholds'!$D$137,'Standard Thresholds'!$B$137-(E112-'Standard Thresholds'!$C$137)*'Standard Thresholds'!$B$141,0)),0)</f>
        <v>0</v>
      </c>
      <c r="F113" s="3134">
        <f>IF(AND(F108="Yes",F109="Single"),IF(F112&lt;'Standard Thresholds'!$C$137,'Standard Thresholds'!$B$137,IF(F112&lt;'Standard Thresholds'!$D$137,'Standard Thresholds'!$B$137-(F112-'Standard Thresholds'!$C$137)*'Standard Thresholds'!$B$141,0)),0)</f>
        <v>0</v>
      </c>
      <c r="G113" s="3134">
        <f>IF(AND(G108="Yes",G109="Single"),IF(G112&lt;'Standard Thresholds'!$C$137,'Standard Thresholds'!$B$137,IF(G112&lt;'Standard Thresholds'!$D$137,'Standard Thresholds'!$B$137-(G112-'Standard Thresholds'!$C$137)*'Standard Thresholds'!$B$141,0)),0)</f>
        <v>0</v>
      </c>
      <c r="H113" s="3134">
        <f>IF(AND(H108="Yes",H109="Single"),IF(H112&lt;'Standard Thresholds'!$C$137,'Standard Thresholds'!$B$137,IF(H112&lt;'Standard Thresholds'!$D$137,'Standard Thresholds'!$B$137-(H112-'Standard Thresholds'!$C$137)*'Standard Thresholds'!$B$141,0)),0)</f>
        <v>0</v>
      </c>
      <c r="I113" s="3134">
        <f>IF(AND(I108="Yes",I109="Single"),IF(I112&lt;'Standard Thresholds'!$C$137,'Standard Thresholds'!$B$137,IF(I112&lt;'Standard Thresholds'!$D$137,'Standard Thresholds'!$B$137-(I112-'Standard Thresholds'!$C$137)*'Standard Thresholds'!$B$141,0)),0)</f>
        <v>0</v>
      </c>
      <c r="J113" s="3134">
        <f>IF(AND(J108="Yes",J109="Single"),IF(J112&lt;'Standard Thresholds'!$C$137,'Standard Thresholds'!$B$137,IF(J112&lt;'Standard Thresholds'!$D$137,'Standard Thresholds'!$B$137-(J112-'Standard Thresholds'!$C$137)*'Standard Thresholds'!$B$141,0)),0)</f>
        <v>0</v>
      </c>
      <c r="K113" s="3134">
        <f>IF(AND(K108="Yes",K109="Single"),IF(K112&lt;'Standard Thresholds'!$C$137,'Standard Thresholds'!$B$137,IF(K112&lt;'Standard Thresholds'!$D$137,'Standard Thresholds'!$B$137-(K112-'Standard Thresholds'!$C$137)*'Standard Thresholds'!$B$141,0)),0)</f>
        <v>0</v>
      </c>
      <c r="L113" s="2595"/>
      <c r="M113" s="2595"/>
      <c r="N113" s="2595"/>
      <c r="O113" s="2595"/>
      <c r="P113" s="2595"/>
      <c r="Q113" s="2596"/>
      <c r="R113" s="2596"/>
      <c r="S113" s="2596"/>
      <c r="T113" s="2596"/>
      <c r="U113" s="3193"/>
      <c r="V113" s="3194"/>
      <c r="W113" s="3194"/>
      <c r="X113" s="3195"/>
      <c r="Y113" s="3191"/>
      <c r="Z113" s="3191"/>
      <c r="AA113" s="3191"/>
      <c r="AB113" s="3191"/>
      <c r="AC113" s="3278"/>
    </row>
    <row r="114" spans="1:29" hidden="1">
      <c r="A114" s="2594"/>
      <c r="B114" s="2600"/>
      <c r="C114" s="2600"/>
      <c r="D114" s="2600"/>
      <c r="E114" s="2600"/>
      <c r="F114" s="2600"/>
      <c r="G114" s="2600"/>
      <c r="H114" s="2600"/>
      <c r="I114" s="2600"/>
      <c r="J114" s="2600"/>
      <c r="K114" s="2600"/>
      <c r="L114" s="2595"/>
      <c r="M114" s="2595"/>
      <c r="N114" s="2595"/>
      <c r="O114" s="2595"/>
      <c r="P114" s="2595"/>
      <c r="Q114" s="2596"/>
      <c r="R114" s="2596"/>
      <c r="S114" s="2596"/>
      <c r="T114" s="2596"/>
      <c r="U114" s="3193"/>
      <c r="V114" s="3194"/>
      <c r="W114" s="3194"/>
      <c r="X114" s="3195"/>
      <c r="Y114" s="3191"/>
      <c r="Z114" s="3191"/>
      <c r="AA114" s="3191"/>
      <c r="AB114" s="3191"/>
      <c r="AC114" s="3278"/>
    </row>
    <row r="115" spans="1:29" hidden="1">
      <c r="A115" s="2594" t="s">
        <v>2362</v>
      </c>
      <c r="B115" s="2600">
        <f t="shared" ref="B115:K115" si="20">IF(B162="Family",IF(B17="","",INDEX($B$12:$K$112,MATCH($A112,$A$12:$A$112,0),MATCH(B17,$B$12:$K$12,0))),0)</f>
        <v>0</v>
      </c>
      <c r="C115" s="2600">
        <f t="shared" si="20"/>
        <v>0</v>
      </c>
      <c r="D115" s="2600">
        <f t="shared" si="20"/>
        <v>0</v>
      </c>
      <c r="E115" s="2600">
        <f t="shared" si="20"/>
        <v>0</v>
      </c>
      <c r="F115" s="2600">
        <f t="shared" si="20"/>
        <v>0</v>
      </c>
      <c r="G115" s="2600">
        <f t="shared" si="20"/>
        <v>0</v>
      </c>
      <c r="H115" s="2600">
        <f t="shared" si="20"/>
        <v>0</v>
      </c>
      <c r="I115" s="2600">
        <f t="shared" si="20"/>
        <v>0</v>
      </c>
      <c r="J115" s="2600">
        <f t="shared" si="20"/>
        <v>0</v>
      </c>
      <c r="K115" s="2600">
        <f t="shared" si="20"/>
        <v>0</v>
      </c>
      <c r="L115" s="2595"/>
      <c r="M115" s="2595"/>
      <c r="N115" s="2595"/>
      <c r="O115" s="2595"/>
      <c r="P115" s="2595"/>
      <c r="Q115" s="2596"/>
      <c r="R115" s="2596"/>
      <c r="S115" s="2596"/>
      <c r="T115" s="2596"/>
      <c r="U115" s="3193"/>
      <c r="V115" s="3194"/>
      <c r="W115" s="3194"/>
      <c r="X115" s="3195"/>
      <c r="Y115" s="3191"/>
      <c r="Z115" s="3191"/>
      <c r="AA115" s="3191"/>
      <c r="AB115" s="3191"/>
      <c r="AC115" s="3278"/>
    </row>
    <row r="116" spans="1:29" hidden="1">
      <c r="A116" s="2594" t="s">
        <v>2363</v>
      </c>
      <c r="B116" s="2600">
        <f>IF(B109="Family",B112+B115,0)</f>
        <v>0</v>
      </c>
      <c r="C116" s="2600">
        <f t="shared" ref="C116:K116" si="21">IF(C109="Family",C112+C115,0)</f>
        <v>0</v>
      </c>
      <c r="D116" s="2600">
        <f t="shared" si="21"/>
        <v>0</v>
      </c>
      <c r="E116" s="2600">
        <f t="shared" si="21"/>
        <v>0</v>
      </c>
      <c r="F116" s="2600">
        <f t="shared" si="21"/>
        <v>0</v>
      </c>
      <c r="G116" s="2600">
        <f t="shared" si="21"/>
        <v>0</v>
      </c>
      <c r="H116" s="2600">
        <f t="shared" si="21"/>
        <v>0</v>
      </c>
      <c r="I116" s="2600">
        <f t="shared" si="21"/>
        <v>0</v>
      </c>
      <c r="J116" s="2600">
        <f t="shared" si="21"/>
        <v>0</v>
      </c>
      <c r="K116" s="2600">
        <f t="shared" si="21"/>
        <v>0</v>
      </c>
      <c r="L116" s="2595"/>
      <c r="M116" s="2595"/>
      <c r="N116" s="2595"/>
      <c r="O116" s="2595"/>
      <c r="P116" s="2595"/>
      <c r="Q116" s="2596"/>
      <c r="R116" s="2596"/>
      <c r="S116" s="2596"/>
      <c r="T116" s="2596"/>
      <c r="U116" s="3193"/>
      <c r="V116" s="3194"/>
      <c r="W116" s="3194"/>
      <c r="X116" s="3195"/>
      <c r="Y116" s="3191"/>
      <c r="Z116" s="3191"/>
      <c r="AA116" s="3191"/>
      <c r="AB116" s="3191"/>
      <c r="AC116" s="3278"/>
    </row>
    <row r="117" spans="1:29" ht="25.5" hidden="1">
      <c r="A117" s="2599" t="s">
        <v>2364</v>
      </c>
      <c r="B117" s="2600">
        <f>B116/2</f>
        <v>0</v>
      </c>
      <c r="C117" s="2600">
        <f t="shared" ref="C117:K117" si="22">C116/2</f>
        <v>0</v>
      </c>
      <c r="D117" s="2600">
        <f t="shared" si="22"/>
        <v>0</v>
      </c>
      <c r="E117" s="2600">
        <f t="shared" si="22"/>
        <v>0</v>
      </c>
      <c r="F117" s="2600">
        <f t="shared" si="22"/>
        <v>0</v>
      </c>
      <c r="G117" s="2600">
        <f t="shared" si="22"/>
        <v>0</v>
      </c>
      <c r="H117" s="2600">
        <f t="shared" si="22"/>
        <v>0</v>
      </c>
      <c r="I117" s="2600">
        <f t="shared" si="22"/>
        <v>0</v>
      </c>
      <c r="J117" s="2600">
        <f t="shared" si="22"/>
        <v>0</v>
      </c>
      <c r="K117" s="2600">
        <f t="shared" si="22"/>
        <v>0</v>
      </c>
      <c r="L117" s="2595"/>
      <c r="M117" s="2595"/>
      <c r="N117" s="2595"/>
      <c r="O117" s="2595"/>
      <c r="P117" s="2595"/>
      <c r="Q117" s="2596"/>
      <c r="R117" s="2596"/>
      <c r="S117" s="2596"/>
      <c r="T117" s="2596"/>
      <c r="U117" s="3193"/>
      <c r="V117" s="3194"/>
      <c r="W117" s="3194"/>
      <c r="X117" s="3195"/>
      <c r="Y117" s="3191"/>
      <c r="Z117" s="3191"/>
      <c r="AA117" s="3191"/>
      <c r="AB117" s="3191"/>
      <c r="AC117" s="3278"/>
    </row>
    <row r="118" spans="1:29" hidden="1">
      <c r="A118" s="2594" t="s">
        <v>2365</v>
      </c>
      <c r="B118" s="2600">
        <f>IF(B109="Single",0,IF(B110="Yes",'Standard Thresholds'!$C$139,'Standard Thresholds'!$C$138))</f>
        <v>0</v>
      </c>
      <c r="C118" s="2600">
        <f>IF(C109="Single",0,IF(C110="Yes",'Standard Thresholds'!$C$139,'Standard Thresholds'!$C$138))</f>
        <v>0</v>
      </c>
      <c r="D118" s="2600">
        <f>IF(D109="Single",0,IF(D110="Yes",'Standard Thresholds'!$C$139,'Standard Thresholds'!$C$138))</f>
        <v>0</v>
      </c>
      <c r="E118" s="2600">
        <f>IF(E109="Single",0,IF(E110="Yes",'Standard Thresholds'!$C$139,'Standard Thresholds'!$C$138))</f>
        <v>0</v>
      </c>
      <c r="F118" s="2600">
        <f>IF(F109="Single",0,IF(F110="Yes",'Standard Thresholds'!$C$139,'Standard Thresholds'!$C$138))</f>
        <v>0</v>
      </c>
      <c r="G118" s="2600">
        <f>IF(G109="Single",0,IF(G110="Yes",'Standard Thresholds'!$C$139,'Standard Thresholds'!$C$138))</f>
        <v>0</v>
      </c>
      <c r="H118" s="2600">
        <f>IF(H109="Single",0,IF(H110="Yes",'Standard Thresholds'!$C$139,'Standard Thresholds'!$C$138))</f>
        <v>0</v>
      </c>
      <c r="I118" s="2600">
        <f>IF(I109="Single",0,IF(I110="Yes",'Standard Thresholds'!$C$139,'Standard Thresholds'!$C$138))</f>
        <v>0</v>
      </c>
      <c r="J118" s="2600">
        <f>IF(J109="Single",0,IF(J110="Yes",'Standard Thresholds'!$C$139,'Standard Thresholds'!$C$138))</f>
        <v>0</v>
      </c>
      <c r="K118" s="2600">
        <f>IF(K109="Single",0,IF(K110="Yes",'Standard Thresholds'!$C$139,'Standard Thresholds'!$C$138))</f>
        <v>0</v>
      </c>
      <c r="L118" s="2595"/>
      <c r="M118" s="2595"/>
      <c r="N118" s="2595"/>
      <c r="O118" s="2595"/>
      <c r="P118" s="2595"/>
      <c r="Q118" s="2596"/>
      <c r="R118" s="2596"/>
      <c r="S118" s="2596"/>
      <c r="T118" s="2596"/>
      <c r="U118" s="3193"/>
      <c r="V118" s="3194"/>
      <c r="W118" s="3194"/>
      <c r="X118" s="3195"/>
      <c r="Y118" s="3191"/>
      <c r="Z118" s="3191"/>
      <c r="AA118" s="3191"/>
      <c r="AB118" s="3191"/>
      <c r="AC118" s="3278"/>
    </row>
    <row r="119" spans="1:29" hidden="1">
      <c r="A119" s="2594" t="s">
        <v>2366</v>
      </c>
      <c r="B119" s="2600">
        <f>IF(B109="Single",0,IF(B110="Yes",'Standard Thresholds'!$D$139,'Standard Thresholds'!$D$138))</f>
        <v>0</v>
      </c>
      <c r="C119" s="2600">
        <f>IF(C109="Single",0,IF(C110="Yes",'Standard Thresholds'!$D$139,'Standard Thresholds'!$D$138))</f>
        <v>0</v>
      </c>
      <c r="D119" s="2600">
        <f>IF(D109="Single",0,IF(D110="Yes",'Standard Thresholds'!$D$139,'Standard Thresholds'!$D$138))</f>
        <v>0</v>
      </c>
      <c r="E119" s="2600">
        <f>IF(E109="Single",0,IF(E110="Yes",'Standard Thresholds'!$D$139,'Standard Thresholds'!$D$138))</f>
        <v>0</v>
      </c>
      <c r="F119" s="2600">
        <f>IF(F109="Single",0,IF(F110="Yes",'Standard Thresholds'!$D$139,'Standard Thresholds'!$D$138))</f>
        <v>0</v>
      </c>
      <c r="G119" s="2600">
        <f>IF(G109="Single",0,IF(G110="Yes",'Standard Thresholds'!$D$139,'Standard Thresholds'!$D$138))</f>
        <v>0</v>
      </c>
      <c r="H119" s="2600">
        <f>IF(H109="Single",0,IF(H110="Yes",'Standard Thresholds'!$D$139,'Standard Thresholds'!$D$138))</f>
        <v>0</v>
      </c>
      <c r="I119" s="2600">
        <f>IF(I109="Single",0,IF(I110="Yes",'Standard Thresholds'!$D$139,'Standard Thresholds'!$D$138))</f>
        <v>0</v>
      </c>
      <c r="J119" s="2600">
        <f>IF(J109="Single",0,IF(J110="Yes",'Standard Thresholds'!$D$139,'Standard Thresholds'!$D$138))</f>
        <v>0</v>
      </c>
      <c r="K119" s="2600">
        <f>IF(K109="Single",0,IF(K110="Yes",'Standard Thresholds'!$D$139,'Standard Thresholds'!$D$138))</f>
        <v>0</v>
      </c>
      <c r="L119" s="2595"/>
      <c r="M119" s="2595"/>
      <c r="N119" s="2595"/>
      <c r="O119" s="2595"/>
      <c r="P119" s="2595"/>
      <c r="Q119" s="2596"/>
      <c r="R119" s="2596"/>
      <c r="S119" s="2596"/>
      <c r="T119" s="2596"/>
      <c r="U119" s="3193"/>
      <c r="V119" s="3194"/>
      <c r="W119" s="3194"/>
      <c r="X119" s="3195"/>
      <c r="Y119" s="3191"/>
      <c r="Z119" s="3191"/>
      <c r="AA119" s="3191"/>
      <c r="AB119" s="3191"/>
      <c r="AC119" s="3278"/>
    </row>
    <row r="120" spans="1:29" hidden="1">
      <c r="A120" s="2594" t="s">
        <v>2367</v>
      </c>
      <c r="B120" s="2600">
        <f>IF(B109="Single",0,IF(B110="Yes",'Standard Thresholds'!$B$139,'Standard Thresholds'!$B$138))</f>
        <v>0</v>
      </c>
      <c r="C120" s="2600">
        <f>IF(C109="Single",0,IF(C110="Yes",'Standard Thresholds'!$B$139,'Standard Thresholds'!$B$138))</f>
        <v>0</v>
      </c>
      <c r="D120" s="2600">
        <f>IF(D109="Single",0,IF(D110="Yes",'Standard Thresholds'!$B$139,'Standard Thresholds'!$B$138))</f>
        <v>0</v>
      </c>
      <c r="E120" s="2600">
        <f>IF(E109="Single",0,IF(E110="Yes",'Standard Thresholds'!$B$139,'Standard Thresholds'!$B$138))</f>
        <v>0</v>
      </c>
      <c r="F120" s="2600">
        <f>IF(F109="Single",0,IF(F110="Yes",'Standard Thresholds'!$B$139,'Standard Thresholds'!$B$138))</f>
        <v>0</v>
      </c>
      <c r="G120" s="2600">
        <f>IF(G109="Single",0,IF(G110="Yes",'Standard Thresholds'!$B$139,'Standard Thresholds'!$B$138))</f>
        <v>0</v>
      </c>
      <c r="H120" s="2600">
        <f>IF(H109="Single",0,IF(H110="Yes",'Standard Thresholds'!$B$139,'Standard Thresholds'!$B$138))</f>
        <v>0</v>
      </c>
      <c r="I120" s="2600">
        <f>IF(I109="Single",0,IF(I110="Yes",'Standard Thresholds'!$B$139,'Standard Thresholds'!$B$138))</f>
        <v>0</v>
      </c>
      <c r="J120" s="2600">
        <f>IF(J109="Single",0,IF(J110="Yes",'Standard Thresholds'!$B$139,'Standard Thresholds'!$B$138))</f>
        <v>0</v>
      </c>
      <c r="K120" s="2600">
        <f>IF(K109="Single",0,IF(K110="Yes",'Standard Thresholds'!$B$139,'Standard Thresholds'!$B$138))</f>
        <v>0</v>
      </c>
      <c r="L120" s="2595"/>
      <c r="M120" s="2595"/>
      <c r="N120" s="2595"/>
      <c r="O120" s="2595"/>
      <c r="P120" s="2595"/>
      <c r="Q120" s="2596"/>
      <c r="R120" s="2596"/>
      <c r="S120" s="2596"/>
      <c r="T120" s="2596"/>
      <c r="U120" s="3193"/>
      <c r="V120" s="3194"/>
      <c r="W120" s="3194"/>
      <c r="X120" s="3195"/>
      <c r="Y120" s="3191"/>
      <c r="Z120" s="3191"/>
      <c r="AA120" s="3191"/>
      <c r="AB120" s="3191"/>
      <c r="AC120" s="3278"/>
    </row>
    <row r="121" spans="1:29" hidden="1">
      <c r="A121" s="2594"/>
      <c r="B121" s="2600"/>
      <c r="C121" s="2600"/>
      <c r="D121" s="2600"/>
      <c r="E121" s="2600"/>
      <c r="F121" s="2600"/>
      <c r="G121" s="2600"/>
      <c r="H121" s="2600"/>
      <c r="I121" s="2600"/>
      <c r="J121" s="2600"/>
      <c r="K121" s="2600"/>
      <c r="L121" s="2595"/>
      <c r="M121" s="2595"/>
      <c r="N121" s="2595"/>
      <c r="O121" s="2595"/>
      <c r="P121" s="2595"/>
      <c r="Q121" s="2596"/>
      <c r="R121" s="2596"/>
      <c r="S121" s="2596"/>
      <c r="T121" s="2596"/>
      <c r="U121" s="3193"/>
      <c r="V121" s="3194"/>
      <c r="W121" s="3194"/>
      <c r="X121" s="3195"/>
      <c r="Y121" s="3191"/>
      <c r="Z121" s="3191"/>
      <c r="AA121" s="3191"/>
      <c r="AB121" s="3191"/>
      <c r="AC121" s="3278"/>
    </row>
    <row r="122" spans="1:29" hidden="1">
      <c r="A122" s="2594" t="s">
        <v>2368</v>
      </c>
      <c r="B122" s="3135">
        <f>IF(B117=0,0,IF(B117&lt;B119,"Yes","No"))</f>
        <v>0</v>
      </c>
      <c r="C122" s="3135">
        <f t="shared" ref="C122:K122" si="23">IF(C117=0,0,IF(C117&lt;C119,"Yes","No"))</f>
        <v>0</v>
      </c>
      <c r="D122" s="3135">
        <f t="shared" si="23"/>
        <v>0</v>
      </c>
      <c r="E122" s="3135">
        <f t="shared" si="23"/>
        <v>0</v>
      </c>
      <c r="F122" s="3135">
        <f t="shared" si="23"/>
        <v>0</v>
      </c>
      <c r="G122" s="3135">
        <f t="shared" si="23"/>
        <v>0</v>
      </c>
      <c r="H122" s="3135">
        <f t="shared" si="23"/>
        <v>0</v>
      </c>
      <c r="I122" s="3135">
        <f t="shared" si="23"/>
        <v>0</v>
      </c>
      <c r="J122" s="3135">
        <f t="shared" si="23"/>
        <v>0</v>
      </c>
      <c r="K122" s="3135">
        <f t="shared" si="23"/>
        <v>0</v>
      </c>
      <c r="L122" s="2595"/>
      <c r="M122" s="2595"/>
      <c r="N122" s="2595"/>
      <c r="O122" s="2595"/>
      <c r="P122" s="2595"/>
      <c r="Q122" s="2596"/>
      <c r="R122" s="2596"/>
      <c r="S122" s="2596"/>
      <c r="T122" s="2596"/>
      <c r="U122" s="3193"/>
      <c r="V122" s="3194"/>
      <c r="W122" s="3194"/>
      <c r="X122" s="3195"/>
      <c r="Y122" s="3191"/>
      <c r="Z122" s="3191"/>
      <c r="AA122" s="3191"/>
      <c r="AB122" s="3191"/>
      <c r="AC122" s="3278"/>
    </row>
    <row r="123" spans="1:29" hidden="1">
      <c r="A123" s="2594" t="s">
        <v>2369</v>
      </c>
      <c r="B123" s="3135">
        <f>IF(B109="Family",IF(B112&gt;B119,"Yes","No"),0)</f>
        <v>0</v>
      </c>
      <c r="C123" s="3135">
        <f t="shared" ref="C123:K123" si="24">IF(C109="Family",IF(C112&gt;C119,"Yes","No"),0)</f>
        <v>0</v>
      </c>
      <c r="D123" s="3135">
        <f t="shared" si="24"/>
        <v>0</v>
      </c>
      <c r="E123" s="3135">
        <f t="shared" si="24"/>
        <v>0</v>
      </c>
      <c r="F123" s="3135">
        <f t="shared" si="24"/>
        <v>0</v>
      </c>
      <c r="G123" s="3135">
        <f t="shared" si="24"/>
        <v>0</v>
      </c>
      <c r="H123" s="3135">
        <f t="shared" si="24"/>
        <v>0</v>
      </c>
      <c r="I123" s="3135">
        <f t="shared" si="24"/>
        <v>0</v>
      </c>
      <c r="J123" s="3135">
        <f t="shared" si="24"/>
        <v>0</v>
      </c>
      <c r="K123" s="3135">
        <f t="shared" si="24"/>
        <v>0</v>
      </c>
      <c r="L123" s="2595"/>
      <c r="M123" s="2595"/>
      <c r="N123" s="2595"/>
      <c r="O123" s="2595"/>
      <c r="P123" s="2595"/>
      <c r="Q123" s="2596"/>
      <c r="R123" s="2596"/>
      <c r="S123" s="2596"/>
      <c r="T123" s="2596"/>
      <c r="U123" s="3193"/>
      <c r="V123" s="3194"/>
      <c r="W123" s="3194"/>
      <c r="X123" s="3195"/>
      <c r="Y123" s="3191"/>
      <c r="Z123" s="3191"/>
      <c r="AA123" s="3191"/>
      <c r="AB123" s="3191"/>
      <c r="AC123" s="3278"/>
    </row>
    <row r="124" spans="1:29" hidden="1">
      <c r="A124" s="2594" t="s">
        <v>2370</v>
      </c>
      <c r="B124" s="3136">
        <f>IF(B123="Yes",ROUND('Standard Thresholds'!$B$142+('Standard Thresholds'!$B$143+B120*2)/'Standard Thresholds'!$B$144,0),0)</f>
        <v>0</v>
      </c>
      <c r="C124" s="3136">
        <f>IF(C123="Yes",ROUND('Standard Thresholds'!$B$142+('Standard Thresholds'!$B$143+C120*2)/'Standard Thresholds'!$B$144,0),0)</f>
        <v>0</v>
      </c>
      <c r="D124" s="3136">
        <f>IF(D123="Yes",ROUND('Standard Thresholds'!$B$142+('Standard Thresholds'!$B$143+D120*2)/'Standard Thresholds'!$B$144,0),0)</f>
        <v>0</v>
      </c>
      <c r="E124" s="3136">
        <f>IF(E123="Yes",ROUND('Standard Thresholds'!$B$142+('Standard Thresholds'!$B$143+E120*2)/'Standard Thresholds'!$B$144,0),0)</f>
        <v>0</v>
      </c>
      <c r="F124" s="3136">
        <f>IF(F123="Yes",ROUND('Standard Thresholds'!$B$142+('Standard Thresholds'!$B$143+F120*2)/'Standard Thresholds'!$B$144,0),0)</f>
        <v>0</v>
      </c>
      <c r="G124" s="3136">
        <f>IF(G123="Yes",ROUND('Standard Thresholds'!$B$142+('Standard Thresholds'!$B$143+G120*2)/'Standard Thresholds'!$B$144,0),0)</f>
        <v>0</v>
      </c>
      <c r="H124" s="3136">
        <f>IF(H123="Yes",ROUND('Standard Thresholds'!$B$142+('Standard Thresholds'!$B$143+H120*2)/'Standard Thresholds'!$B$144,0),0)</f>
        <v>0</v>
      </c>
      <c r="I124" s="3136">
        <f>IF(I123="Yes",ROUND('Standard Thresholds'!$B$142+('Standard Thresholds'!$B$143+I120*2)/'Standard Thresholds'!$B$144,0),0)</f>
        <v>0</v>
      </c>
      <c r="J124" s="3136">
        <f>IF(J123="Yes",ROUND('Standard Thresholds'!$B$142+('Standard Thresholds'!$B$143+J120*2)/'Standard Thresholds'!$B$144,0),0)</f>
        <v>0</v>
      </c>
      <c r="K124" s="3136">
        <f>IF(K123="Yes",ROUND('Standard Thresholds'!$B$142+('Standard Thresholds'!$B$143+K120*2)/'Standard Thresholds'!$B$144,0),0)</f>
        <v>0</v>
      </c>
      <c r="L124" s="2595"/>
      <c r="M124" s="2595"/>
      <c r="N124" s="2595"/>
      <c r="O124" s="2595"/>
      <c r="P124" s="2595"/>
      <c r="Q124" s="2596"/>
      <c r="R124" s="2596"/>
      <c r="S124" s="2596"/>
      <c r="T124" s="2596"/>
      <c r="U124" s="3193"/>
      <c r="V124" s="3194"/>
      <c r="W124" s="3194"/>
      <c r="X124" s="3195"/>
      <c r="Y124" s="3191"/>
      <c r="Z124" s="3191"/>
      <c r="AA124" s="3191"/>
      <c r="AB124" s="3191"/>
      <c r="AC124" s="3278"/>
    </row>
    <row r="125" spans="1:29" hidden="1">
      <c r="A125" s="2594"/>
      <c r="B125" s="2600"/>
      <c r="C125" s="2600"/>
      <c r="D125" s="2600"/>
      <c r="E125" s="2600"/>
      <c r="F125" s="2600"/>
      <c r="G125" s="2600"/>
      <c r="H125" s="2600"/>
      <c r="I125" s="2600"/>
      <c r="J125" s="2600"/>
      <c r="K125" s="2600"/>
      <c r="L125" s="2595"/>
      <c r="M125" s="2595"/>
      <c r="N125" s="2595"/>
      <c r="O125" s="2595"/>
      <c r="P125" s="2595"/>
      <c r="Q125" s="2596"/>
      <c r="R125" s="2596"/>
      <c r="S125" s="2596"/>
      <c r="T125" s="2596"/>
      <c r="U125" s="3193"/>
      <c r="V125" s="3194"/>
      <c r="W125" s="3194"/>
      <c r="X125" s="3195"/>
      <c r="Y125" s="3191"/>
      <c r="Z125" s="3191"/>
      <c r="AA125" s="3191"/>
      <c r="AB125" s="3191"/>
      <c r="AC125" s="3278"/>
    </row>
    <row r="126" spans="1:29" hidden="1">
      <c r="A126" s="2598" t="s">
        <v>2371</v>
      </c>
      <c r="B126" s="3134">
        <f>IF(B108="Yes",IF(B122="Yes",IF(B112&lt;B118,B120,IF(B123="No",B120-'Standard Thresholds'!$B$141*(B112-B118),B120*2-'Standard Thresholds'!$B$141*(B112-B124))),0),0)</f>
        <v>0</v>
      </c>
      <c r="C126" s="3134">
        <f>IF(C108="Yes",IF(C122="Yes",IF(C112&lt;C118,C120,IF(C123="No",C120-'Standard Thresholds'!$B$141*(C112-C118),C120*2-'Standard Thresholds'!$B$141*(C112-C124))),0),0)</f>
        <v>0</v>
      </c>
      <c r="D126" s="3134">
        <f>IF(D108="Yes",IF(D122="Yes",IF(D112&lt;D118,D120,IF(D123="No",D120-'Standard Thresholds'!$B$141*(D112-D118),D120*2-'Standard Thresholds'!$B$141*(D112-D124))),0),0)</f>
        <v>0</v>
      </c>
      <c r="E126" s="3134">
        <f>IF(E108="Yes",IF(E122="Yes",IF(E112&lt;E118,E120,IF(E123="No",E120-'Standard Thresholds'!$B$141*(E112-E118),E120*2-'Standard Thresholds'!$B$141*(E112-E124))),0),0)</f>
        <v>0</v>
      </c>
      <c r="F126" s="3134">
        <f>IF(F108="Yes",IF(F122="Yes",IF(F112&lt;F118,F120,IF(F123="No",F120-'Standard Thresholds'!$B$141*(F112-F118),F120*2-'Standard Thresholds'!$B$141*(F112-F124))),0),0)</f>
        <v>0</v>
      </c>
      <c r="G126" s="3134">
        <f>IF(G108="Yes",IF(G122="Yes",IF(G112&lt;G118,G120,IF(G123="No",G120-'Standard Thresholds'!$B$141*(G112-G118),G120*2-'Standard Thresholds'!$B$141*(G112-G124))),0),0)</f>
        <v>0</v>
      </c>
      <c r="H126" s="3134">
        <f>IF(H108="Yes",IF(H122="Yes",IF(H112&lt;H118,H120,IF(H123="No",H120-'Standard Thresholds'!$B$141*(H112-H118),H120*2-'Standard Thresholds'!$B$141*(H112-H124))),0),0)</f>
        <v>0</v>
      </c>
      <c r="I126" s="3134">
        <f>IF(I108="Yes",IF(I122="Yes",IF(I112&lt;I118,I120,IF(I123="No",I120-'Standard Thresholds'!$B$141*(I112-I118),I120*2-'Standard Thresholds'!$B$141*(I112-I124))),0),0)</f>
        <v>0</v>
      </c>
      <c r="J126" s="3134">
        <f>IF(J108="Yes",IF(J122="Yes",IF(J112&lt;J118,J120,IF(J123="No",J120-'Standard Thresholds'!$B$141*(J112-J118),J120*2-'Standard Thresholds'!$B$141*(J112-J124))),0),0)</f>
        <v>0</v>
      </c>
      <c r="K126" s="3134">
        <f>IF(K108="Yes",IF(K122="Yes",IF(K112&lt;K118,K120,IF(K123="No",K120-'Standard Thresholds'!$B$141*(K112-K118),K120*2-'Standard Thresholds'!$B$141*(K112-K124))),0),0)</f>
        <v>0</v>
      </c>
      <c r="L126" s="2595"/>
      <c r="M126" s="2595"/>
      <c r="N126" s="2595"/>
      <c r="O126" s="2595"/>
      <c r="P126" s="2595"/>
      <c r="Q126" s="2596"/>
      <c r="R126" s="2596"/>
      <c r="S126" s="2596"/>
      <c r="T126" s="2596"/>
      <c r="U126" s="3193"/>
      <c r="V126" s="3194"/>
      <c r="W126" s="3194"/>
      <c r="X126" s="3195"/>
      <c r="Y126" s="3191"/>
      <c r="Z126" s="3191"/>
      <c r="AA126" s="3191"/>
      <c r="AB126" s="3191"/>
      <c r="AC126" s="3278"/>
    </row>
    <row r="127" spans="1:29" hidden="1">
      <c r="A127" s="2594"/>
      <c r="B127" s="2591"/>
      <c r="C127" s="2591"/>
      <c r="D127" s="2591"/>
      <c r="E127" s="2591"/>
      <c r="F127" s="2591"/>
      <c r="G127" s="2591"/>
      <c r="H127" s="2591"/>
      <c r="I127" s="2591"/>
      <c r="J127" s="2591"/>
      <c r="K127" s="2591"/>
      <c r="L127" s="2595"/>
      <c r="M127" s="2595"/>
      <c r="N127" s="2595"/>
      <c r="O127" s="2595"/>
      <c r="P127" s="2595"/>
      <c r="Q127" s="2596"/>
      <c r="R127" s="2596"/>
      <c r="S127" s="2596"/>
      <c r="T127" s="2596"/>
      <c r="U127" s="3193"/>
      <c r="V127" s="3194"/>
      <c r="W127" s="3194"/>
      <c r="X127" s="3195"/>
      <c r="Y127" s="3191"/>
      <c r="Z127" s="3191"/>
      <c r="AA127" s="3191"/>
      <c r="AB127" s="3191"/>
      <c r="AC127" s="3278"/>
    </row>
    <row r="128" spans="1:29" collapsed="1">
      <c r="A128" s="2581" t="s">
        <v>2372</v>
      </c>
      <c r="B128" s="3122">
        <f>IFERROR(IF(B24="Yes",MIN('Standard Thresholds'!$B$147*(IF((B25/B93)&gt;1,1,B25/B93))*B98,'Standard Thresholds'!$B$148),0),0)</f>
        <v>0</v>
      </c>
      <c r="C128" s="3122">
        <f>IFERROR(IF(C24="Yes",MIN('Standard Thresholds'!$B$147*(IF((C25/C93)&gt;1,1,C25/C93))*C98,'Standard Thresholds'!$B$148),0),0)</f>
        <v>0</v>
      </c>
      <c r="D128" s="3122">
        <f>IFERROR(IF(D24="Yes",MIN('Standard Thresholds'!$B$147*(IF((D25/D93)&gt;1,1,D25/D93))*D98,'Standard Thresholds'!$B$148),0),0)</f>
        <v>0</v>
      </c>
      <c r="E128" s="3122">
        <f>IFERROR(IF(E24="Yes",MIN('Standard Thresholds'!$B$147*(IF((E25/E93)&gt;1,1,E25/E93))*E98,'Standard Thresholds'!$B$148),0),0)</f>
        <v>0</v>
      </c>
      <c r="F128" s="3122">
        <f>IFERROR(IF(F24="Yes",MIN('Standard Thresholds'!$B$147*(IF((F25/F93)&gt;1,1,F25/F93))*F98,'Standard Thresholds'!$B$148),0),0)</f>
        <v>0</v>
      </c>
      <c r="G128" s="3122">
        <f>IFERROR(IF(G24="Yes",MIN('Standard Thresholds'!$B$147*(IF((G25/G93)&gt;1,1,G25/G93))*G98,'Standard Thresholds'!$B$148),0),0)</f>
        <v>0</v>
      </c>
      <c r="H128" s="3122">
        <f>IFERROR(IF(H24="Yes",MIN('Standard Thresholds'!$B$147*(IF((H25/H93)&gt;1,1,H25/H93))*H98,'Standard Thresholds'!$B$148),0),0)</f>
        <v>0</v>
      </c>
      <c r="I128" s="3122">
        <f>IFERROR(IF(I24="Yes",MIN('Standard Thresholds'!$B$147*(IF((I25/I93)&gt;1,1,I25/I93))*I98,'Standard Thresholds'!$B$148),0),0)</f>
        <v>0</v>
      </c>
      <c r="J128" s="3122">
        <f>IFERROR(IF(J24="Yes",MIN('Standard Thresholds'!$B$147*(IF((J25/J93)&gt;1,1,J25/J93))*J98,'Standard Thresholds'!$B$148),0),0)</f>
        <v>0</v>
      </c>
      <c r="K128" s="3122">
        <f>IFERROR(IF(K24="Yes",MIN('Standard Thresholds'!$B$147*(IF((K25/K93)&gt;1,1,K25/K93))*K98,'Standard Thresholds'!$B$148),0),0)</f>
        <v>0</v>
      </c>
      <c r="AC128" s="3278">
        <f t="shared" si="14"/>
        <v>0</v>
      </c>
    </row>
    <row r="129" spans="1:30">
      <c r="A129" s="2581" t="s">
        <v>2373</v>
      </c>
      <c r="B129" s="3122">
        <f>IF(B150&gt;0,B150,0)</f>
        <v>0</v>
      </c>
      <c r="C129" s="3122">
        <f t="shared" ref="C129:K129" si="25">IF(C150&gt;0,C150,0)</f>
        <v>0</v>
      </c>
      <c r="D129" s="3122">
        <f t="shared" si="25"/>
        <v>0</v>
      </c>
      <c r="E129" s="3122">
        <f t="shared" si="25"/>
        <v>0</v>
      </c>
      <c r="F129" s="3122">
        <f t="shared" si="25"/>
        <v>0</v>
      </c>
      <c r="G129" s="3122">
        <f t="shared" si="25"/>
        <v>0</v>
      </c>
      <c r="H129" s="3122">
        <f t="shared" si="25"/>
        <v>0</v>
      </c>
      <c r="I129" s="3122">
        <f t="shared" si="25"/>
        <v>0</v>
      </c>
      <c r="J129" s="3122">
        <f t="shared" si="25"/>
        <v>0</v>
      </c>
      <c r="K129" s="3122">
        <f t="shared" si="25"/>
        <v>0</v>
      </c>
      <c r="AC129" s="3278">
        <f t="shared" si="14"/>
        <v>0</v>
      </c>
    </row>
    <row r="130" spans="1:30" hidden="1">
      <c r="A130" s="2581"/>
      <c r="B130" s="2578"/>
      <c r="C130" s="2578"/>
      <c r="D130" s="2578"/>
      <c r="E130" s="2578"/>
      <c r="F130" s="2578"/>
      <c r="G130" s="2578"/>
      <c r="H130" s="2578"/>
      <c r="I130" s="2578"/>
      <c r="J130" s="2578"/>
      <c r="K130" s="2578"/>
      <c r="AC130" s="3280"/>
    </row>
    <row r="131" spans="1:30" hidden="1">
      <c r="A131" s="2598" t="s">
        <v>1834</v>
      </c>
      <c r="B131" s="2591"/>
      <c r="C131" s="2591"/>
      <c r="D131" s="2591"/>
      <c r="E131" s="2591"/>
      <c r="F131" s="2591"/>
      <c r="G131" s="2591"/>
      <c r="H131" s="2591"/>
      <c r="I131" s="2591"/>
      <c r="J131" s="2591"/>
      <c r="K131" s="2591"/>
      <c r="L131" s="3191"/>
      <c r="M131" s="3191"/>
      <c r="N131" s="3191"/>
      <c r="O131" s="3191"/>
      <c r="P131" s="3191"/>
      <c r="Q131" s="3194"/>
      <c r="R131" s="3194"/>
      <c r="S131" s="3194"/>
      <c r="T131" s="3194"/>
      <c r="U131" s="3193"/>
      <c r="V131" s="3194"/>
      <c r="W131" s="3194"/>
      <c r="X131" s="3195"/>
      <c r="Y131" s="3191"/>
      <c r="Z131" s="3191"/>
      <c r="AA131" s="3191"/>
      <c r="AB131" s="3191"/>
      <c r="AC131" s="3278"/>
      <c r="AD131" s="3191"/>
    </row>
    <row r="132" spans="1:30" hidden="1">
      <c r="A132" s="2594" t="s">
        <v>2374</v>
      </c>
      <c r="B132" s="2600">
        <f>B134-B133</f>
        <v>0</v>
      </c>
      <c r="C132" s="2600">
        <f t="shared" ref="C132:K132" si="26">C134-C133</f>
        <v>0</v>
      </c>
      <c r="D132" s="2600">
        <f t="shared" si="26"/>
        <v>0</v>
      </c>
      <c r="E132" s="2600">
        <f t="shared" si="26"/>
        <v>0</v>
      </c>
      <c r="F132" s="2600">
        <f t="shared" si="26"/>
        <v>0</v>
      </c>
      <c r="G132" s="2600">
        <f t="shared" si="26"/>
        <v>0</v>
      </c>
      <c r="H132" s="2600">
        <f t="shared" si="26"/>
        <v>0</v>
      </c>
      <c r="I132" s="2600">
        <f t="shared" si="26"/>
        <v>0</v>
      </c>
      <c r="J132" s="2600">
        <f t="shared" si="26"/>
        <v>0</v>
      </c>
      <c r="K132" s="2600">
        <f t="shared" si="26"/>
        <v>0</v>
      </c>
      <c r="L132" s="3191"/>
      <c r="M132" s="3191"/>
      <c r="N132" s="3191"/>
      <c r="O132" s="3191"/>
      <c r="P132" s="3191"/>
      <c r="Q132" s="3194"/>
      <c r="R132" s="3194"/>
      <c r="S132" s="3194"/>
      <c r="T132" s="3194"/>
      <c r="U132" s="3193"/>
      <c r="V132" s="3194"/>
      <c r="W132" s="3194"/>
      <c r="X132" s="3195"/>
      <c r="Y132" s="3191"/>
      <c r="Z132" s="3191"/>
      <c r="AA132" s="3191"/>
      <c r="AB132" s="3191"/>
      <c r="AC132" s="3278"/>
      <c r="AD132" s="3191"/>
    </row>
    <row r="133" spans="1:30" hidden="1">
      <c r="A133" s="2594" t="s">
        <v>1836</v>
      </c>
      <c r="B133" s="3137">
        <f t="shared" ref="B133:K133" si="27">B64+B54-B83</f>
        <v>0</v>
      </c>
      <c r="C133" s="3137">
        <f t="shared" si="27"/>
        <v>0</v>
      </c>
      <c r="D133" s="3137">
        <f t="shared" si="27"/>
        <v>0</v>
      </c>
      <c r="E133" s="3137">
        <f t="shared" si="27"/>
        <v>0</v>
      </c>
      <c r="F133" s="3137">
        <f t="shared" si="27"/>
        <v>0</v>
      </c>
      <c r="G133" s="3137">
        <f t="shared" si="27"/>
        <v>0</v>
      </c>
      <c r="H133" s="3137">
        <f t="shared" si="27"/>
        <v>0</v>
      </c>
      <c r="I133" s="3137">
        <f t="shared" si="27"/>
        <v>0</v>
      </c>
      <c r="J133" s="3137">
        <f t="shared" si="27"/>
        <v>0</v>
      </c>
      <c r="K133" s="3137">
        <f t="shared" si="27"/>
        <v>0</v>
      </c>
      <c r="L133" s="3191"/>
      <c r="M133" s="3191"/>
      <c r="N133" s="3191"/>
      <c r="O133" s="3191"/>
      <c r="P133" s="3191"/>
      <c r="Q133" s="3194"/>
      <c r="R133" s="3194"/>
      <c r="S133" s="3194"/>
      <c r="T133" s="3194"/>
      <c r="U133" s="3193"/>
      <c r="V133" s="3194"/>
      <c r="W133" s="3194"/>
      <c r="X133" s="3195"/>
      <c r="Y133" s="3191"/>
      <c r="Z133" s="3191"/>
      <c r="AA133" s="3191"/>
      <c r="AB133" s="3191"/>
      <c r="AC133" s="3278"/>
      <c r="AD133" s="3191"/>
    </row>
    <row r="134" spans="1:30" hidden="1">
      <c r="A134" s="2594" t="s">
        <v>1837</v>
      </c>
      <c r="B134" s="2600">
        <f t="shared" ref="B134:K134" si="28">B93</f>
        <v>0</v>
      </c>
      <c r="C134" s="2600">
        <f t="shared" si="28"/>
        <v>0</v>
      </c>
      <c r="D134" s="2600">
        <f t="shared" si="28"/>
        <v>0</v>
      </c>
      <c r="E134" s="2600">
        <f t="shared" si="28"/>
        <v>0</v>
      </c>
      <c r="F134" s="2600">
        <f t="shared" si="28"/>
        <v>0</v>
      </c>
      <c r="G134" s="2600">
        <f t="shared" si="28"/>
        <v>0</v>
      </c>
      <c r="H134" s="2600">
        <f t="shared" si="28"/>
        <v>0</v>
      </c>
      <c r="I134" s="2600">
        <f t="shared" si="28"/>
        <v>0</v>
      </c>
      <c r="J134" s="2600">
        <f t="shared" si="28"/>
        <v>0</v>
      </c>
      <c r="K134" s="2600">
        <f t="shared" si="28"/>
        <v>0</v>
      </c>
      <c r="L134" s="3191"/>
      <c r="M134" s="3191"/>
      <c r="N134" s="3191"/>
      <c r="O134" s="3191"/>
      <c r="P134" s="3191"/>
      <c r="Q134" s="3194"/>
      <c r="R134" s="3194"/>
      <c r="S134" s="3194"/>
      <c r="T134" s="3194"/>
      <c r="U134" s="3193"/>
      <c r="V134" s="3194"/>
      <c r="W134" s="3194"/>
      <c r="X134" s="3195"/>
      <c r="Y134" s="3191"/>
      <c r="Z134" s="3191"/>
      <c r="AA134" s="3191"/>
      <c r="AB134" s="3191"/>
      <c r="AC134" s="3278"/>
      <c r="AD134" s="3191"/>
    </row>
    <row r="135" spans="1:30" hidden="1">
      <c r="A135" s="2594" t="s">
        <v>1838</v>
      </c>
      <c r="B135" s="3137">
        <f t="shared" ref="B135:K135" si="29">B55</f>
        <v>0</v>
      </c>
      <c r="C135" s="3137">
        <f t="shared" si="29"/>
        <v>0</v>
      </c>
      <c r="D135" s="3137">
        <f t="shared" si="29"/>
        <v>0</v>
      </c>
      <c r="E135" s="3137">
        <f t="shared" si="29"/>
        <v>0</v>
      </c>
      <c r="F135" s="3137">
        <f t="shared" si="29"/>
        <v>0</v>
      </c>
      <c r="G135" s="3137">
        <f t="shared" si="29"/>
        <v>0</v>
      </c>
      <c r="H135" s="3137">
        <f t="shared" si="29"/>
        <v>0</v>
      </c>
      <c r="I135" s="3137">
        <f t="shared" si="29"/>
        <v>0</v>
      </c>
      <c r="J135" s="3137">
        <f t="shared" si="29"/>
        <v>0</v>
      </c>
      <c r="K135" s="3137">
        <f t="shared" si="29"/>
        <v>0</v>
      </c>
      <c r="L135" s="3191"/>
      <c r="M135" s="3191"/>
      <c r="N135" s="3191"/>
      <c r="O135" s="3191"/>
      <c r="P135" s="3191"/>
      <c r="Q135" s="3194"/>
      <c r="R135" s="3194"/>
      <c r="S135" s="3194"/>
      <c r="T135" s="3194"/>
      <c r="U135" s="3193"/>
      <c r="V135" s="3194"/>
      <c r="W135" s="3194"/>
      <c r="X135" s="3195"/>
      <c r="Y135" s="3191"/>
      <c r="Z135" s="3191"/>
      <c r="AA135" s="3191"/>
      <c r="AB135" s="3191"/>
      <c r="AC135" s="3278"/>
      <c r="AD135" s="3191"/>
    </row>
    <row r="136" spans="1:30" hidden="1">
      <c r="A136" s="2598" t="s">
        <v>2466</v>
      </c>
      <c r="B136" s="3138">
        <f>B134-B135</f>
        <v>0</v>
      </c>
      <c r="C136" s="3138">
        <f t="shared" ref="C136:K136" si="30">C134-C135</f>
        <v>0</v>
      </c>
      <c r="D136" s="3138">
        <f t="shared" si="30"/>
        <v>0</v>
      </c>
      <c r="E136" s="3138">
        <f t="shared" si="30"/>
        <v>0</v>
      </c>
      <c r="F136" s="3138">
        <f t="shared" si="30"/>
        <v>0</v>
      </c>
      <c r="G136" s="3138">
        <f t="shared" si="30"/>
        <v>0</v>
      </c>
      <c r="H136" s="3138">
        <f t="shared" si="30"/>
        <v>0</v>
      </c>
      <c r="I136" s="3138">
        <f t="shared" si="30"/>
        <v>0</v>
      </c>
      <c r="J136" s="3138">
        <f t="shared" si="30"/>
        <v>0</v>
      </c>
      <c r="K136" s="3138">
        <f t="shared" si="30"/>
        <v>0</v>
      </c>
      <c r="L136" s="3191"/>
      <c r="M136" s="3191"/>
      <c r="N136" s="3191"/>
      <c r="O136" s="3191"/>
      <c r="P136" s="3191"/>
      <c r="Q136" s="3194"/>
      <c r="R136" s="3194"/>
      <c r="S136" s="3194"/>
      <c r="T136" s="3194"/>
      <c r="U136" s="3193"/>
      <c r="V136" s="3194"/>
      <c r="W136" s="3194"/>
      <c r="X136" s="3195"/>
      <c r="Y136" s="3191"/>
      <c r="Z136" s="3191"/>
      <c r="AA136" s="3191"/>
      <c r="AB136" s="3191"/>
      <c r="AC136" s="3278"/>
      <c r="AD136" s="3191"/>
    </row>
    <row r="137" spans="1:30" hidden="1">
      <c r="A137" s="2594"/>
      <c r="B137" s="2591"/>
      <c r="C137" s="2591"/>
      <c r="D137" s="2591"/>
      <c r="E137" s="2591"/>
      <c r="F137" s="2591"/>
      <c r="G137" s="2591"/>
      <c r="H137" s="2591"/>
      <c r="I137" s="2591"/>
      <c r="J137" s="2591"/>
      <c r="K137" s="2591"/>
      <c r="L137" s="3191"/>
      <c r="M137" s="3191"/>
      <c r="N137" s="3191"/>
      <c r="O137" s="3191"/>
      <c r="P137" s="3191"/>
      <c r="Q137" s="3194"/>
      <c r="R137" s="3194"/>
      <c r="S137" s="3194"/>
      <c r="T137" s="3194"/>
      <c r="U137" s="3193"/>
      <c r="V137" s="3194"/>
      <c r="W137" s="3194"/>
      <c r="X137" s="3195"/>
      <c r="Y137" s="3191"/>
      <c r="Z137" s="3191"/>
      <c r="AA137" s="3191"/>
      <c r="AB137" s="3191"/>
      <c r="AC137" s="3278"/>
      <c r="AD137" s="3191"/>
    </row>
    <row r="138" spans="1:30" hidden="1">
      <c r="A138" s="2594" t="s">
        <v>1843</v>
      </c>
      <c r="B138" s="2600">
        <f t="shared" ref="B138:K138" si="31">COUNT(B27:B30)</f>
        <v>0</v>
      </c>
      <c r="C138" s="2600">
        <f t="shared" si="31"/>
        <v>0</v>
      </c>
      <c r="D138" s="2600">
        <f t="shared" si="31"/>
        <v>0</v>
      </c>
      <c r="E138" s="2600">
        <f t="shared" si="31"/>
        <v>0</v>
      </c>
      <c r="F138" s="2600">
        <f t="shared" si="31"/>
        <v>0</v>
      </c>
      <c r="G138" s="2600">
        <f t="shared" si="31"/>
        <v>0</v>
      </c>
      <c r="H138" s="2600">
        <f t="shared" si="31"/>
        <v>0</v>
      </c>
      <c r="I138" s="2600">
        <f t="shared" si="31"/>
        <v>0</v>
      </c>
      <c r="J138" s="2600">
        <f t="shared" si="31"/>
        <v>0</v>
      </c>
      <c r="K138" s="2600">
        <f t="shared" si="31"/>
        <v>0</v>
      </c>
      <c r="L138" s="3191"/>
      <c r="M138" s="3191"/>
      <c r="N138" s="3191"/>
      <c r="O138" s="3191"/>
      <c r="P138" s="3191"/>
      <c r="Q138" s="3194"/>
      <c r="R138" s="3194"/>
      <c r="S138" s="3194"/>
      <c r="T138" s="3194"/>
      <c r="U138" s="3193"/>
      <c r="V138" s="3194"/>
      <c r="W138" s="3194"/>
      <c r="X138" s="3195"/>
      <c r="Y138" s="3191"/>
      <c r="Z138" s="3191"/>
      <c r="AA138" s="3191"/>
      <c r="AB138" s="3191"/>
      <c r="AC138" s="3278"/>
      <c r="AD138" s="3191"/>
    </row>
    <row r="139" spans="1:30" hidden="1">
      <c r="A139" s="2594"/>
      <c r="B139" s="2591"/>
      <c r="C139" s="2591"/>
      <c r="D139" s="2591"/>
      <c r="E139" s="2591"/>
      <c r="F139" s="2591"/>
      <c r="G139" s="2591"/>
      <c r="H139" s="2591"/>
      <c r="I139" s="2591"/>
      <c r="J139" s="2591"/>
      <c r="K139" s="2591"/>
      <c r="L139" s="3191"/>
      <c r="M139" s="3191"/>
      <c r="N139" s="3191"/>
      <c r="O139" s="3191"/>
      <c r="P139" s="3191"/>
      <c r="Q139" s="3194"/>
      <c r="R139" s="3194"/>
      <c r="S139" s="3194"/>
      <c r="T139" s="3194"/>
      <c r="U139" s="3193"/>
      <c r="V139" s="3194"/>
      <c r="W139" s="3194"/>
      <c r="X139" s="3195"/>
      <c r="Y139" s="3191"/>
      <c r="Z139" s="3191"/>
      <c r="AA139" s="3191"/>
      <c r="AB139" s="3191"/>
      <c r="AC139" s="3278"/>
      <c r="AD139" s="3191"/>
    </row>
    <row r="140" spans="1:30" hidden="1">
      <c r="A140" s="2598" t="s">
        <v>1579</v>
      </c>
      <c r="B140" s="2600">
        <f t="shared" ref="B140:K140" si="32">IF(B30="N",0,IF(B29="N",(B136+B30)/(B138+1),IF(B28="N",(B136+B30+B29)/(B138+1),IF(B27="N",(B136+B30+B29+B28)/(B138+1),(B136+B30+B29+B28+B27)/(B138+1)))))</f>
        <v>0</v>
      </c>
      <c r="C140" s="2600">
        <f t="shared" si="32"/>
        <v>0</v>
      </c>
      <c r="D140" s="2600">
        <f t="shared" si="32"/>
        <v>0</v>
      </c>
      <c r="E140" s="2600">
        <f t="shared" si="32"/>
        <v>0</v>
      </c>
      <c r="F140" s="2600">
        <f t="shared" si="32"/>
        <v>0</v>
      </c>
      <c r="G140" s="2600">
        <f t="shared" si="32"/>
        <v>0</v>
      </c>
      <c r="H140" s="2600">
        <f t="shared" si="32"/>
        <v>0</v>
      </c>
      <c r="I140" s="2600">
        <f t="shared" si="32"/>
        <v>0</v>
      </c>
      <c r="J140" s="2600">
        <f t="shared" si="32"/>
        <v>0</v>
      </c>
      <c r="K140" s="2600">
        <f t="shared" si="32"/>
        <v>0</v>
      </c>
      <c r="L140" s="3191"/>
      <c r="M140" s="3191"/>
      <c r="N140" s="3191"/>
      <c r="O140" s="3191"/>
      <c r="P140" s="3191"/>
      <c r="Q140" s="3194"/>
      <c r="R140" s="3194"/>
      <c r="S140" s="3194"/>
      <c r="T140" s="3194"/>
      <c r="U140" s="3193"/>
      <c r="V140" s="3194"/>
      <c r="W140" s="3194"/>
      <c r="X140" s="3195"/>
      <c r="Y140" s="3191"/>
      <c r="Z140" s="3191"/>
      <c r="AA140" s="3191"/>
      <c r="AB140" s="3191"/>
      <c r="AC140" s="3278"/>
      <c r="AD140" s="3191"/>
    </row>
    <row r="141" spans="1:30" hidden="1">
      <c r="A141" s="2594"/>
      <c r="B141" s="2600"/>
      <c r="C141" s="2600"/>
      <c r="D141" s="2600"/>
      <c r="E141" s="2600"/>
      <c r="F141" s="2600"/>
      <c r="G141" s="2600"/>
      <c r="H141" s="2600"/>
      <c r="I141" s="2600"/>
      <c r="J141" s="2600"/>
      <c r="K141" s="2600"/>
      <c r="L141" s="3191"/>
      <c r="M141" s="3191"/>
      <c r="N141" s="3191"/>
      <c r="O141" s="3191"/>
      <c r="P141" s="3191"/>
      <c r="Q141" s="3194"/>
      <c r="R141" s="3194"/>
      <c r="S141" s="3194"/>
      <c r="T141" s="3194"/>
      <c r="U141" s="3193"/>
      <c r="V141" s="3194"/>
      <c r="W141" s="3194"/>
      <c r="X141" s="3195"/>
      <c r="Y141" s="3191"/>
      <c r="Z141" s="3191"/>
      <c r="AA141" s="3191"/>
      <c r="AB141" s="3191"/>
      <c r="AC141" s="3278"/>
      <c r="AD141" s="3191"/>
    </row>
    <row r="142" spans="1:30" hidden="1">
      <c r="A142" s="2594" t="s">
        <v>1844</v>
      </c>
      <c r="B142" s="2600">
        <f>IF(B140&lt;0,0,IF(B$13="Resident",VLOOKUP(B140,'Standard Thresholds'!$A$39:$C$43,2)*(B140-VLOOKUP(B140,'Standard Thresholds'!$A$39:$C$43,1))+VLOOKUP(B140,'Standard Thresholds'!$A$39:$C$43,3),IF(B$13="Non-resident",VLOOKUP(B140,'Standard Thresholds'!$A$47:$C$49,2)*(B140-VLOOKUP(B140,'Standard Thresholds'!$A$47:$C$49,1))+VLOOKUP(B140,'Standard Thresholds'!$A$47:$C$49,3),IF(B$13="Working holiday maker",VLOOKUP(B140,'Standard Thresholds'!$A$53:$C$56,2)*(B140-VLOOKUP(B140,'Standard Thresholds'!$A$53:$C$56,1))+VLOOKUP(B140,'Standard Thresholds'!$A$53:$C$56,3),0))))</f>
        <v>0</v>
      </c>
      <c r="C142" s="2600">
        <f>IF(C140&lt;0,0,IF(C$13="Resident",VLOOKUP(C140,'Standard Thresholds'!$A$39:$C$43,2)*(C140-VLOOKUP(C140,'Standard Thresholds'!$A$39:$C$43,1))+VLOOKUP(C140,'Standard Thresholds'!$A$39:$C$43,3),IF(C$13="Non-resident",VLOOKUP(C140,'Standard Thresholds'!$A$47:$C$49,2)*(C140-VLOOKUP(C140,'Standard Thresholds'!$A$47:$C$49,1))+VLOOKUP(C140,'Standard Thresholds'!$A$47:$C$49,3),IF(C$13="Working holiday maker",VLOOKUP(C140,'Standard Thresholds'!$A$53:$C$56,2)*(C140-VLOOKUP(C140,'Standard Thresholds'!$A$53:$C$56,1))+VLOOKUP(C140,'Standard Thresholds'!$A$53:$C$56,3),0))))</f>
        <v>0</v>
      </c>
      <c r="D142" s="2600">
        <f>IF(D140&lt;0,0,IF(D$13="Resident",VLOOKUP(D140,'Standard Thresholds'!$A$39:$C$43,2)*(D140-VLOOKUP(D140,'Standard Thresholds'!$A$39:$C$43,1))+VLOOKUP(D140,'Standard Thresholds'!$A$39:$C$43,3),IF(D$13="Non-resident",VLOOKUP(D140,'Standard Thresholds'!$A$47:$C$49,2)*(D140-VLOOKUP(D140,'Standard Thresholds'!$A$47:$C$49,1))+VLOOKUP(D140,'Standard Thresholds'!$A$47:$C$49,3),IF(D$13="Working holiday maker",VLOOKUP(D140,'Standard Thresholds'!$A$53:$C$56,2)*(D140-VLOOKUP(D140,'Standard Thresholds'!$A$53:$C$56,1))+VLOOKUP(D140,'Standard Thresholds'!$A$53:$C$56,3),0))))</f>
        <v>0</v>
      </c>
      <c r="E142" s="2600">
        <f>IF(E140&lt;0,0,IF(E$13="Resident",VLOOKUP(E140,'Standard Thresholds'!$A$39:$C$43,2)*(E140-VLOOKUP(E140,'Standard Thresholds'!$A$39:$C$43,1))+VLOOKUP(E140,'Standard Thresholds'!$A$39:$C$43,3),IF(E$13="Non-resident",VLOOKUP(E140,'Standard Thresholds'!$A$47:$C$49,2)*(E140-VLOOKUP(E140,'Standard Thresholds'!$A$47:$C$49,1))+VLOOKUP(E140,'Standard Thresholds'!$A$47:$C$49,3),IF(E$13="Working holiday maker",VLOOKUP(E140,'Standard Thresholds'!$A$53:$C$56,2)*(E140-VLOOKUP(E140,'Standard Thresholds'!$A$53:$C$56,1))+VLOOKUP(E140,'Standard Thresholds'!$A$53:$C$56,3),0))))</f>
        <v>0</v>
      </c>
      <c r="F142" s="2600">
        <f>IF(F140&lt;0,0,IF(F$13="Resident",VLOOKUP(F140,'Standard Thresholds'!$A$39:$C$43,2)*(F140-VLOOKUP(F140,'Standard Thresholds'!$A$39:$C$43,1))+VLOOKUP(F140,'Standard Thresholds'!$A$39:$C$43,3),IF(F$13="Non-resident",VLOOKUP(F140,'Standard Thresholds'!$A$47:$C$49,2)*(F140-VLOOKUP(F140,'Standard Thresholds'!$A$47:$C$49,1))+VLOOKUP(F140,'Standard Thresholds'!$A$47:$C$49,3),IF(F$13="Working holiday maker",VLOOKUP(F140,'Standard Thresholds'!$A$53:$C$56,2)*(F140-VLOOKUP(F140,'Standard Thresholds'!$A$53:$C$56,1))+VLOOKUP(F140,'Standard Thresholds'!$A$53:$C$56,3),0))))</f>
        <v>0</v>
      </c>
      <c r="G142" s="2600">
        <f>IF(G140&lt;0,0,IF(G$13="Resident",VLOOKUP(G140,'Standard Thresholds'!$A$39:$C$43,2)*(G140-VLOOKUP(G140,'Standard Thresholds'!$A$39:$C$43,1))+VLOOKUP(G140,'Standard Thresholds'!$A$39:$C$43,3),IF(G$13="Non-resident",VLOOKUP(G140,'Standard Thresholds'!$A$47:$C$49,2)*(G140-VLOOKUP(G140,'Standard Thresholds'!$A$47:$C$49,1))+VLOOKUP(G140,'Standard Thresholds'!$A$47:$C$49,3),IF(G$13="Working holiday maker",VLOOKUP(G140,'Standard Thresholds'!$A$53:$C$56,2)*(G140-VLOOKUP(G140,'Standard Thresholds'!$A$53:$C$56,1))+VLOOKUP(G140,'Standard Thresholds'!$A$53:$C$56,3),0))))</f>
        <v>0</v>
      </c>
      <c r="H142" s="2600">
        <f>IF(H140&lt;0,0,IF(H$13="Resident",VLOOKUP(H140,'Standard Thresholds'!$A$39:$C$43,2)*(H140-VLOOKUP(H140,'Standard Thresholds'!$A$39:$C$43,1))+VLOOKUP(H140,'Standard Thresholds'!$A$39:$C$43,3),IF(H$13="Non-resident",VLOOKUP(H140,'Standard Thresholds'!$A$47:$C$49,2)*(H140-VLOOKUP(H140,'Standard Thresholds'!$A$47:$C$49,1))+VLOOKUP(H140,'Standard Thresholds'!$A$47:$C$49,3),IF(H$13="Working holiday maker",VLOOKUP(H140,'Standard Thresholds'!$A$53:$C$56,2)*(H140-VLOOKUP(H140,'Standard Thresholds'!$A$53:$C$56,1))+VLOOKUP(H140,'Standard Thresholds'!$A$53:$C$56,3),0))))</f>
        <v>0</v>
      </c>
      <c r="I142" s="2600">
        <f>IF(I140&lt;0,0,IF(I$13="Resident",VLOOKUP(I140,'Standard Thresholds'!$A$39:$C$43,2)*(I140-VLOOKUP(I140,'Standard Thresholds'!$A$39:$C$43,1))+VLOOKUP(I140,'Standard Thresholds'!$A$39:$C$43,3),IF(I$13="Non-resident",VLOOKUP(I140,'Standard Thresholds'!$A$47:$C$49,2)*(I140-VLOOKUP(I140,'Standard Thresholds'!$A$47:$C$49,1))+VLOOKUP(I140,'Standard Thresholds'!$A$47:$C$49,3),IF(I$13="Working holiday maker",VLOOKUP(I140,'Standard Thresholds'!$A$53:$C$56,2)*(I140-VLOOKUP(I140,'Standard Thresholds'!$A$53:$C$56,1))+VLOOKUP(I140,'Standard Thresholds'!$A$53:$C$56,3),0))))</f>
        <v>0</v>
      </c>
      <c r="J142" s="2600">
        <f>IF(J140&lt;0,0,IF(J$13="Resident",VLOOKUP(J140,'Standard Thresholds'!$A$39:$C$43,2)*(J140-VLOOKUP(J140,'Standard Thresholds'!$A$39:$C$43,1))+VLOOKUP(J140,'Standard Thresholds'!$A$39:$C$43,3),IF(J$13="Non-resident",VLOOKUP(J140,'Standard Thresholds'!$A$47:$C$49,2)*(J140-VLOOKUP(J140,'Standard Thresholds'!$A$47:$C$49,1))+VLOOKUP(J140,'Standard Thresholds'!$A$47:$C$49,3),IF(J$13="Working holiday maker",VLOOKUP(J140,'Standard Thresholds'!$A$53:$C$56,2)*(J140-VLOOKUP(J140,'Standard Thresholds'!$A$53:$C$56,1))+VLOOKUP(J140,'Standard Thresholds'!$A$53:$C$56,3),0))))</f>
        <v>0</v>
      </c>
      <c r="K142" s="2600">
        <f>IF(K140&lt;0,0,IF(K$13="Resident",VLOOKUP(K140,'Standard Thresholds'!$A$39:$C$43,2)*(K140-VLOOKUP(K140,'Standard Thresholds'!$A$39:$C$43,1))+VLOOKUP(K140,'Standard Thresholds'!$A$39:$C$43,3),IF(K$13="Non-resident",VLOOKUP(K140,'Standard Thresholds'!$A$47:$C$49,2)*(K140-VLOOKUP(K140,'Standard Thresholds'!$A$47:$C$49,1))+VLOOKUP(K140,'Standard Thresholds'!$A$47:$C$49,3),IF(K$13="Working holiday maker",VLOOKUP(K140,'Standard Thresholds'!$A$53:$C$56,2)*(K140-VLOOKUP(K140,'Standard Thresholds'!$A$53:$C$56,1))+VLOOKUP(K140,'Standard Thresholds'!$A$53:$C$56,3),0))))</f>
        <v>0</v>
      </c>
      <c r="L142" s="3191"/>
      <c r="M142" s="3191"/>
      <c r="N142" s="3191"/>
      <c r="O142" s="3191"/>
      <c r="P142" s="3191"/>
      <c r="Q142" s="3194"/>
      <c r="R142" s="3194"/>
      <c r="S142" s="3194"/>
      <c r="T142" s="3194"/>
      <c r="U142" s="3193"/>
      <c r="V142" s="3194"/>
      <c r="W142" s="3194"/>
      <c r="X142" s="3195"/>
      <c r="Y142" s="3191"/>
      <c r="Z142" s="3191"/>
      <c r="AA142" s="3191"/>
      <c r="AB142" s="3191"/>
      <c r="AC142" s="3278"/>
      <c r="AD142" s="3191"/>
    </row>
    <row r="143" spans="1:30" hidden="1">
      <c r="A143" s="2594" t="s">
        <v>1845</v>
      </c>
      <c r="B143" s="2601">
        <f>IFERROR(B142/B140,0)</f>
        <v>0</v>
      </c>
      <c r="C143" s="2601">
        <f t="shared" ref="C143:K143" si="33">IFERROR(C142/C140,0)</f>
        <v>0</v>
      </c>
      <c r="D143" s="2601">
        <f t="shared" si="33"/>
        <v>0</v>
      </c>
      <c r="E143" s="2601">
        <f t="shared" si="33"/>
        <v>0</v>
      </c>
      <c r="F143" s="2601">
        <f t="shared" si="33"/>
        <v>0</v>
      </c>
      <c r="G143" s="2601">
        <f t="shared" si="33"/>
        <v>0</v>
      </c>
      <c r="H143" s="2601">
        <f t="shared" si="33"/>
        <v>0</v>
      </c>
      <c r="I143" s="2601">
        <f t="shared" si="33"/>
        <v>0</v>
      </c>
      <c r="J143" s="2601">
        <f t="shared" si="33"/>
        <v>0</v>
      </c>
      <c r="K143" s="2601">
        <f t="shared" si="33"/>
        <v>0</v>
      </c>
      <c r="L143" s="3191"/>
      <c r="M143" s="3191"/>
      <c r="N143" s="3191"/>
      <c r="O143" s="3191"/>
      <c r="P143" s="3191"/>
      <c r="Q143" s="3194"/>
      <c r="R143" s="3194"/>
      <c r="S143" s="3194"/>
      <c r="T143" s="3194"/>
      <c r="U143" s="3193"/>
      <c r="V143" s="3194"/>
      <c r="W143" s="3194"/>
      <c r="X143" s="3195"/>
      <c r="Y143" s="3191"/>
      <c r="Z143" s="3191"/>
      <c r="AA143" s="3191"/>
      <c r="AB143" s="3191"/>
      <c r="AC143" s="3278"/>
      <c r="AD143" s="3191"/>
    </row>
    <row r="144" spans="1:30" hidden="1">
      <c r="A144" s="2594"/>
      <c r="B144" s="2601"/>
      <c r="C144" s="2601"/>
      <c r="D144" s="2601"/>
      <c r="E144" s="2601"/>
      <c r="F144" s="2601"/>
      <c r="G144" s="2601"/>
      <c r="H144" s="2601"/>
      <c r="I144" s="2601"/>
      <c r="J144" s="2601"/>
      <c r="K144" s="2601"/>
      <c r="L144" s="3191"/>
      <c r="M144" s="3191"/>
      <c r="N144" s="3191"/>
      <c r="O144" s="3191"/>
      <c r="P144" s="3191"/>
      <c r="Q144" s="3194"/>
      <c r="R144" s="3194"/>
      <c r="S144" s="3194"/>
      <c r="T144" s="3194"/>
      <c r="U144" s="3193"/>
      <c r="V144" s="3194"/>
      <c r="W144" s="3194"/>
      <c r="X144" s="3195"/>
      <c r="Y144" s="3191"/>
      <c r="Z144" s="3191"/>
      <c r="AA144" s="3191"/>
      <c r="AB144" s="3191"/>
      <c r="AC144" s="3278"/>
      <c r="AD144" s="3191"/>
    </row>
    <row r="145" spans="1:30" hidden="1">
      <c r="A145" s="2598" t="s">
        <v>1846</v>
      </c>
      <c r="B145" s="2600">
        <f>IF(B132&lt;5000,(B132+MAX(B133,0)),IF(B132&lt;10000,(10000-B132+MAX(B133,0)),IF(B132&gt;=10000,MAX(B133,0),0)))</f>
        <v>0</v>
      </c>
      <c r="C145" s="2600">
        <f t="shared" ref="C145:K145" si="34">IF(C132&lt;5000,(C132+MAX(C133,0)),IF(C132&lt;10000,(10000-C132+MAX(C133,0)),IF(C132&gt;=10000,MAX(C133,0),0)))</f>
        <v>0</v>
      </c>
      <c r="D145" s="2600">
        <f t="shared" si="34"/>
        <v>0</v>
      </c>
      <c r="E145" s="2600">
        <f t="shared" si="34"/>
        <v>0</v>
      </c>
      <c r="F145" s="2600">
        <f t="shared" si="34"/>
        <v>0</v>
      </c>
      <c r="G145" s="2600">
        <f t="shared" si="34"/>
        <v>0</v>
      </c>
      <c r="H145" s="2600">
        <f t="shared" si="34"/>
        <v>0</v>
      </c>
      <c r="I145" s="2600">
        <f t="shared" si="34"/>
        <v>0</v>
      </c>
      <c r="J145" s="2600">
        <f t="shared" si="34"/>
        <v>0</v>
      </c>
      <c r="K145" s="2600">
        <f t="shared" si="34"/>
        <v>0</v>
      </c>
      <c r="L145" s="3191"/>
      <c r="M145" s="3191"/>
      <c r="N145" s="3191"/>
      <c r="O145" s="3191"/>
      <c r="P145" s="3191"/>
      <c r="Q145" s="3194"/>
      <c r="R145" s="3194"/>
      <c r="S145" s="3194"/>
      <c r="T145" s="3194"/>
      <c r="U145" s="3193"/>
      <c r="V145" s="3194"/>
      <c r="W145" s="3194"/>
      <c r="X145" s="3195"/>
      <c r="Y145" s="3191"/>
      <c r="Z145" s="3191"/>
      <c r="AA145" s="3191"/>
      <c r="AB145" s="3191"/>
      <c r="AC145" s="3278"/>
      <c r="AD145" s="3191"/>
    </row>
    <row r="146" spans="1:30" hidden="1">
      <c r="A146" s="2594"/>
      <c r="B146" s="3139"/>
      <c r="C146" s="3139"/>
      <c r="D146" s="3139"/>
      <c r="E146" s="3139"/>
      <c r="F146" s="3139"/>
      <c r="G146" s="3139"/>
      <c r="H146" s="3139"/>
      <c r="I146" s="3139"/>
      <c r="J146" s="3139"/>
      <c r="K146" s="3139"/>
      <c r="L146" s="3191"/>
      <c r="M146" s="3191"/>
      <c r="N146" s="3191"/>
      <c r="O146" s="3191"/>
      <c r="P146" s="3191"/>
      <c r="Q146" s="3194"/>
      <c r="R146" s="3194"/>
      <c r="S146" s="3194"/>
      <c r="T146" s="3194"/>
      <c r="U146" s="3193"/>
      <c r="V146" s="3194"/>
      <c r="W146" s="3194"/>
      <c r="X146" s="3195"/>
      <c r="Y146" s="3191"/>
      <c r="Z146" s="3191"/>
      <c r="AA146" s="3191"/>
      <c r="AB146" s="3191"/>
      <c r="AC146" s="3278"/>
      <c r="AD146" s="3191"/>
    </row>
    <row r="147" spans="1:30" ht="25.5" hidden="1">
      <c r="A147" s="2599" t="s">
        <v>1847</v>
      </c>
      <c r="B147" s="2600">
        <f>B136*B143</f>
        <v>0</v>
      </c>
      <c r="C147" s="2600">
        <f t="shared" ref="C147:K147" si="35">C136*C143</f>
        <v>0</v>
      </c>
      <c r="D147" s="2600">
        <f t="shared" si="35"/>
        <v>0</v>
      </c>
      <c r="E147" s="2600">
        <f t="shared" si="35"/>
        <v>0</v>
      </c>
      <c r="F147" s="2600">
        <f t="shared" si="35"/>
        <v>0</v>
      </c>
      <c r="G147" s="2600">
        <f t="shared" si="35"/>
        <v>0</v>
      </c>
      <c r="H147" s="2600">
        <f t="shared" si="35"/>
        <v>0</v>
      </c>
      <c r="I147" s="2600">
        <f t="shared" si="35"/>
        <v>0</v>
      </c>
      <c r="J147" s="2600">
        <f t="shared" si="35"/>
        <v>0</v>
      </c>
      <c r="K147" s="2600">
        <f t="shared" si="35"/>
        <v>0</v>
      </c>
      <c r="L147" s="3191"/>
      <c r="M147" s="3191"/>
      <c r="N147" s="3191"/>
      <c r="O147" s="3191"/>
      <c r="P147" s="3191"/>
      <c r="Q147" s="3194"/>
      <c r="R147" s="3194"/>
      <c r="S147" s="3194"/>
      <c r="T147" s="3194"/>
      <c r="U147" s="3193"/>
      <c r="V147" s="3194"/>
      <c r="W147" s="3194"/>
      <c r="X147" s="3195"/>
      <c r="Y147" s="3191"/>
      <c r="Z147" s="3191"/>
      <c r="AA147" s="3191"/>
      <c r="AB147" s="3191"/>
      <c r="AC147" s="3278"/>
      <c r="AD147" s="3191"/>
    </row>
    <row r="148" spans="1:30" hidden="1">
      <c r="A148" s="2594" t="s">
        <v>1848</v>
      </c>
      <c r="B148" s="2600">
        <f>IF(B136&lt;0,0,IF(B$13="Resident",VLOOKUP(B136,'Standard Thresholds'!$A$39:$C$43,2)*(B136-VLOOKUP(B136,'Standard Thresholds'!$A$39:$C$43,1))+VLOOKUP(B136,'Standard Thresholds'!$A$39:$C$43,3),IF(B$13="Non-resident",VLOOKUP(B136,'Standard Thresholds'!$A$47:$C$49,2)*(B136-VLOOKUP(B136,'Standard Thresholds'!$A$47:$C$49,1))+VLOOKUP(B136,'Standard Thresholds'!$A$47:$C$49,3),IF(B$13="Working holiday maker",VLOOKUP(B136,'Standard Thresholds'!$A$53:$C$56,2)*(B136-VLOOKUP(B136,'Standard Thresholds'!$A$53:$C$56,1))+VLOOKUP(B136,'Standard Thresholds'!$A$53:$C$56,3),0))))</f>
        <v>0</v>
      </c>
      <c r="C148" s="2600">
        <f>IF(C136&lt;0,0,IF(C$13="Resident",VLOOKUP(C136,'Standard Thresholds'!$A$39:$C$43,2)*(C136-VLOOKUP(C136,'Standard Thresholds'!$A$39:$C$43,1))+VLOOKUP(C136,'Standard Thresholds'!$A$39:$C$43,3),IF(C$13="Non-resident",VLOOKUP(C136,'Standard Thresholds'!$A$47:$C$49,2)*(C136-VLOOKUP(C136,'Standard Thresholds'!$A$47:$C$49,1))+VLOOKUP(C136,'Standard Thresholds'!$A$47:$C$49,3),IF(C$13="Working holiday maker",VLOOKUP(C136,'Standard Thresholds'!$A$53:$C$56,2)*(C136-VLOOKUP(C136,'Standard Thresholds'!$A$53:$C$56,1))+VLOOKUP(C136,'Standard Thresholds'!$A$53:$C$56,3),0))))</f>
        <v>0</v>
      </c>
      <c r="D148" s="2600">
        <f>IF(D136&lt;0,0,IF(D$13="Resident",VLOOKUP(D136,'Standard Thresholds'!$A$39:$C$43,2)*(D136-VLOOKUP(D136,'Standard Thresholds'!$A$39:$C$43,1))+VLOOKUP(D136,'Standard Thresholds'!$A$39:$C$43,3),IF(D$13="Non-resident",VLOOKUP(D136,'Standard Thresholds'!$A$47:$C$49,2)*(D136-VLOOKUP(D136,'Standard Thresholds'!$A$47:$C$49,1))+VLOOKUP(D136,'Standard Thresholds'!$A$47:$C$49,3),IF(D$13="Working holiday maker",VLOOKUP(D136,'Standard Thresholds'!$A$53:$C$56,2)*(D136-VLOOKUP(D136,'Standard Thresholds'!$A$53:$C$56,1))+VLOOKUP(D136,'Standard Thresholds'!$A$53:$C$56,3),0))))</f>
        <v>0</v>
      </c>
      <c r="E148" s="2600">
        <f>IF(E136&lt;0,0,IF(E$13="Resident",VLOOKUP(E136,'Standard Thresholds'!$A$39:$C$43,2)*(E136-VLOOKUP(E136,'Standard Thresholds'!$A$39:$C$43,1))+VLOOKUP(E136,'Standard Thresholds'!$A$39:$C$43,3),IF(E$13="Non-resident",VLOOKUP(E136,'Standard Thresholds'!$A$47:$C$49,2)*(E136-VLOOKUP(E136,'Standard Thresholds'!$A$47:$C$49,1))+VLOOKUP(E136,'Standard Thresholds'!$A$47:$C$49,3),IF(E$13="Working holiday maker",VLOOKUP(E136,'Standard Thresholds'!$A$53:$C$56,2)*(E136-VLOOKUP(E136,'Standard Thresholds'!$A$53:$C$56,1))+VLOOKUP(E136,'Standard Thresholds'!$A$53:$C$56,3),0))))</f>
        <v>0</v>
      </c>
      <c r="F148" s="2600">
        <f>IF(F136&lt;0,0,IF(F$13="Resident",VLOOKUP(F136,'Standard Thresholds'!$A$39:$C$43,2)*(F136-VLOOKUP(F136,'Standard Thresholds'!$A$39:$C$43,1))+VLOOKUP(F136,'Standard Thresholds'!$A$39:$C$43,3),IF(F$13="Non-resident",VLOOKUP(F136,'Standard Thresholds'!$A$47:$C$49,2)*(F136-VLOOKUP(F136,'Standard Thresholds'!$A$47:$C$49,1))+VLOOKUP(F136,'Standard Thresholds'!$A$47:$C$49,3),IF(F$13="Working holiday maker",VLOOKUP(F136,'Standard Thresholds'!$A$53:$C$56,2)*(F136-VLOOKUP(F136,'Standard Thresholds'!$A$53:$C$56,1))+VLOOKUP(F136,'Standard Thresholds'!$A$53:$C$56,3),0))))</f>
        <v>0</v>
      </c>
      <c r="G148" s="2600">
        <f>IF(G136&lt;0,0,IF(G$13="Resident",VLOOKUP(G136,'Standard Thresholds'!$A$39:$C$43,2)*(G136-VLOOKUP(G136,'Standard Thresholds'!$A$39:$C$43,1))+VLOOKUP(G136,'Standard Thresholds'!$A$39:$C$43,3),IF(G$13="Non-resident",VLOOKUP(G136,'Standard Thresholds'!$A$47:$C$49,2)*(G136-VLOOKUP(G136,'Standard Thresholds'!$A$47:$C$49,1))+VLOOKUP(G136,'Standard Thresholds'!$A$47:$C$49,3),IF(G$13="Working holiday maker",VLOOKUP(G136,'Standard Thresholds'!$A$53:$C$56,2)*(G136-VLOOKUP(G136,'Standard Thresholds'!$A$53:$C$56,1))+VLOOKUP(G136,'Standard Thresholds'!$A$53:$C$56,3),0))))</f>
        <v>0</v>
      </c>
      <c r="H148" s="2600">
        <f>IF(H136&lt;0,0,IF(H$13="Resident",VLOOKUP(H136,'Standard Thresholds'!$A$39:$C$43,2)*(H136-VLOOKUP(H136,'Standard Thresholds'!$A$39:$C$43,1))+VLOOKUP(H136,'Standard Thresholds'!$A$39:$C$43,3),IF(H$13="Non-resident",VLOOKUP(H136,'Standard Thresholds'!$A$47:$C$49,2)*(H136-VLOOKUP(H136,'Standard Thresholds'!$A$47:$C$49,1))+VLOOKUP(H136,'Standard Thresholds'!$A$47:$C$49,3),IF(H$13="Working holiday maker",VLOOKUP(H136,'Standard Thresholds'!$A$53:$C$56,2)*(H136-VLOOKUP(H136,'Standard Thresholds'!$A$53:$C$56,1))+VLOOKUP(H136,'Standard Thresholds'!$A$53:$C$56,3),0))))</f>
        <v>0</v>
      </c>
      <c r="I148" s="2600">
        <f>IF(I136&lt;0,0,IF(I$13="Resident",VLOOKUP(I136,'Standard Thresholds'!$A$39:$C$43,2)*(I136-VLOOKUP(I136,'Standard Thresholds'!$A$39:$C$43,1))+VLOOKUP(I136,'Standard Thresholds'!$A$39:$C$43,3),IF(I$13="Non-resident",VLOOKUP(I136,'Standard Thresholds'!$A$47:$C$49,2)*(I136-VLOOKUP(I136,'Standard Thresholds'!$A$47:$C$49,1))+VLOOKUP(I136,'Standard Thresholds'!$A$47:$C$49,3),IF(I$13="Working holiday maker",VLOOKUP(I136,'Standard Thresholds'!$A$53:$C$56,2)*(I136-VLOOKUP(I136,'Standard Thresholds'!$A$53:$C$56,1))+VLOOKUP(I136,'Standard Thresholds'!$A$53:$C$56,3),0))))</f>
        <v>0</v>
      </c>
      <c r="J148" s="2600">
        <f>IF(J136&lt;0,0,IF(J$13="Resident",VLOOKUP(J136,'Standard Thresholds'!$A$39:$C$43,2)*(J136-VLOOKUP(J136,'Standard Thresholds'!$A$39:$C$43,1))+VLOOKUP(J136,'Standard Thresholds'!$A$39:$C$43,3),IF(J$13="Non-resident",VLOOKUP(J136,'Standard Thresholds'!$A$47:$C$49,2)*(J136-VLOOKUP(J136,'Standard Thresholds'!$A$47:$C$49,1))+VLOOKUP(J136,'Standard Thresholds'!$A$47:$C$49,3),IF(J$13="Working holiday maker",VLOOKUP(J136,'Standard Thresholds'!$A$53:$C$56,2)*(J136-VLOOKUP(J136,'Standard Thresholds'!$A$53:$C$56,1))+VLOOKUP(J136,'Standard Thresholds'!$A$53:$C$56,3),0))))</f>
        <v>0</v>
      </c>
      <c r="K148" s="2600">
        <f>IF(K136&lt;0,0,IF(K$13="Resident",VLOOKUP(K136,'Standard Thresholds'!$A$39:$C$43,2)*(K136-VLOOKUP(K136,'Standard Thresholds'!$A$39:$C$43,1))+VLOOKUP(K136,'Standard Thresholds'!$A$39:$C$43,3),IF(K$13="Non-resident",VLOOKUP(K136,'Standard Thresholds'!$A$47:$C$49,2)*(K136-VLOOKUP(K136,'Standard Thresholds'!$A$47:$C$49,1))+VLOOKUP(K136,'Standard Thresholds'!$A$47:$C$49,3),IF(K$13="Working holiday maker",VLOOKUP(K136,'Standard Thresholds'!$A$53:$C$56,2)*(K136-VLOOKUP(K136,'Standard Thresholds'!$A$53:$C$56,1))+VLOOKUP(K136,'Standard Thresholds'!$A$53:$C$56,3),0))))</f>
        <v>0</v>
      </c>
      <c r="L148" s="3191"/>
      <c r="M148" s="3191"/>
      <c r="N148" s="3191"/>
      <c r="O148" s="3191"/>
      <c r="P148" s="3191"/>
      <c r="Q148" s="3194"/>
      <c r="R148" s="3194"/>
      <c r="S148" s="3194"/>
      <c r="T148" s="3194"/>
      <c r="U148" s="3193"/>
      <c r="V148" s="3194"/>
      <c r="W148" s="3194"/>
      <c r="X148" s="3195"/>
      <c r="Y148" s="3191"/>
      <c r="Z148" s="3191"/>
      <c r="AA148" s="3191"/>
      <c r="AB148" s="3191"/>
      <c r="AC148" s="3278"/>
      <c r="AD148" s="3191"/>
    </row>
    <row r="149" spans="1:30" hidden="1">
      <c r="A149" s="2594" t="s">
        <v>1586</v>
      </c>
      <c r="B149" s="2600">
        <f>B148-B147</f>
        <v>0</v>
      </c>
      <c r="C149" s="2600">
        <f t="shared" ref="C149:K149" si="36">C148-C147</f>
        <v>0</v>
      </c>
      <c r="D149" s="2600">
        <f t="shared" si="36"/>
        <v>0</v>
      </c>
      <c r="E149" s="2600">
        <f t="shared" si="36"/>
        <v>0</v>
      </c>
      <c r="F149" s="2600">
        <f t="shared" si="36"/>
        <v>0</v>
      </c>
      <c r="G149" s="2600">
        <f t="shared" si="36"/>
        <v>0</v>
      </c>
      <c r="H149" s="2600">
        <f t="shared" si="36"/>
        <v>0</v>
      </c>
      <c r="I149" s="2600">
        <f t="shared" si="36"/>
        <v>0</v>
      </c>
      <c r="J149" s="2600">
        <f t="shared" si="36"/>
        <v>0</v>
      </c>
      <c r="K149" s="2600">
        <f t="shared" si="36"/>
        <v>0</v>
      </c>
      <c r="L149" s="3191"/>
      <c r="M149" s="3191"/>
      <c r="N149" s="3191"/>
      <c r="O149" s="3191"/>
      <c r="P149" s="3191"/>
      <c r="Q149" s="3194"/>
      <c r="R149" s="3194"/>
      <c r="S149" s="3194"/>
      <c r="T149" s="3194"/>
      <c r="U149" s="3193"/>
      <c r="V149" s="3194"/>
      <c r="W149" s="3194"/>
      <c r="X149" s="3195"/>
      <c r="Y149" s="3191"/>
      <c r="Z149" s="3191"/>
      <c r="AA149" s="3191"/>
      <c r="AB149" s="3191"/>
      <c r="AC149" s="3278"/>
      <c r="AD149" s="3191"/>
    </row>
    <row r="150" spans="1:30" ht="25.5" hidden="1">
      <c r="A150" s="3140" t="s">
        <v>2375</v>
      </c>
      <c r="B150" s="2600">
        <f>IF(OR(B136=0,B138=0),0,(B148-B147)*(B145/B136))</f>
        <v>0</v>
      </c>
      <c r="C150" s="2600">
        <f t="shared" ref="C150:K150" si="37">IF(OR(C136=0,C138=0),0,(C148-C147)*(C145/C136))</f>
        <v>0</v>
      </c>
      <c r="D150" s="2600">
        <f t="shared" si="37"/>
        <v>0</v>
      </c>
      <c r="E150" s="2600">
        <f t="shared" si="37"/>
        <v>0</v>
      </c>
      <c r="F150" s="2600">
        <f t="shared" si="37"/>
        <v>0</v>
      </c>
      <c r="G150" s="2600">
        <f t="shared" si="37"/>
        <v>0</v>
      </c>
      <c r="H150" s="2600">
        <f t="shared" si="37"/>
        <v>0</v>
      </c>
      <c r="I150" s="2600">
        <f t="shared" si="37"/>
        <v>0</v>
      </c>
      <c r="J150" s="2600">
        <f t="shared" si="37"/>
        <v>0</v>
      </c>
      <c r="K150" s="2600">
        <f t="shared" si="37"/>
        <v>0</v>
      </c>
      <c r="L150" s="3191"/>
      <c r="M150" s="3191"/>
      <c r="N150" s="3191"/>
      <c r="O150" s="3191"/>
      <c r="P150" s="3191"/>
      <c r="Q150" s="3194"/>
      <c r="R150" s="3194"/>
      <c r="S150" s="3194"/>
      <c r="T150" s="3194"/>
      <c r="U150" s="3193"/>
      <c r="V150" s="3194"/>
      <c r="W150" s="3194"/>
      <c r="X150" s="3195"/>
      <c r="Y150" s="3191"/>
      <c r="Z150" s="3191"/>
      <c r="AA150" s="3191"/>
      <c r="AB150" s="3191"/>
      <c r="AC150" s="3278"/>
      <c r="AD150" s="3191"/>
    </row>
    <row r="151" spans="1:30" hidden="1">
      <c r="A151" s="2581"/>
      <c r="B151" s="2589"/>
      <c r="C151" s="2578"/>
      <c r="D151" s="2578"/>
      <c r="E151" s="2578"/>
      <c r="F151" s="2578"/>
      <c r="G151" s="2578"/>
      <c r="H151" s="2578"/>
      <c r="I151" s="2578"/>
      <c r="J151" s="2578"/>
      <c r="K151" s="2578"/>
      <c r="AC151" s="3280"/>
    </row>
    <row r="152" spans="1:30" collapsed="1">
      <c r="A152" s="2581" t="s">
        <v>126</v>
      </c>
      <c r="B152" s="2576"/>
      <c r="C152" s="2576"/>
      <c r="D152" s="2576"/>
      <c r="E152" s="2576"/>
      <c r="F152" s="2576"/>
      <c r="G152" s="2576"/>
      <c r="H152" s="2576"/>
      <c r="I152" s="2576"/>
      <c r="J152" s="2576"/>
      <c r="K152" s="2576"/>
      <c r="L152" s="2576"/>
      <c r="M152" s="2576"/>
      <c r="N152" s="2576"/>
      <c r="O152" s="2576"/>
      <c r="P152" s="2576"/>
      <c r="Q152" s="2576"/>
      <c r="R152" s="2576"/>
      <c r="S152" s="2576"/>
      <c r="T152" s="2576"/>
      <c r="AC152" s="3278">
        <f t="shared" si="14"/>
        <v>0</v>
      </c>
    </row>
    <row r="153" spans="1:30">
      <c r="A153" s="2581" t="s">
        <v>2376</v>
      </c>
      <c r="B153" s="2576"/>
      <c r="C153" s="2576"/>
      <c r="D153" s="2576"/>
      <c r="E153" s="2576"/>
      <c r="F153" s="2576"/>
      <c r="G153" s="2576"/>
      <c r="H153" s="2576"/>
      <c r="I153" s="2576"/>
      <c r="J153" s="2576"/>
      <c r="K153" s="2576"/>
      <c r="L153" s="2576"/>
      <c r="M153" s="2576"/>
      <c r="N153" s="2576"/>
      <c r="O153" s="2576"/>
      <c r="P153" s="2576"/>
      <c r="Q153" s="2576"/>
      <c r="R153" s="2576"/>
      <c r="S153" s="2576"/>
      <c r="T153" s="2576"/>
      <c r="AC153" s="3278">
        <f t="shared" si="14"/>
        <v>0</v>
      </c>
    </row>
    <row r="154" spans="1:30">
      <c r="A154" s="2581"/>
      <c r="B154" s="2577"/>
      <c r="C154" s="2577"/>
      <c r="D154" s="2577"/>
      <c r="E154" s="2577"/>
      <c r="F154" s="2577"/>
      <c r="G154" s="2577"/>
      <c r="H154" s="2577"/>
      <c r="I154" s="2577"/>
      <c r="J154" s="2577"/>
      <c r="K154" s="2577"/>
      <c r="L154" s="3131"/>
      <c r="M154" s="3131"/>
      <c r="N154" s="3131"/>
      <c r="O154" s="3131"/>
      <c r="P154" s="3131"/>
      <c r="Q154" s="3124"/>
      <c r="R154" s="3124"/>
      <c r="S154" s="3124"/>
      <c r="T154" s="3124"/>
      <c r="AC154" s="3191"/>
    </row>
    <row r="155" spans="1:30">
      <c r="A155" s="2560" t="s">
        <v>2377</v>
      </c>
      <c r="B155" s="3122">
        <f>MAX(B98-SUM(B105:B106,B128:B129,B152:B153),0)</f>
        <v>0</v>
      </c>
      <c r="C155" s="3122">
        <f t="shared" ref="C155:K155" si="38">MAX(C98-SUM(C105:C106,C128:C129,C152:C153),0)</f>
        <v>0</v>
      </c>
      <c r="D155" s="3122">
        <f t="shared" si="38"/>
        <v>0</v>
      </c>
      <c r="E155" s="3122">
        <f t="shared" si="38"/>
        <v>0</v>
      </c>
      <c r="F155" s="3122">
        <f t="shared" si="38"/>
        <v>0</v>
      </c>
      <c r="G155" s="3122">
        <f t="shared" si="38"/>
        <v>0</v>
      </c>
      <c r="H155" s="3122">
        <f t="shared" si="38"/>
        <v>0</v>
      </c>
      <c r="I155" s="3122">
        <f t="shared" si="38"/>
        <v>0</v>
      </c>
      <c r="J155" s="3122">
        <f t="shared" si="38"/>
        <v>0</v>
      </c>
      <c r="K155" s="3122">
        <f t="shared" si="38"/>
        <v>0</v>
      </c>
      <c r="L155" s="3122">
        <f t="shared" ref="L155:T155" si="39">MAX(L98-SUM(L152:L153),0)</f>
        <v>0</v>
      </c>
      <c r="M155" s="3122">
        <f t="shared" si="39"/>
        <v>0</v>
      </c>
      <c r="N155" s="3122">
        <f t="shared" si="39"/>
        <v>0</v>
      </c>
      <c r="O155" s="3122">
        <f t="shared" si="39"/>
        <v>0</v>
      </c>
      <c r="P155" s="3122">
        <f t="shared" si="39"/>
        <v>0</v>
      </c>
      <c r="Q155" s="3122">
        <f t="shared" si="39"/>
        <v>0</v>
      </c>
      <c r="R155" s="3122">
        <f t="shared" si="39"/>
        <v>0</v>
      </c>
      <c r="S155" s="3122">
        <f t="shared" si="39"/>
        <v>0</v>
      </c>
      <c r="T155" s="3122">
        <f t="shared" si="39"/>
        <v>0</v>
      </c>
      <c r="AC155" s="3191"/>
    </row>
    <row r="156" spans="1:30">
      <c r="A156" s="2560"/>
      <c r="B156" s="2577"/>
      <c r="C156" s="2577"/>
      <c r="D156" s="2577"/>
      <c r="E156" s="2577"/>
      <c r="F156" s="2577"/>
      <c r="G156" s="2577"/>
      <c r="H156" s="2577"/>
      <c r="I156" s="2577"/>
      <c r="J156" s="2577"/>
      <c r="K156" s="2577"/>
      <c r="L156" s="2577"/>
      <c r="M156" s="2577"/>
      <c r="N156" s="2577"/>
      <c r="O156" s="2577"/>
      <c r="P156" s="2577"/>
      <c r="Q156" s="2577"/>
      <c r="R156" s="2577"/>
      <c r="S156" s="2577"/>
      <c r="T156" s="2577"/>
      <c r="AC156" s="3191"/>
    </row>
    <row r="157" spans="1:30" s="2560" customFormat="1">
      <c r="A157" s="2560" t="s">
        <v>2457</v>
      </c>
      <c r="B157" s="3132">
        <f>SUM(B158:B159,B186,B190:B191)</f>
        <v>0</v>
      </c>
      <c r="C157" s="3132">
        <f t="shared" ref="C157:T157" si="40">SUM(C158:C159,C186,C190:C191)</f>
        <v>0</v>
      </c>
      <c r="D157" s="3132">
        <f t="shared" si="40"/>
        <v>0</v>
      </c>
      <c r="E157" s="3132">
        <f t="shared" si="40"/>
        <v>0</v>
      </c>
      <c r="F157" s="3132">
        <f t="shared" si="40"/>
        <v>0</v>
      </c>
      <c r="G157" s="3132">
        <f t="shared" si="40"/>
        <v>0</v>
      </c>
      <c r="H157" s="3132">
        <f t="shared" si="40"/>
        <v>0</v>
      </c>
      <c r="I157" s="3132">
        <f t="shared" si="40"/>
        <v>0</v>
      </c>
      <c r="J157" s="3132">
        <f t="shared" si="40"/>
        <v>0</v>
      </c>
      <c r="K157" s="3132">
        <f t="shared" si="40"/>
        <v>0</v>
      </c>
      <c r="L157" s="3132">
        <f t="shared" si="40"/>
        <v>0</v>
      </c>
      <c r="M157" s="3132">
        <f t="shared" si="40"/>
        <v>0</v>
      </c>
      <c r="N157" s="3132">
        <f t="shared" si="40"/>
        <v>0</v>
      </c>
      <c r="O157" s="3132">
        <f t="shared" si="40"/>
        <v>0</v>
      </c>
      <c r="P157" s="3132">
        <f t="shared" si="40"/>
        <v>0</v>
      </c>
      <c r="Q157" s="3132">
        <f t="shared" si="40"/>
        <v>0</v>
      </c>
      <c r="R157" s="3132">
        <f t="shared" si="40"/>
        <v>0</v>
      </c>
      <c r="S157" s="3132">
        <f t="shared" si="40"/>
        <v>0</v>
      </c>
      <c r="T157" s="3132">
        <f t="shared" si="40"/>
        <v>0</v>
      </c>
      <c r="U157" s="3121"/>
      <c r="V157" s="2604"/>
      <c r="W157" s="2604"/>
      <c r="X157" s="2605"/>
      <c r="AC157" s="3192"/>
    </row>
    <row r="158" spans="1:30">
      <c r="A158" s="2581" t="s">
        <v>2254</v>
      </c>
      <c r="B158" s="3122">
        <f>IF(B161="Yes",0,IF(B162="Single",IF(B177&lt;=B165,0,IF(B177&lt;=B166,(B177-B165)*'Standard Thresholds'!$B$101,B177*'Standard Thresholds'!$B$100)),IF(B162="Family",IF(OR(B178&lt;=B167,B177&lt;B165),0,IF(AND(B178&lt;=B168,B170=0,B175=0),(B178-B167)*(B177/B178)*'Standard Thresholds'!$B$101,B173-MAX(B170,B175))))))</f>
        <v>0</v>
      </c>
      <c r="C158" s="3122">
        <f>IF(C161="Yes",0,IF(C162="Single",IF(C177&lt;=C165,0,IF(C177&lt;=C166,(C177-C165)*'Standard Thresholds'!$B$101,C177*'Standard Thresholds'!$B$100)),IF(C162="Family",IF(OR(C178&lt;=C167,C177&lt;C165),0,IF(AND(C178&lt;=C168,C170=0,C175=0),(C178-C167)*(C177/C178)*'Standard Thresholds'!$B$101,C173-MAX(C170,C175))))))</f>
        <v>0</v>
      </c>
      <c r="D158" s="3122">
        <f>IF(D161="Yes",0,IF(D162="Single",IF(D177&lt;=D165,0,IF(D177&lt;=D166,(D177-D165)*'Standard Thresholds'!$B$101,D177*'Standard Thresholds'!$B$100)),IF(D162="Family",IF(OR(D178&lt;=D167,D177&lt;D165),0,IF(AND(D178&lt;=D168,D170=0,D175=0),(D178-D167)*(D177/D178)*'Standard Thresholds'!$B$101,D173-MAX(D170,D175))))))</f>
        <v>0</v>
      </c>
      <c r="E158" s="3122">
        <f>IF(E161="Yes",0,IF(E162="Single",IF(E177&lt;=E165,0,IF(E177&lt;=E166,(E177-E165)*'Standard Thresholds'!$B$101,E177*'Standard Thresholds'!$B$100)),IF(E162="Family",IF(OR(E178&lt;=E167,E177&lt;E165),0,IF(AND(E178&lt;=E168,E170=0,E175=0),(E178-E167)*(E177/E178)*'Standard Thresholds'!$B$101,E173-MAX(E170,E175))))))</f>
        <v>0</v>
      </c>
      <c r="F158" s="3122">
        <f>IF(F161="Yes",0,IF(F162="Single",IF(F177&lt;=F165,0,IF(F177&lt;=F166,(F177-F165)*'Standard Thresholds'!$B$101,F177*'Standard Thresholds'!$B$100)),IF(F162="Family",IF(OR(F178&lt;=F167,F177&lt;F165),0,IF(AND(F178&lt;=F168,F170=0,F175=0),(F178-F167)*(F177/F178)*'Standard Thresholds'!$B$101,F173-MAX(F170,F175))))))</f>
        <v>0</v>
      </c>
      <c r="G158" s="3122">
        <f>IF(G161="Yes",0,IF(G162="Single",IF(G177&lt;=G165,0,IF(G177&lt;=G166,(G177-G165)*'Standard Thresholds'!$B$101,G177*'Standard Thresholds'!$B$100)),IF(G162="Family",IF(OR(G178&lt;=G167,G177&lt;G165),0,IF(AND(G178&lt;=G168,G170=0,G175=0),(G178-G167)*(G177/G178)*'Standard Thresholds'!$B$101,G173-MAX(G170,G175))))))</f>
        <v>0</v>
      </c>
      <c r="H158" s="3122">
        <f>IF(H161="Yes",0,IF(H162="Single",IF(H177&lt;=H165,0,IF(H177&lt;=H166,(H177-H165)*'Standard Thresholds'!$B$101,H177*'Standard Thresholds'!$B$100)),IF(H162="Family",IF(OR(H178&lt;=H167,H177&lt;H165),0,IF(AND(H178&lt;=H168,H170=0,H175=0),(H178-H167)*(H177/H178)*'Standard Thresholds'!$B$101,H173-MAX(H170,H175))))))</f>
        <v>0</v>
      </c>
      <c r="I158" s="3122">
        <f>IF(I161="Yes",0,IF(I162="Single",IF(I177&lt;=I165,0,IF(I177&lt;=I166,(I177-I165)*'Standard Thresholds'!$B$101,I177*'Standard Thresholds'!$B$100)),IF(I162="Family",IF(OR(I178&lt;=I167,I177&lt;I165),0,IF(AND(I178&lt;=I168,I170=0,I175=0),(I178-I167)*(I177/I178)*'Standard Thresholds'!$B$101,I173-MAX(I170,I175))))))</f>
        <v>0</v>
      </c>
      <c r="J158" s="3122">
        <f>IF(J161="Yes",0,IF(J162="Single",IF(J177&lt;=J165,0,IF(J177&lt;=J166,(J177-J165)*'Standard Thresholds'!$B$101,J177*'Standard Thresholds'!$B$100)),IF(J162="Family",IF(OR(J178&lt;=J167,J177&lt;J165),0,IF(AND(J178&lt;=J168,J170=0,J175=0),(J178-J167)*(J177/J178)*'Standard Thresholds'!$B$101,J173-MAX(J170,J175))))))</f>
        <v>0</v>
      </c>
      <c r="K158" s="3122">
        <f>IF(K161="Yes",0,IF(K162="Single",IF(K177&lt;=K165,0,IF(K177&lt;=K166,(K177-K165)*'Standard Thresholds'!$B$101,K177*'Standard Thresholds'!$B$100)),IF(K162="Family",IF(OR(K178&lt;=K167,K177&lt;K165),0,IF(AND(K178&lt;=K168,K170=0,K175=0),(K178-K167)*(K177/K178)*'Standard Thresholds'!$B$101,K173-MAX(K170,K175))))))</f>
        <v>0</v>
      </c>
      <c r="L158" s="3131"/>
      <c r="M158" s="3131"/>
      <c r="N158" s="3131"/>
      <c r="O158" s="3131"/>
      <c r="P158" s="3131"/>
      <c r="Q158" s="3122">
        <f>IF(Q161="Yes",0,IF(Q162="Single",IF(Q177&lt;=Q165,0,IF(Q177&lt;=Q166,(Q177-Q165)*'Standard Thresholds'!$B$101,Q177*'Standard Thresholds'!$B$100)),IF(Q162="Family",IF(OR(Q178&lt;=Q167,Q177&lt;Q165),0,IF(AND(Q178&lt;=Q168,Q170=0,Q175=0),(Q178-Q167)*(Q177/Q178)*'Standard Thresholds'!$B$101,Q173-MAX(Q170,Q175))))))</f>
        <v>0</v>
      </c>
      <c r="R158" s="3122">
        <f>IF(R161="Yes",0,IF(R162="Single",IF(R177&lt;=R165,0,IF(R177&lt;=R166,(R177-R165)*'Standard Thresholds'!$B$101,R177*'Standard Thresholds'!$B$100)),IF(R162="Family",IF(OR(R178&lt;=R167,R177&lt;R165),0,IF(AND(R178&lt;=R168,R170=0,R175=0),(R178-R167)*(R177/R178)*'Standard Thresholds'!$B$101,R173-MAX(R170,R175))))))</f>
        <v>0</v>
      </c>
      <c r="S158" s="3122">
        <f>IF(S161="Yes",0,IF(S162="Single",IF(S177&lt;=S165,0,IF(S177&lt;=S166,(S177-S165)*'Standard Thresholds'!$B$101,S177*'Standard Thresholds'!$B$100)),IF(S162="Family",IF(OR(S178&lt;=S167,S177&lt;S165),0,IF(AND(S178&lt;=S168,S170=0,S175=0),(S178-S167)*(S177/S178)*'Standard Thresholds'!$B$101,S173-MAX(S170,S175))))))</f>
        <v>0</v>
      </c>
      <c r="T158" s="3122">
        <f>IF(T161="Yes",0,IF(T162="Single",IF(T177&lt;=T165,0,IF(T177&lt;=T166,(T177-T165)*'Standard Thresholds'!$B$101,T177*'Standard Thresholds'!$B$100)),IF(T162="Family",IF(OR(T178&lt;=T167,T177&lt;T165),0,IF(AND(T178&lt;=T168,T170=0,T175=0),(T178-T167)*(T177/T178)*'Standard Thresholds'!$B$101,T173-MAX(T170,T175))))))</f>
        <v>0</v>
      </c>
      <c r="AC158" s="3278">
        <f t="shared" ref="AC158:AC191" si="41">SUM(B158:T158)</f>
        <v>0</v>
      </c>
    </row>
    <row r="159" spans="1:30">
      <c r="A159" s="2581" t="s">
        <v>2378</v>
      </c>
      <c r="B159" s="3122">
        <f>IF(B161="Yes",0,B184)</f>
        <v>0</v>
      </c>
      <c r="C159" s="3122">
        <f t="shared" ref="C159:K159" si="42">IF(C161="Yes",0,C184)</f>
        <v>0</v>
      </c>
      <c r="D159" s="3122">
        <f t="shared" si="42"/>
        <v>0</v>
      </c>
      <c r="E159" s="3122">
        <f t="shared" si="42"/>
        <v>0</v>
      </c>
      <c r="F159" s="3122">
        <f t="shared" si="42"/>
        <v>0</v>
      </c>
      <c r="G159" s="3122">
        <f t="shared" si="42"/>
        <v>0</v>
      </c>
      <c r="H159" s="3122">
        <f t="shared" si="42"/>
        <v>0</v>
      </c>
      <c r="I159" s="3122">
        <f t="shared" si="42"/>
        <v>0</v>
      </c>
      <c r="J159" s="3122">
        <f t="shared" si="42"/>
        <v>0</v>
      </c>
      <c r="K159" s="3122">
        <f t="shared" si="42"/>
        <v>0</v>
      </c>
      <c r="L159" s="3131"/>
      <c r="M159" s="3131"/>
      <c r="N159" s="3131"/>
      <c r="O159" s="3131"/>
      <c r="P159" s="3131"/>
      <c r="Q159" s="3122">
        <f>IF(Q161="Yes",0,Q184)</f>
        <v>0</v>
      </c>
      <c r="R159" s="3122">
        <f>IF(R161="Yes",0,R184)</f>
        <v>0</v>
      </c>
      <c r="S159" s="3122">
        <f>IF(S161="Yes",0,S184)</f>
        <v>0</v>
      </c>
      <c r="T159" s="3122">
        <f>IF(T161="Yes",0,T184)</f>
        <v>0</v>
      </c>
      <c r="AC159" s="3278">
        <f t="shared" si="41"/>
        <v>0</v>
      </c>
    </row>
    <row r="160" spans="1:30" hidden="1">
      <c r="A160" s="2581"/>
      <c r="B160" s="2578"/>
      <c r="C160" s="2578"/>
      <c r="D160" s="2578"/>
      <c r="E160" s="2578"/>
      <c r="F160" s="2578"/>
      <c r="G160" s="2578"/>
      <c r="H160" s="2578"/>
      <c r="I160" s="2578"/>
      <c r="J160" s="2578"/>
      <c r="K160" s="2578"/>
      <c r="Q160" s="2578"/>
      <c r="R160" s="2578"/>
      <c r="S160" s="2578"/>
      <c r="T160" s="2578"/>
      <c r="AC160" s="3280"/>
    </row>
    <row r="161" spans="1:35" hidden="1">
      <c r="A161" s="2594" t="s">
        <v>2379</v>
      </c>
      <c r="B161" s="2597" t="str">
        <f t="shared" ref="B161:K161" si="43">IF(OR(B13="Non-Resident",B19="Yes"),"Yes","No")</f>
        <v>No</v>
      </c>
      <c r="C161" s="2597" t="str">
        <f t="shared" si="43"/>
        <v>No</v>
      </c>
      <c r="D161" s="2597" t="str">
        <f t="shared" si="43"/>
        <v>No</v>
      </c>
      <c r="E161" s="2597" t="str">
        <f t="shared" si="43"/>
        <v>No</v>
      </c>
      <c r="F161" s="2597" t="str">
        <f t="shared" si="43"/>
        <v>No</v>
      </c>
      <c r="G161" s="2597" t="str">
        <f t="shared" si="43"/>
        <v>No</v>
      </c>
      <c r="H161" s="2597" t="str">
        <f t="shared" si="43"/>
        <v>No</v>
      </c>
      <c r="I161" s="2597" t="str">
        <f t="shared" si="43"/>
        <v>No</v>
      </c>
      <c r="J161" s="2597" t="str">
        <f t="shared" si="43"/>
        <v>No</v>
      </c>
      <c r="K161" s="2597" t="str">
        <f t="shared" si="43"/>
        <v>No</v>
      </c>
      <c r="Q161" s="2597" t="str">
        <f>IF(OR(Q13="Non-Resident",Q19="Yes"),"Yes","No")</f>
        <v>No</v>
      </c>
      <c r="R161" s="2597" t="str">
        <f>IF(OR(R13="Non-Resident",R19="Yes"),"Yes","No")</f>
        <v>No</v>
      </c>
      <c r="S161" s="2597" t="str">
        <f>IF(OR(S13="Non-Resident",S19="Yes"),"Yes","No")</f>
        <v>No</v>
      </c>
      <c r="T161" s="2597" t="str">
        <f>IF(OR(T13="Non-Resident",T19="Yes"),"Yes","No")</f>
        <v>No</v>
      </c>
      <c r="AC161" s="3280"/>
    </row>
    <row r="162" spans="1:35" hidden="1">
      <c r="A162" s="2594" t="s">
        <v>2358</v>
      </c>
      <c r="B162" s="2597" t="str">
        <f t="shared" ref="B162:K162" si="44">IF(AND(OR(ISBLANK(B17),B17=B12),B18&lt;1),"Single","Family")</f>
        <v>Single</v>
      </c>
      <c r="C162" s="2597" t="str">
        <f t="shared" si="44"/>
        <v>Single</v>
      </c>
      <c r="D162" s="2597" t="str">
        <f t="shared" si="44"/>
        <v>Single</v>
      </c>
      <c r="E162" s="2597" t="str">
        <f t="shared" si="44"/>
        <v>Single</v>
      </c>
      <c r="F162" s="2597" t="str">
        <f t="shared" si="44"/>
        <v>Single</v>
      </c>
      <c r="G162" s="2597" t="str">
        <f t="shared" si="44"/>
        <v>Single</v>
      </c>
      <c r="H162" s="2597" t="str">
        <f t="shared" si="44"/>
        <v>Single</v>
      </c>
      <c r="I162" s="2597" t="str">
        <f t="shared" si="44"/>
        <v>Single</v>
      </c>
      <c r="J162" s="2597" t="str">
        <f t="shared" si="44"/>
        <v>Single</v>
      </c>
      <c r="K162" s="2597" t="str">
        <f t="shared" si="44"/>
        <v>Single</v>
      </c>
      <c r="Q162" s="2597" t="s">
        <v>1771</v>
      </c>
      <c r="R162" s="2597" t="s">
        <v>1771</v>
      </c>
      <c r="S162" s="2597" t="s">
        <v>1771</v>
      </c>
      <c r="T162" s="2597" t="s">
        <v>1771</v>
      </c>
      <c r="AC162" s="3280"/>
      <c r="AH162" s="2558">
        <v>108</v>
      </c>
      <c r="AI162" s="2558">
        <v>132</v>
      </c>
    </row>
    <row r="163" spans="1:35" hidden="1">
      <c r="A163" s="2594" t="s">
        <v>2308</v>
      </c>
      <c r="B163" s="2600">
        <f t="shared" ref="B163:K163" si="45">B18</f>
        <v>0</v>
      </c>
      <c r="C163" s="2600">
        <f t="shared" si="45"/>
        <v>0</v>
      </c>
      <c r="D163" s="2600">
        <f t="shared" si="45"/>
        <v>0</v>
      </c>
      <c r="E163" s="2600">
        <f t="shared" si="45"/>
        <v>0</v>
      </c>
      <c r="F163" s="2600">
        <f t="shared" si="45"/>
        <v>0</v>
      </c>
      <c r="G163" s="2600">
        <f t="shared" si="45"/>
        <v>0</v>
      </c>
      <c r="H163" s="2600">
        <f t="shared" si="45"/>
        <v>0</v>
      </c>
      <c r="I163" s="2600">
        <f t="shared" si="45"/>
        <v>0</v>
      </c>
      <c r="J163" s="2600">
        <f t="shared" si="45"/>
        <v>0</v>
      </c>
      <c r="K163" s="2600">
        <f t="shared" si="45"/>
        <v>0</v>
      </c>
      <c r="Q163" s="2600"/>
      <c r="R163" s="2600"/>
      <c r="S163" s="2600"/>
      <c r="T163" s="2600"/>
      <c r="AC163" s="3280"/>
    </row>
    <row r="164" spans="1:35" hidden="1">
      <c r="A164" s="2594" t="s">
        <v>2380</v>
      </c>
      <c r="B164" s="2597" t="str">
        <f t="shared" ref="B164:K164" si="46">IF(B20="Yes","Yes","No")</f>
        <v>No</v>
      </c>
      <c r="C164" s="2597" t="str">
        <f t="shared" si="46"/>
        <v>No</v>
      </c>
      <c r="D164" s="2597" t="str">
        <f t="shared" si="46"/>
        <v>No</v>
      </c>
      <c r="E164" s="2597" t="str">
        <f t="shared" si="46"/>
        <v>No</v>
      </c>
      <c r="F164" s="2597" t="str">
        <f t="shared" si="46"/>
        <v>No</v>
      </c>
      <c r="G164" s="2597" t="str">
        <f t="shared" si="46"/>
        <v>No</v>
      </c>
      <c r="H164" s="2597" t="str">
        <f t="shared" si="46"/>
        <v>No</v>
      </c>
      <c r="I164" s="2597" t="str">
        <f t="shared" si="46"/>
        <v>No</v>
      </c>
      <c r="J164" s="2597" t="str">
        <f t="shared" si="46"/>
        <v>No</v>
      </c>
      <c r="K164" s="2597" t="str">
        <f t="shared" si="46"/>
        <v>No</v>
      </c>
      <c r="Q164" s="2597" t="s">
        <v>441</v>
      </c>
      <c r="R164" s="2597" t="s">
        <v>441</v>
      </c>
      <c r="S164" s="2597" t="s">
        <v>441</v>
      </c>
      <c r="T164" s="2597" t="s">
        <v>441</v>
      </c>
      <c r="AC164" s="3280"/>
    </row>
    <row r="165" spans="1:35" hidden="1">
      <c r="A165" s="2594" t="s">
        <v>2381</v>
      </c>
      <c r="B165" s="2600">
        <f>IF(B$164="No",'Standard Thresholds'!$B$107,'Standard Thresholds'!$D$107)</f>
        <v>26000</v>
      </c>
      <c r="C165" s="2600">
        <f>IF(C$164="No",'Standard Thresholds'!$B$107,'Standard Thresholds'!$D$107)</f>
        <v>26000</v>
      </c>
      <c r="D165" s="2600">
        <f>IF(D$164="No",'Standard Thresholds'!$B$107,'Standard Thresholds'!$D$107)</f>
        <v>26000</v>
      </c>
      <c r="E165" s="2600">
        <f>IF(E$164="No",'Standard Thresholds'!$B$107,'Standard Thresholds'!$D$107)</f>
        <v>26000</v>
      </c>
      <c r="F165" s="2600">
        <f>IF(F$164="No",'Standard Thresholds'!$B$107,'Standard Thresholds'!$D$107)</f>
        <v>26000</v>
      </c>
      <c r="G165" s="2600">
        <f>IF(G$164="No",'Standard Thresholds'!$B$107,'Standard Thresholds'!$D$107)</f>
        <v>26000</v>
      </c>
      <c r="H165" s="2600">
        <f>IF(H$164="No",'Standard Thresholds'!$B$107,'Standard Thresholds'!$D$107)</f>
        <v>26000</v>
      </c>
      <c r="I165" s="2600">
        <f>IF(I$164="No",'Standard Thresholds'!$B$107,'Standard Thresholds'!$D$107)</f>
        <v>26000</v>
      </c>
      <c r="J165" s="2600">
        <f>IF(J$164="No",'Standard Thresholds'!$B$107,'Standard Thresholds'!$D$107)</f>
        <v>26000</v>
      </c>
      <c r="K165" s="2600">
        <f>IF(K$164="No",'Standard Thresholds'!$B$107,'Standard Thresholds'!$D$107)</f>
        <v>26000</v>
      </c>
      <c r="Q165" s="2600">
        <f>IF(Q$164="No",'Standard Thresholds'!$B$107,'Standard Thresholds'!$D$107)</f>
        <v>26000</v>
      </c>
      <c r="R165" s="2600">
        <f>IF(R$164="No",'Standard Thresholds'!$B$107,'Standard Thresholds'!$D$107)</f>
        <v>26000</v>
      </c>
      <c r="S165" s="2600">
        <f>IF(S$164="No",'Standard Thresholds'!$B$107,'Standard Thresholds'!$D$107)</f>
        <v>26000</v>
      </c>
      <c r="T165" s="2600">
        <f>IF(T$164="No",'Standard Thresholds'!$B$107,'Standard Thresholds'!$D$107)</f>
        <v>26000</v>
      </c>
      <c r="AC165" s="3278"/>
    </row>
    <row r="166" spans="1:35" hidden="1">
      <c r="A166" s="2594" t="s">
        <v>2382</v>
      </c>
      <c r="B166" s="2600">
        <f>IF(B$164="No",'Standard Thresholds'!$C$107,'Standard Thresholds'!$E$107)</f>
        <v>32501</v>
      </c>
      <c r="C166" s="2600">
        <f>IF(C$164="No",'Standard Thresholds'!$C$107,'Standard Thresholds'!$E$107)</f>
        <v>32501</v>
      </c>
      <c r="D166" s="2600">
        <f>IF(D$164="No",'Standard Thresholds'!$C$107,'Standard Thresholds'!$E$107)</f>
        <v>32501</v>
      </c>
      <c r="E166" s="2600">
        <f>IF(E$164="No",'Standard Thresholds'!$C$107,'Standard Thresholds'!$E$107)</f>
        <v>32501</v>
      </c>
      <c r="F166" s="2600">
        <f>IF(F$164="No",'Standard Thresholds'!$C$107,'Standard Thresholds'!$E$107)</f>
        <v>32501</v>
      </c>
      <c r="G166" s="2600">
        <f>IF(G$164="No",'Standard Thresholds'!$C$107,'Standard Thresholds'!$E$107)</f>
        <v>32501</v>
      </c>
      <c r="H166" s="2600">
        <f>IF(H$164="No",'Standard Thresholds'!$C$107,'Standard Thresholds'!$E$107)</f>
        <v>32501</v>
      </c>
      <c r="I166" s="2600">
        <f>IF(I$164="No",'Standard Thresholds'!$C$107,'Standard Thresholds'!$E$107)</f>
        <v>32501</v>
      </c>
      <c r="J166" s="2600">
        <f>IF(J$164="No",'Standard Thresholds'!$C$107,'Standard Thresholds'!$E$107)</f>
        <v>32501</v>
      </c>
      <c r="K166" s="2600">
        <f>IF(K$164="No",'Standard Thresholds'!$C$107,'Standard Thresholds'!$E$107)</f>
        <v>32501</v>
      </c>
      <c r="Q166" s="2600">
        <f>IF(Q$164="No",'Standard Thresholds'!$C$107,'Standard Thresholds'!$E$107)</f>
        <v>32501</v>
      </c>
      <c r="R166" s="2600">
        <f>IF(R$164="No",'Standard Thresholds'!$C$107,'Standard Thresholds'!$E$107)</f>
        <v>32501</v>
      </c>
      <c r="S166" s="2600">
        <f>IF(S$164="No",'Standard Thresholds'!$C$107,'Standard Thresholds'!$E$107)</f>
        <v>32501</v>
      </c>
      <c r="T166" s="2600">
        <f>IF(T$164="No",'Standard Thresholds'!$C$107,'Standard Thresholds'!$E$107)</f>
        <v>32501</v>
      </c>
      <c r="AC166" s="3278"/>
    </row>
    <row r="167" spans="1:35" hidden="1">
      <c r="A167" s="2594" t="s">
        <v>2383</v>
      </c>
      <c r="B167" s="2600">
        <f>IF(AND(B$162="Family",B$164="No"),'Standard Thresholds'!$B$111+'Standard Thresholds'!$B$112*B$163,IF(AND(B$162="Family",B$164="Yes"),'Standard Thresholds'!$D$111+'Standard Thresholds'!$D$112*B$163,0))</f>
        <v>0</v>
      </c>
      <c r="C167" s="2600">
        <f>IF(AND(C$162="Family",C$164="No"),'Standard Thresholds'!$B$111+'Standard Thresholds'!$B$112*C$163,IF(AND(C$162="Family",C$164="Yes"),'Standard Thresholds'!$D$111+'Standard Thresholds'!$D$112*C$163,0))</f>
        <v>0</v>
      </c>
      <c r="D167" s="2600">
        <f>IF(AND(D$162="Family",D$164="No"),'Standard Thresholds'!$B$111+'Standard Thresholds'!$B$112*D$163,IF(AND(D$162="Family",D$164="Yes"),'Standard Thresholds'!$D$111+'Standard Thresholds'!$D$112*D$163,0))</f>
        <v>0</v>
      </c>
      <c r="E167" s="2600">
        <f>IF(AND(E$162="Family",E$164="No"),'Standard Thresholds'!$B$111+'Standard Thresholds'!$B$112*E$163,IF(AND(E$162="Family",E$164="Yes"),'Standard Thresholds'!$D$111+'Standard Thresholds'!$D$112*E$163,0))</f>
        <v>0</v>
      </c>
      <c r="F167" s="2600">
        <f>IF(AND(F$162="Family",F$164="No"),'Standard Thresholds'!$B$111+'Standard Thresholds'!$B$112*F$163,IF(AND(F$162="Family",F$164="Yes"),'Standard Thresholds'!$D$111+'Standard Thresholds'!$D$112*F$163,0))</f>
        <v>0</v>
      </c>
      <c r="G167" s="2600">
        <f>IF(AND(G$162="Family",G$164="No"),'Standard Thresholds'!$B$111+'Standard Thresholds'!$B$112*G$163,IF(AND(G$162="Family",G$164="Yes"),'Standard Thresholds'!$D$111+'Standard Thresholds'!$D$112*G$163,0))</f>
        <v>0</v>
      </c>
      <c r="H167" s="2600">
        <f>IF(AND(H$162="Family",H$164="No"),'Standard Thresholds'!$B$111+'Standard Thresholds'!$B$112*H$163,IF(AND(H$162="Family",H$164="Yes"),'Standard Thresholds'!$D$111+'Standard Thresholds'!$D$112*H$163,0))</f>
        <v>0</v>
      </c>
      <c r="I167" s="2600">
        <f>IF(AND(I$162="Family",I$164="No"),'Standard Thresholds'!$B$111+'Standard Thresholds'!$B$112*I$163,IF(AND(I$162="Family",I$164="Yes"),'Standard Thresholds'!$D$111+'Standard Thresholds'!$D$112*I$163,0))</f>
        <v>0</v>
      </c>
      <c r="J167" s="2600">
        <f>IF(AND(J$162="Family",J$164="No"),'Standard Thresholds'!$B$111+'Standard Thresholds'!$B$112*J$163,IF(AND(J$162="Family",J$164="Yes"),'Standard Thresholds'!$D$111+'Standard Thresholds'!$D$112*J$163,0))</f>
        <v>0</v>
      </c>
      <c r="K167" s="2600">
        <f>IF(AND(K$162="Family",K$164="No"),'Standard Thresholds'!$B$111+'Standard Thresholds'!$B$112*K$163,IF(AND(K$162="Family",K$164="Yes"),'Standard Thresholds'!$D$111+'Standard Thresholds'!$D$112*K$163,0))</f>
        <v>0</v>
      </c>
      <c r="P167" s="3141"/>
      <c r="Q167" s="2600"/>
      <c r="R167" s="2600"/>
      <c r="S167" s="2600"/>
      <c r="T167" s="2600"/>
      <c r="AC167" s="3278"/>
    </row>
    <row r="168" spans="1:35" hidden="1">
      <c r="A168" s="2594" t="s">
        <v>2384</v>
      </c>
      <c r="B168" s="2600">
        <f>IF(AND(B$162="Family",B$164="No"),'Standard Thresholds'!$C$111+'Standard Thresholds'!$C$112*B$163,IF(AND(B$162="Family",B$164="Yes"),'Standard Thresholds'!$E$111+'Standard Thresholds'!$E$112*B$163,0))</f>
        <v>0</v>
      </c>
      <c r="C168" s="2600">
        <f>IF(AND(C$162="Family",C$164="No"),'Standard Thresholds'!$C$111+'Standard Thresholds'!$C$112*C$163,IF(AND(C$162="Family",C$164="Yes"),'Standard Thresholds'!$E$111+'Standard Thresholds'!$E$112*C$163,0))</f>
        <v>0</v>
      </c>
      <c r="D168" s="2600">
        <f>IF(AND(D$162="Family",D$164="No"),'Standard Thresholds'!$C$111+'Standard Thresholds'!$C$112*D$163,IF(AND(D$162="Family",D$164="Yes"),'Standard Thresholds'!$E$111+'Standard Thresholds'!$E$112*D$163,0))</f>
        <v>0</v>
      </c>
      <c r="E168" s="2600">
        <f>IF(AND(E$162="Family",E$164="No"),'Standard Thresholds'!$C$111+'Standard Thresholds'!$C$112*E$163,IF(AND(E$162="Family",E$164="Yes"),'Standard Thresholds'!$E$111+'Standard Thresholds'!$E$112*E$163,0))</f>
        <v>0</v>
      </c>
      <c r="F168" s="2600">
        <f>IF(AND(F$162="Family",F$164="No"),'Standard Thresholds'!$C$111+'Standard Thresholds'!$C$112*F$163,IF(AND(F$162="Family",F$164="Yes"),'Standard Thresholds'!$E$111+'Standard Thresholds'!$E$112*F$163,0))</f>
        <v>0</v>
      </c>
      <c r="G168" s="2600">
        <f>IF(AND(G$162="Family",G$164="No"),'Standard Thresholds'!$C$111+'Standard Thresholds'!$C$112*G$163,IF(AND(G$162="Family",G$164="Yes"),'Standard Thresholds'!$E$111+'Standard Thresholds'!$E$112*G$163,0))</f>
        <v>0</v>
      </c>
      <c r="H168" s="2600">
        <f>IF(AND(H$162="Family",H$164="No"),'Standard Thresholds'!$C$111+'Standard Thresholds'!$C$112*H$163,IF(AND(H$162="Family",H$164="Yes"),'Standard Thresholds'!$E$111+'Standard Thresholds'!$E$112*H$163,0))</f>
        <v>0</v>
      </c>
      <c r="I168" s="2600">
        <f>IF(AND(I$162="Family",I$164="No"),'Standard Thresholds'!$C$111+'Standard Thresholds'!$C$112*I$163,IF(AND(I$162="Family",I$164="Yes"),'Standard Thresholds'!$E$111+'Standard Thresholds'!$E$112*I$163,0))</f>
        <v>0</v>
      </c>
      <c r="J168" s="2600">
        <f>IF(AND(J$162="Family",J$164="No"),'Standard Thresholds'!$C$111+'Standard Thresholds'!$C$112*J$163,IF(AND(J$162="Family",J$164="Yes"),'Standard Thresholds'!$E$111+'Standard Thresholds'!$E$112*J$163,0))</f>
        <v>0</v>
      </c>
      <c r="K168" s="2600">
        <f>IF(AND(K$162="Family",K$164="No"),'Standard Thresholds'!$C$111+'Standard Thresholds'!$C$112*K$163,IF(AND(K$162="Family",K$164="Yes"),'Standard Thresholds'!$E$111+'Standard Thresholds'!$E$112*K$163,0))</f>
        <v>0</v>
      </c>
      <c r="P168" s="3141"/>
      <c r="Q168" s="2600"/>
      <c r="R168" s="2600"/>
      <c r="S168" s="2600"/>
      <c r="T168" s="2600"/>
      <c r="AC168" s="3278"/>
    </row>
    <row r="169" spans="1:35" hidden="1">
      <c r="A169" s="2594"/>
      <c r="B169" s="2600"/>
      <c r="C169" s="2600"/>
      <c r="D169" s="2600"/>
      <c r="E169" s="2600"/>
      <c r="F169" s="2600"/>
      <c r="G169" s="2600"/>
      <c r="H169" s="2600"/>
      <c r="I169" s="2600"/>
      <c r="J169" s="2600"/>
      <c r="K169" s="2600"/>
      <c r="P169" s="3141"/>
      <c r="Q169" s="2600"/>
      <c r="R169" s="2600"/>
      <c r="S169" s="2600"/>
      <c r="T169" s="2600"/>
      <c r="AC169" s="3278"/>
    </row>
    <row r="170" spans="1:35" ht="25.5" hidden="1">
      <c r="A170" s="2599" t="s">
        <v>2385</v>
      </c>
      <c r="B170" s="2600">
        <f>IFERROR(IF(AND(B$162="Family",INDEX($B$12:$K$93,MATCH($A93,$A$12:$A$93,0),MATCH(B17,$B$12:$K$12,0))&lt;B$165),(B$167*'Standard Thresholds'!$B$100)-((B$178-B$167)*'Standard Thresholds'!$B$102),0),0)</f>
        <v>0</v>
      </c>
      <c r="C170" s="2600">
        <f>IFERROR(IF(AND(C$162="Family",INDEX($B$12:$K$93,MATCH($A93,$A$12:$A$93,0),MATCH(C17,$B$12:$K$12,0))&lt;C$165),(C$167*'Standard Thresholds'!$B$100)-((C$178-C$167)*'Standard Thresholds'!$B$102),0),0)</f>
        <v>0</v>
      </c>
      <c r="D170" s="2600">
        <f>IFERROR(IF(AND(D$162="Family",INDEX($B$12:$K$93,MATCH($A93,$A$12:$A$93,0),MATCH(D17,$B$12:$K$12,0))&lt;D$165),(D$167*'Standard Thresholds'!$B$100)-((D$178-D$167)*'Standard Thresholds'!$B$102),0),0)</f>
        <v>0</v>
      </c>
      <c r="E170" s="2600">
        <f>IFERROR(IF(AND(E$162="Family",INDEX($B$12:$K$93,MATCH($A93,$A$12:$A$93,0),MATCH(E17,$B$12:$K$12,0))&lt;E$165),(E$167*'Standard Thresholds'!$B$100)-((E$178-E$167)*'Standard Thresholds'!$B$102),0),0)</f>
        <v>0</v>
      </c>
      <c r="F170" s="2600">
        <f>IFERROR(IF(AND(F$162="Family",INDEX($B$12:$K$93,MATCH($A93,$A$12:$A$93,0),MATCH(F17,$B$12:$K$12,0))&lt;F$165),(F$167*'Standard Thresholds'!$B$100)-((F$178-F$167)*'Standard Thresholds'!$B$102),0),0)</f>
        <v>0</v>
      </c>
      <c r="G170" s="2600">
        <f>IFERROR(IF(AND(G$162="Family",INDEX($B$12:$K$93,MATCH($A93,$A$12:$A$93,0),MATCH(G17,$B$12:$K$12,0))&lt;G$165),(G$167*'Standard Thresholds'!$B$100)-((G$178-G$167)*'Standard Thresholds'!$B$102),0),0)</f>
        <v>0</v>
      </c>
      <c r="H170" s="2600">
        <f>IFERROR(IF(AND(H$162="Family",INDEX($B$12:$K$93,MATCH($A93,$A$12:$A$93,0),MATCH(H17,$B$12:$K$12,0))&lt;H$165),(H$167*'Standard Thresholds'!$B$100)-((H$178-H$167)*'Standard Thresholds'!$B$102),0),0)</f>
        <v>0</v>
      </c>
      <c r="I170" s="2600">
        <f>IFERROR(IF(AND(I$162="Family",INDEX($B$12:$K$93,MATCH($A93,$A$12:$A$93,0),MATCH(I17,$B$12:$K$12,0))&lt;I$165),(I$167*'Standard Thresholds'!$B$100)-((I$178-I$167)*'Standard Thresholds'!$B$102),0),0)</f>
        <v>0</v>
      </c>
      <c r="J170" s="2600">
        <f>IFERROR(IF(AND(J$162="Family",INDEX($B$12:$K$93,MATCH($A93,$A$12:$A$93,0),MATCH(J17,$B$12:$K$12,0))&lt;J$165),(J$167*'Standard Thresholds'!$B$100)-((J$178-J$167)*'Standard Thresholds'!$B$102),0),0)</f>
        <v>0</v>
      </c>
      <c r="K170" s="2600">
        <f>IFERROR(IF(AND(K$162="Family",INDEX($B$12:$K$93,MATCH($A93,$A$12:$A$93,0),MATCH(K17,$B$12:$K$12,0))&lt;K$165),(K$167*'Standard Thresholds'!$B$100)-((K$178-K$167)*'Standard Thresholds'!$B$102),0),0)</f>
        <v>0</v>
      </c>
      <c r="P170" s="3141"/>
      <c r="Q170" s="2600"/>
      <c r="R170" s="2600"/>
      <c r="S170" s="2600"/>
      <c r="T170" s="2600"/>
      <c r="AC170" s="3278"/>
    </row>
    <row r="171" spans="1:35" ht="38.25" hidden="1">
      <c r="A171" s="2599" t="s">
        <v>2386</v>
      </c>
      <c r="B171" s="2600">
        <f>IFERROR(IF(AND(B$162="Family",OR(B$93&gt;B$165,INDEX($B$12:$K$93,MATCH($A93,$A$12:$A$93,0),MATCH(B17,$B$12:$K$12,0))&gt;B$165),OR(B$93&lt;B$166,INDEX($B$12:$K$93,MATCH($A93,$A$12:$A$93,0),MATCH(B17,$B$12:$K$12,0))&lt;B$166),OR(B$93&gt;B$166,INDEX($B$12:$K$93,MATCH($A93,$A$12:$A$93,0),MATCH(B17,$B$12:$K$12,0))&gt;B$166)),(B$167*'Standard Thresholds'!$B$100)-((B$178-B$167)*'Standard Thresholds'!$B$102),0),0)</f>
        <v>0</v>
      </c>
      <c r="C171" s="2600">
        <f>IFERROR(IF(AND(C$162="Family",OR(C$93&gt;C$165,INDEX($B$12:$K$93,MATCH($A93,$A$12:$A$93,0),MATCH(C17,$B$12:$K$12,0))&gt;C$165),OR(C$93&lt;C$166,INDEX($B$12:$K$93,MATCH($A93,$A$12:$A$93,0),MATCH(C17,$B$12:$K$12,0))&lt;C$166),OR(C$93&gt;C$166,INDEX($B$12:$K$93,MATCH($A93,$A$12:$A$93,0),MATCH(C17,$B$12:$K$12,0))&gt;C$166)),(C$167*'Standard Thresholds'!$B$100)-((C$178-C$167)*'Standard Thresholds'!$B$102),0),0)</f>
        <v>0</v>
      </c>
      <c r="D171" s="2600">
        <f>IFERROR(IF(AND(D$162="Family",OR(D$93&gt;D$165,INDEX($B$12:$K$93,MATCH($A93,$A$12:$A$93,0),MATCH(D17,$B$12:$K$12,0))&gt;D$165),OR(D$93&lt;D$166,INDEX($B$12:$K$93,MATCH($A93,$A$12:$A$93,0),MATCH(D17,$B$12:$K$12,0))&lt;D$166),OR(D$93&gt;D$166,INDEX($B$12:$K$93,MATCH($A93,$A$12:$A$93,0),MATCH(D17,$B$12:$K$12,0))&gt;D$166)),(D$167*'Standard Thresholds'!$B$100)-((D$178-D$167)*'Standard Thresholds'!$B$102),0),0)</f>
        <v>0</v>
      </c>
      <c r="E171" s="2600">
        <f>IFERROR(IF(AND(E$162="Family",OR(E$93&gt;E$165,INDEX($B$12:$K$93,MATCH($A93,$A$12:$A$93,0),MATCH(E17,$B$12:$K$12,0))&gt;E$165),OR(E$93&lt;E$166,INDEX($B$12:$K$93,MATCH($A93,$A$12:$A$93,0),MATCH(E17,$B$12:$K$12,0))&lt;E$166),OR(E$93&gt;E$166,INDEX($B$12:$K$93,MATCH($A93,$A$12:$A$93,0),MATCH(E17,$B$12:$K$12,0))&gt;E$166)),(E$167*'Standard Thresholds'!$B$100)-((E$178-E$167)*'Standard Thresholds'!$B$102),0),0)</f>
        <v>0</v>
      </c>
      <c r="F171" s="2600">
        <f>IFERROR(IF(AND(F$162="Family",OR(F$93&gt;F$165,INDEX($B$12:$K$93,MATCH($A93,$A$12:$A$93,0),MATCH(F17,$B$12:$K$12,0))&gt;F$165),OR(F$93&lt;F$166,INDEX($B$12:$K$93,MATCH($A93,$A$12:$A$93,0),MATCH(F17,$B$12:$K$12,0))&lt;F$166),OR(F$93&gt;F$166,INDEX($B$12:$K$93,MATCH($A93,$A$12:$A$93,0),MATCH(F17,$B$12:$K$12,0))&gt;F$166)),(F$167*'Standard Thresholds'!$B$100)-((F$178-F$167)*'Standard Thresholds'!$B$102),0),0)</f>
        <v>0</v>
      </c>
      <c r="G171" s="2600">
        <f>IFERROR(IF(AND(G$162="Family",OR(G$93&gt;G$165,INDEX($B$12:$K$93,MATCH($A93,$A$12:$A$93,0),MATCH(G17,$B$12:$K$12,0))&gt;G$165),OR(G$93&lt;G$166,INDEX($B$12:$K$93,MATCH($A93,$A$12:$A$93,0),MATCH(G17,$B$12:$K$12,0))&lt;G$166),OR(G$93&gt;G$166,INDEX($B$12:$K$93,MATCH($A93,$A$12:$A$93,0),MATCH(G17,$B$12:$K$12,0))&gt;G$166)),(G$167*'Standard Thresholds'!$B$100)-((G$178-G$167)*'Standard Thresholds'!$B$102),0),0)</f>
        <v>0</v>
      </c>
      <c r="H171" s="2600">
        <f>IFERROR(IF(AND(H$162="Family",OR(H$93&gt;H$165,INDEX($B$12:$K$93,MATCH($A93,$A$12:$A$93,0),MATCH(H17,$B$12:$K$12,0))&gt;H$165),OR(H$93&lt;H$166,INDEX($B$12:$K$93,MATCH($A93,$A$12:$A$93,0),MATCH(H17,$B$12:$K$12,0))&lt;H$166),OR(H$93&gt;H$166,INDEX($B$12:$K$93,MATCH($A93,$A$12:$A$93,0),MATCH(H17,$B$12:$K$12,0))&gt;H$166)),(H$167*'Standard Thresholds'!$B$100)-((H$178-H$167)*'Standard Thresholds'!$B$102),0),0)</f>
        <v>0</v>
      </c>
      <c r="I171" s="2600">
        <f>IFERROR(IF(AND(I$162="Family",OR(I$93&gt;I$165,INDEX($B$12:$K$93,MATCH($A93,$A$12:$A$93,0),MATCH(I17,$B$12:$K$12,0))&gt;I$165),OR(I$93&lt;I$166,INDEX($B$12:$K$93,MATCH($A93,$A$12:$A$93,0),MATCH(I17,$B$12:$K$12,0))&lt;I$166),OR(I$93&gt;I$166,INDEX($B$12:$K$93,MATCH($A93,$A$12:$A$93,0),MATCH(I17,$B$12:$K$12,0))&gt;I$166)),(I$167*'Standard Thresholds'!$B$100)-((I$178-I$167)*'Standard Thresholds'!$B$102),0),0)</f>
        <v>0</v>
      </c>
      <c r="J171" s="2600">
        <f>IFERROR(IF(AND(J$162="Family",OR(J$93&gt;J$165,INDEX($B$12:$K$93,MATCH($A93,$A$12:$A$93,0),MATCH(J17,$B$12:$K$12,0))&gt;J$165),OR(J$93&lt;J$166,INDEX($B$12:$K$93,MATCH($A93,$A$12:$A$93,0),MATCH(J17,$B$12:$K$12,0))&lt;J$166),OR(J$93&gt;J$166,INDEX($B$12:$K$93,MATCH($A93,$A$12:$A$93,0),MATCH(J17,$B$12:$K$12,0))&gt;J$166)),(J$167*'Standard Thresholds'!$B$100)-((J$178-J$167)*'Standard Thresholds'!$B$102),0),0)</f>
        <v>0</v>
      </c>
      <c r="K171" s="2600">
        <f>IFERROR(IF(AND(K$162="Family",OR(K$93&gt;K$165,INDEX($B$12:$K$93,MATCH($A93,$A$12:$A$93,0),MATCH(K17,$B$12:$K$12,0))&gt;K$165),OR(K$93&lt;K$166,INDEX($B$12:$K$93,MATCH($A93,$A$12:$A$93,0),MATCH(K17,$B$12:$K$12,0))&lt;K$166),OR(K$93&gt;K$166,INDEX($B$12:$K$93,MATCH($A93,$A$12:$A$93,0),MATCH(K17,$B$12:$K$12,0))&gt;K$166)),(K$167*'Standard Thresholds'!$B$100)-((K$178-K$167)*'Standard Thresholds'!$B$102),0),0)</f>
        <v>0</v>
      </c>
      <c r="P171" s="3141"/>
      <c r="Q171" s="2600"/>
      <c r="R171" s="2600"/>
      <c r="S171" s="2600"/>
      <c r="T171" s="2600"/>
      <c r="AC171" s="3278"/>
    </row>
    <row r="172" spans="1:35" hidden="1">
      <c r="A172" s="2599" t="s">
        <v>2387</v>
      </c>
      <c r="B172" s="2600">
        <f>IF(B171&gt;0,(B177/B178)*B171,0)</f>
        <v>0</v>
      </c>
      <c r="C172" s="2600">
        <f t="shared" ref="C172:K172" si="47">IF(C171&gt;0,(C177/C178)*C171,0)</f>
        <v>0</v>
      </c>
      <c r="D172" s="2600">
        <f t="shared" si="47"/>
        <v>0</v>
      </c>
      <c r="E172" s="2600">
        <f t="shared" si="47"/>
        <v>0</v>
      </c>
      <c r="F172" s="2600">
        <f t="shared" si="47"/>
        <v>0</v>
      </c>
      <c r="G172" s="2600">
        <f t="shared" si="47"/>
        <v>0</v>
      </c>
      <c r="H172" s="2600">
        <f t="shared" si="47"/>
        <v>0</v>
      </c>
      <c r="I172" s="2600">
        <f t="shared" si="47"/>
        <v>0</v>
      </c>
      <c r="J172" s="2600">
        <f t="shared" si="47"/>
        <v>0</v>
      </c>
      <c r="K172" s="2600">
        <f t="shared" si="47"/>
        <v>0</v>
      </c>
      <c r="P172" s="3141"/>
      <c r="Q172" s="2600"/>
      <c r="R172" s="2600"/>
      <c r="S172" s="2600"/>
      <c r="T172" s="2600"/>
      <c r="AC172" s="3278"/>
    </row>
    <row r="173" spans="1:35" hidden="1">
      <c r="A173" s="2599" t="s">
        <v>2388</v>
      </c>
      <c r="B173" s="2600">
        <f>IF(B177&gt;B166,B177*'Standard Thresholds'!$B$100,IF(B177&lt;=B165,0,(B177-B165)*'Standard Thresholds'!$B$101))</f>
        <v>0</v>
      </c>
      <c r="C173" s="2600">
        <f>IF(C177&gt;C166,C177*'Standard Thresholds'!$B$100,IF(C177&lt;=C165,0,(C177-C165)*'Standard Thresholds'!$B$101))</f>
        <v>0</v>
      </c>
      <c r="D173" s="2600">
        <f>IF(D177&gt;D166,D177*'Standard Thresholds'!$B$100,IF(D177&lt;=D165,0,(D177-D165)*'Standard Thresholds'!$B$101))</f>
        <v>0</v>
      </c>
      <c r="E173" s="2600">
        <f>IF(E177&gt;E166,E177*'Standard Thresholds'!$B$100,IF(E177&lt;=E165,0,(E177-E165)*'Standard Thresholds'!$B$101))</f>
        <v>0</v>
      </c>
      <c r="F173" s="2600">
        <f>IF(F177&gt;F166,F177*'Standard Thresholds'!$B$100,IF(F177&lt;=F165,0,(F177-F165)*'Standard Thresholds'!$B$101))</f>
        <v>0</v>
      </c>
      <c r="G173" s="2600">
        <f>IF(G177&gt;G166,G177*'Standard Thresholds'!$B$100,IF(G177&lt;=G165,0,(G177-G165)*'Standard Thresholds'!$B$101))</f>
        <v>0</v>
      </c>
      <c r="H173" s="2600">
        <f>IF(H177&gt;H166,H177*'Standard Thresholds'!$B$100,IF(H177&lt;=H165,0,(H177-H165)*'Standard Thresholds'!$B$101))</f>
        <v>0</v>
      </c>
      <c r="I173" s="2600">
        <f>IF(I177&gt;I166,I177*'Standard Thresholds'!$B$100,IF(I177&lt;=I165,0,(I177-I165)*'Standard Thresholds'!$B$101))</f>
        <v>0</v>
      </c>
      <c r="J173" s="2600">
        <f>IF(J177&gt;J166,J177*'Standard Thresholds'!$B$100,IF(J177&lt;=J165,0,(J177-J165)*'Standard Thresholds'!$B$101))</f>
        <v>0</v>
      </c>
      <c r="K173" s="2600">
        <f>IF(K177&gt;K166,K177*'Standard Thresholds'!$B$100,IF(K177&lt;=K165,0,(K177-K165)*'Standard Thresholds'!$B$101))</f>
        <v>0</v>
      </c>
      <c r="P173" s="3141"/>
      <c r="Q173" s="2600"/>
      <c r="R173" s="2600"/>
      <c r="S173" s="2600"/>
      <c r="T173" s="2600"/>
      <c r="AC173" s="3278"/>
    </row>
    <row r="174" spans="1:35" hidden="1">
      <c r="A174" s="2599" t="s">
        <v>2389</v>
      </c>
      <c r="B174" s="2600">
        <f>IF((B172-B173)&lt;=0,0,B173-B172)</f>
        <v>0</v>
      </c>
      <c r="C174" s="2600">
        <f t="shared" ref="C174:K174" si="48">IF((C172-C173)&lt;=0,0,C173-C172)</f>
        <v>0</v>
      </c>
      <c r="D174" s="2600">
        <f t="shared" si="48"/>
        <v>0</v>
      </c>
      <c r="E174" s="2600">
        <f t="shared" si="48"/>
        <v>0</v>
      </c>
      <c r="F174" s="2600">
        <f t="shared" si="48"/>
        <v>0</v>
      </c>
      <c r="G174" s="2600">
        <f t="shared" si="48"/>
        <v>0</v>
      </c>
      <c r="H174" s="2600">
        <f t="shared" si="48"/>
        <v>0</v>
      </c>
      <c r="I174" s="2600">
        <f t="shared" si="48"/>
        <v>0</v>
      </c>
      <c r="J174" s="2600">
        <f t="shared" si="48"/>
        <v>0</v>
      </c>
      <c r="K174" s="2600">
        <f t="shared" si="48"/>
        <v>0</v>
      </c>
      <c r="P174" s="3141"/>
      <c r="Q174" s="2600"/>
      <c r="R174" s="2600"/>
      <c r="S174" s="2600"/>
      <c r="T174" s="2600"/>
      <c r="AC174" s="3278"/>
    </row>
    <row r="175" spans="1:35" hidden="1">
      <c r="A175" s="2599" t="s">
        <v>2390</v>
      </c>
      <c r="B175" s="2600">
        <f t="shared" ref="B175:K175" si="49">IFERROR(B172+B174-INDEX($B$12:$K$174,MATCH($A174,$A$12:$A$174,0),MATCH(B17,$B$12:$K$12,0)),0)</f>
        <v>0</v>
      </c>
      <c r="C175" s="2600">
        <f t="shared" si="49"/>
        <v>0</v>
      </c>
      <c r="D175" s="2600">
        <f t="shared" si="49"/>
        <v>0</v>
      </c>
      <c r="E175" s="2600">
        <f t="shared" si="49"/>
        <v>0</v>
      </c>
      <c r="F175" s="2600">
        <f t="shared" si="49"/>
        <v>0</v>
      </c>
      <c r="G175" s="2600">
        <f t="shared" si="49"/>
        <v>0</v>
      </c>
      <c r="H175" s="2600">
        <f t="shared" si="49"/>
        <v>0</v>
      </c>
      <c r="I175" s="2600">
        <f t="shared" si="49"/>
        <v>0</v>
      </c>
      <c r="J175" s="2600">
        <f t="shared" si="49"/>
        <v>0</v>
      </c>
      <c r="K175" s="2600">
        <f t="shared" si="49"/>
        <v>0</v>
      </c>
      <c r="P175" s="3141"/>
      <c r="Q175" s="2600"/>
      <c r="R175" s="2600"/>
      <c r="S175" s="2600"/>
      <c r="T175" s="2600"/>
      <c r="AC175" s="3278"/>
    </row>
    <row r="176" spans="1:35" hidden="1">
      <c r="A176" s="2594"/>
      <c r="B176" s="2600"/>
      <c r="C176" s="2600"/>
      <c r="D176" s="2600"/>
      <c r="E176" s="2600"/>
      <c r="F176" s="2600"/>
      <c r="G176" s="2600"/>
      <c r="H176" s="2600"/>
      <c r="I176" s="2600"/>
      <c r="J176" s="2600"/>
      <c r="K176" s="2600"/>
      <c r="P176" s="3141"/>
      <c r="Q176" s="2600"/>
      <c r="R176" s="2600"/>
      <c r="S176" s="2600"/>
      <c r="T176" s="2600"/>
      <c r="AC176" s="3278"/>
    </row>
    <row r="177" spans="1:35" hidden="1">
      <c r="A177" s="2594" t="s">
        <v>2391</v>
      </c>
      <c r="B177" s="2600">
        <f t="shared" ref="B177:K177" si="50">B93</f>
        <v>0</v>
      </c>
      <c r="C177" s="2600">
        <f t="shared" si="50"/>
        <v>0</v>
      </c>
      <c r="D177" s="2600">
        <f t="shared" si="50"/>
        <v>0</v>
      </c>
      <c r="E177" s="2600">
        <f t="shared" si="50"/>
        <v>0</v>
      </c>
      <c r="F177" s="2600">
        <f t="shared" si="50"/>
        <v>0</v>
      </c>
      <c r="G177" s="2600">
        <f t="shared" si="50"/>
        <v>0</v>
      </c>
      <c r="H177" s="2600">
        <f t="shared" si="50"/>
        <v>0</v>
      </c>
      <c r="I177" s="2600">
        <f t="shared" si="50"/>
        <v>0</v>
      </c>
      <c r="J177" s="2600">
        <f t="shared" si="50"/>
        <v>0</v>
      </c>
      <c r="K177" s="2600">
        <f t="shared" si="50"/>
        <v>0</v>
      </c>
      <c r="P177" s="3141"/>
      <c r="Q177" s="2600">
        <f>Q93</f>
        <v>0</v>
      </c>
      <c r="R177" s="2600">
        <f>R93</f>
        <v>0</v>
      </c>
      <c r="S177" s="2600">
        <f>S93</f>
        <v>0</v>
      </c>
      <c r="T177" s="2600">
        <f>T93</f>
        <v>0</v>
      </c>
      <c r="AC177" s="3278"/>
    </row>
    <row r="178" spans="1:35" hidden="1">
      <c r="A178" s="2594" t="s">
        <v>2392</v>
      </c>
      <c r="B178" s="2600">
        <f t="shared" ref="B178:K178" si="51">IF(B162="Family",IF(B17="",B93,B93+INDEX($B$12:$K$93,MATCH($A93,$A$12:$A$93,0),MATCH(B17,$B$12:$K$12,0))),0)</f>
        <v>0</v>
      </c>
      <c r="C178" s="2600">
        <f t="shared" si="51"/>
        <v>0</v>
      </c>
      <c r="D178" s="2600">
        <f t="shared" si="51"/>
        <v>0</v>
      </c>
      <c r="E178" s="2600">
        <f t="shared" si="51"/>
        <v>0</v>
      </c>
      <c r="F178" s="2600">
        <f t="shared" si="51"/>
        <v>0</v>
      </c>
      <c r="G178" s="2600">
        <f t="shared" si="51"/>
        <v>0</v>
      </c>
      <c r="H178" s="2600">
        <f t="shared" si="51"/>
        <v>0</v>
      </c>
      <c r="I178" s="2600">
        <f t="shared" si="51"/>
        <v>0</v>
      </c>
      <c r="J178" s="2600">
        <f t="shared" si="51"/>
        <v>0</v>
      </c>
      <c r="K178" s="2600">
        <f t="shared" si="51"/>
        <v>0</v>
      </c>
      <c r="P178" s="3141"/>
      <c r="Q178" s="2600"/>
      <c r="R178" s="2600"/>
      <c r="S178" s="2600"/>
      <c r="T178" s="2600"/>
      <c r="AC178" s="3278"/>
    </row>
    <row r="179" spans="1:35" hidden="1">
      <c r="A179" s="2594"/>
      <c r="B179" s="2600"/>
      <c r="C179" s="2600"/>
      <c r="D179" s="2600"/>
      <c r="E179" s="2600"/>
      <c r="F179" s="2600"/>
      <c r="G179" s="2600"/>
      <c r="H179" s="2600"/>
      <c r="I179" s="2600"/>
      <c r="J179" s="2600"/>
      <c r="K179" s="2600"/>
      <c r="P179" s="3141"/>
      <c r="Q179" s="2600"/>
      <c r="R179" s="2600"/>
      <c r="S179" s="2600"/>
      <c r="T179" s="2600"/>
      <c r="AC179" s="3278"/>
    </row>
    <row r="180" spans="1:35" hidden="1">
      <c r="A180" s="2594" t="s">
        <v>2636</v>
      </c>
      <c r="B180" s="3135">
        <f>$AC$22-B16</f>
        <v>366</v>
      </c>
      <c r="C180" s="3135">
        <f t="shared" ref="C180:K180" si="52">$AC$22-C16</f>
        <v>366</v>
      </c>
      <c r="D180" s="3135">
        <f t="shared" si="52"/>
        <v>366</v>
      </c>
      <c r="E180" s="3135">
        <f t="shared" si="52"/>
        <v>366</v>
      </c>
      <c r="F180" s="3135">
        <f t="shared" si="52"/>
        <v>366</v>
      </c>
      <c r="G180" s="3135">
        <f t="shared" si="52"/>
        <v>366</v>
      </c>
      <c r="H180" s="3135">
        <f t="shared" si="52"/>
        <v>366</v>
      </c>
      <c r="I180" s="3135">
        <f t="shared" si="52"/>
        <v>366</v>
      </c>
      <c r="J180" s="3135">
        <f t="shared" si="52"/>
        <v>366</v>
      </c>
      <c r="K180" s="3135">
        <f t="shared" si="52"/>
        <v>366</v>
      </c>
      <c r="P180" s="3141"/>
      <c r="Q180" s="3135">
        <f t="shared" ref="Q180:T180" si="53">$AC$22-Q16</f>
        <v>366</v>
      </c>
      <c r="R180" s="3135">
        <f t="shared" si="53"/>
        <v>366</v>
      </c>
      <c r="S180" s="3135">
        <f t="shared" si="53"/>
        <v>366</v>
      </c>
      <c r="T180" s="3135">
        <f t="shared" si="53"/>
        <v>366</v>
      </c>
      <c r="AC180" s="3278"/>
    </row>
    <row r="181" spans="1:35" hidden="1">
      <c r="A181" s="2594" t="s">
        <v>2393</v>
      </c>
      <c r="B181" s="2600">
        <f t="shared" ref="B181:K181" si="54">B93+B44-B42+B35+B39+B40+B36+B82</f>
        <v>0</v>
      </c>
      <c r="C181" s="2600">
        <f t="shared" si="54"/>
        <v>0</v>
      </c>
      <c r="D181" s="2600">
        <f t="shared" si="54"/>
        <v>0</v>
      </c>
      <c r="E181" s="2600">
        <f t="shared" si="54"/>
        <v>0</v>
      </c>
      <c r="F181" s="2600">
        <f t="shared" si="54"/>
        <v>0</v>
      </c>
      <c r="G181" s="2600">
        <f t="shared" si="54"/>
        <v>0</v>
      </c>
      <c r="H181" s="2600">
        <f t="shared" si="54"/>
        <v>0</v>
      </c>
      <c r="I181" s="2600">
        <f t="shared" si="54"/>
        <v>0</v>
      </c>
      <c r="J181" s="2600">
        <f t="shared" si="54"/>
        <v>0</v>
      </c>
      <c r="K181" s="2600">
        <f t="shared" si="54"/>
        <v>0</v>
      </c>
      <c r="P181" s="3141"/>
      <c r="Q181" s="2600">
        <f>Q93+Q44-Q42+Q35+Q39+Q40+Q36+Q82</f>
        <v>0</v>
      </c>
      <c r="R181" s="2600">
        <f>R93+R44-R42+R35+R39+R40+R36+R82</f>
        <v>0</v>
      </c>
      <c r="S181" s="2600">
        <f>S93+S44-S42+S35+S39+S40+S36+S82</f>
        <v>0</v>
      </c>
      <c r="T181" s="2600">
        <f>T93+T44-T42+T35+T39+T40+T36+T82</f>
        <v>0</v>
      </c>
      <c r="AC181" s="3278"/>
    </row>
    <row r="182" spans="1:35" hidden="1">
      <c r="A182" s="2594" t="s">
        <v>2394</v>
      </c>
      <c r="B182" s="2600">
        <f t="shared" ref="B182:K182" si="55">IF(B162="Family",IF(B17="",B181,B181+INDEX($B$12:$K$181,MATCH($A181,$A$12:$A$181,0),MATCH(B17,$B$12:$K$12,0))),0)</f>
        <v>0</v>
      </c>
      <c r="C182" s="2600">
        <f t="shared" si="55"/>
        <v>0</v>
      </c>
      <c r="D182" s="2600">
        <f t="shared" si="55"/>
        <v>0</v>
      </c>
      <c r="E182" s="2600">
        <f t="shared" si="55"/>
        <v>0</v>
      </c>
      <c r="F182" s="2600">
        <f t="shared" si="55"/>
        <v>0</v>
      </c>
      <c r="G182" s="2600">
        <f t="shared" si="55"/>
        <v>0</v>
      </c>
      <c r="H182" s="2600">
        <f t="shared" si="55"/>
        <v>0</v>
      </c>
      <c r="I182" s="2600">
        <f t="shared" si="55"/>
        <v>0</v>
      </c>
      <c r="J182" s="2600">
        <f t="shared" si="55"/>
        <v>0</v>
      </c>
      <c r="K182" s="2600">
        <f t="shared" si="55"/>
        <v>0</v>
      </c>
      <c r="P182" s="3141"/>
      <c r="Q182" s="2600"/>
      <c r="R182" s="2600"/>
      <c r="S182" s="2600"/>
      <c r="T182" s="2600"/>
      <c r="AC182" s="3278"/>
    </row>
    <row r="183" spans="1:35" ht="38.25" hidden="1">
      <c r="A183" s="2599" t="s">
        <v>2637</v>
      </c>
      <c r="B183" s="2600">
        <f>B93+B35+B44</f>
        <v>0</v>
      </c>
      <c r="C183" s="2600">
        <f t="shared" ref="C183:K183" si="56">C93+C35+C44</f>
        <v>0</v>
      </c>
      <c r="D183" s="2600">
        <f t="shared" si="56"/>
        <v>0</v>
      </c>
      <c r="E183" s="2600">
        <f t="shared" si="56"/>
        <v>0</v>
      </c>
      <c r="F183" s="2600">
        <f t="shared" si="56"/>
        <v>0</v>
      </c>
      <c r="G183" s="2600">
        <f t="shared" si="56"/>
        <v>0</v>
      </c>
      <c r="H183" s="2600">
        <f t="shared" si="56"/>
        <v>0</v>
      </c>
      <c r="I183" s="2600">
        <f t="shared" si="56"/>
        <v>0</v>
      </c>
      <c r="J183" s="2600">
        <f t="shared" si="56"/>
        <v>0</v>
      </c>
      <c r="K183" s="2600">
        <f t="shared" si="56"/>
        <v>0</v>
      </c>
      <c r="P183" s="3141"/>
      <c r="Q183" s="2600">
        <f t="shared" ref="Q183:T183" si="57">Q93+Q35+Q44</f>
        <v>0</v>
      </c>
      <c r="R183" s="2600">
        <f t="shared" si="57"/>
        <v>0</v>
      </c>
      <c r="S183" s="2600">
        <f t="shared" si="57"/>
        <v>0</v>
      </c>
      <c r="T183" s="2600">
        <f t="shared" si="57"/>
        <v>0</v>
      </c>
      <c r="AC183" s="3278"/>
    </row>
    <row r="184" spans="1:35" hidden="1">
      <c r="A184" s="2594" t="s">
        <v>2378</v>
      </c>
      <c r="B184" s="2600">
        <f>IF(B181&lt;0,0,IF(B162="Single",VLOOKUP(B181,'Standard Thresholds'!$A$123:$B$126,2)*B183*B180/$AC$22,IF(AND(B162="Family",B181&gt;'Standard Thresholds'!$B$119),VLOOKUP(B182,'Standard Thresholds'!$C$123:$D$126,2)*B183*B180/$AC$22,0)))</f>
        <v>0</v>
      </c>
      <c r="C184" s="2600">
        <f>IF(C181&lt;0,0,IF(C162="Single",VLOOKUP(C181,'Standard Thresholds'!$A$123:$B$126,2)*C183*C180/$AC$22,IF(AND(C162="Family",C181&gt;'Standard Thresholds'!$B$119),VLOOKUP(C182,'Standard Thresholds'!$C$123:$D$126,2)*C183*C180/$AC$22,0)))</f>
        <v>0</v>
      </c>
      <c r="D184" s="2600">
        <f>IF(D181&lt;0,0,IF(D162="Single",VLOOKUP(D181,'Standard Thresholds'!$A$123:$B$126,2)*D183*D180/$AC$22,IF(AND(D162="Family",D181&gt;'Standard Thresholds'!$B$119),VLOOKUP(D182,'Standard Thresholds'!$C$123:$D$126,2)*D183*D180/$AC$22,0)))</f>
        <v>0</v>
      </c>
      <c r="E184" s="2600">
        <f>IF(E181&lt;0,0,IF(E162="Single",VLOOKUP(E181,'Standard Thresholds'!$A$123:$B$126,2)*E183*E180/$AC$22,IF(AND(E162="Family",E181&gt;'Standard Thresholds'!$B$119),VLOOKUP(E182,'Standard Thresholds'!$C$123:$D$126,2)*E183*E180/$AC$22,0)))</f>
        <v>0</v>
      </c>
      <c r="F184" s="2600">
        <f>IF(F181&lt;0,0,IF(F162="Single",VLOOKUP(F181,'Standard Thresholds'!$A$123:$B$126,2)*F183*F180/$AC$22,IF(AND(F162="Family",F181&gt;'Standard Thresholds'!$B$119),VLOOKUP(F182,'Standard Thresholds'!$C$123:$D$126,2)*F183*F180/$AC$22,0)))</f>
        <v>0</v>
      </c>
      <c r="G184" s="2600">
        <f>IF(G181&lt;0,0,IF(G162="Single",VLOOKUP(G181,'Standard Thresholds'!$A$123:$B$126,2)*G183*G180/$AC$22,IF(AND(G162="Family",G181&gt;'Standard Thresholds'!$B$119),VLOOKUP(G182,'Standard Thresholds'!$C$123:$D$126,2)*G183*G180/$AC$22,0)))</f>
        <v>0</v>
      </c>
      <c r="H184" s="2600">
        <f>IF(H181&lt;0,0,IF(H162="Single",VLOOKUP(H181,'Standard Thresholds'!$A$123:$B$126,2)*H183*H180/$AC$22,IF(AND(H162="Family",H181&gt;'Standard Thresholds'!$B$119),VLOOKUP(H182,'Standard Thresholds'!$C$123:$D$126,2)*H183*H180/$AC$22,0)))</f>
        <v>0</v>
      </c>
      <c r="I184" s="2600">
        <f>IF(I181&lt;0,0,IF(I162="Single",VLOOKUP(I181,'Standard Thresholds'!$A$123:$B$126,2)*I183*I180/$AC$22,IF(AND(I162="Family",I181&gt;'Standard Thresholds'!$B$119),VLOOKUP(I182,'Standard Thresholds'!$C$123:$D$126,2)*I183*I180/$AC$22,0)))</f>
        <v>0</v>
      </c>
      <c r="J184" s="2600">
        <f>IF(J181&lt;0,0,IF(J162="Single",VLOOKUP(J181,'Standard Thresholds'!$A$123:$B$126,2)*J183*J180/$AC$22,IF(AND(J162="Family",J181&gt;'Standard Thresholds'!$B$119),VLOOKUP(J182,'Standard Thresholds'!$C$123:$D$126,2)*J183*J180/$AC$22,0)))</f>
        <v>0</v>
      </c>
      <c r="K184" s="2600">
        <f>IF(K181&lt;0,0,IF(K162="Single",VLOOKUP(K181,'Standard Thresholds'!$A$123:$B$126,2)*K183*K180/$AC$22,IF(AND(K162="Family",K181&gt;'Standard Thresholds'!$B$119),VLOOKUP(K182,'Standard Thresholds'!$C$123:$D$126,2)*K183*K180/$AC$22,0)))</f>
        <v>0</v>
      </c>
      <c r="P184" s="3141"/>
      <c r="Q184" s="2600">
        <f>IF(Q181&lt;0,0,IF(Q162="Single",VLOOKUP(Q181,'Standard Thresholds'!$A$123:$B$126,2)*Q183*Q180/$AC$22,IF(AND(Q162="Family",Q181&gt;'Standard Thresholds'!$B$119),VLOOKUP(Q182,'Standard Thresholds'!$C$123:$D$126,2)*Q183*Q180/$AC$22,0)))</f>
        <v>0</v>
      </c>
      <c r="R184" s="2600">
        <f>IF(R181&lt;0,0,IF(R162="Single",VLOOKUP(R181,'Standard Thresholds'!$A$123:$B$126,2)*R183*R180/$AC$22,IF(AND(R162="Family",R181&gt;'Standard Thresholds'!$B$119),VLOOKUP(R182,'Standard Thresholds'!$C$123:$D$126,2)*R183*R180/$AC$22,0)))</f>
        <v>0</v>
      </c>
      <c r="S184" s="2600">
        <f>IF(S181&lt;0,0,IF(S162="Single",VLOOKUP(S181,'Standard Thresholds'!$A$123:$B$126,2)*S183*S180/$AC$22,IF(AND(S162="Family",S181&gt;'Standard Thresholds'!$B$119),VLOOKUP(S182,'Standard Thresholds'!$C$123:$D$126,2)*S183*S180/$AC$22,0)))</f>
        <v>0</v>
      </c>
      <c r="T184" s="2600">
        <f>IF(T181&lt;0,0,IF(T162="Single",VLOOKUP(T181,'Standard Thresholds'!$A$123:$B$126,2)*T183*T180/$AC$22,IF(AND(T162="Family",T181&gt;'Standard Thresholds'!$B$119),VLOOKUP(T182,'Standard Thresholds'!$C$123:$D$126,2)*T183*T180/$AC$22,0)))</f>
        <v>0</v>
      </c>
      <c r="AC184" s="3278"/>
    </row>
    <row r="185" spans="1:35" hidden="1">
      <c r="A185" s="2581"/>
      <c r="B185" s="2578"/>
      <c r="C185" s="2578"/>
      <c r="D185" s="2578"/>
      <c r="E185" s="2578"/>
      <c r="F185" s="2578"/>
      <c r="G185" s="2578"/>
      <c r="H185" s="2578"/>
      <c r="I185" s="2578"/>
      <c r="J185" s="2578"/>
      <c r="K185" s="2578"/>
      <c r="P185" s="3141"/>
      <c r="Q185" s="2577"/>
      <c r="R185" s="2577"/>
      <c r="S185" s="2577"/>
      <c r="T185" s="2577"/>
      <c r="AC185" s="3278"/>
    </row>
    <row r="186" spans="1:35" collapsed="1">
      <c r="A186" s="2581" t="s">
        <v>2395</v>
      </c>
      <c r="B186" s="2582">
        <f>IF(ISBLANK(B32),0,MIN(B32,VLOOKUP(B188,'Standard Thresholds'!$A$79:$B$97,2)*B188))</f>
        <v>0</v>
      </c>
      <c r="C186" s="2582">
        <f>IF(ISBLANK(C32),0,MIN(C32,VLOOKUP(C188,'Standard Thresholds'!$A$79:$B$97,2)*C188))</f>
        <v>0</v>
      </c>
      <c r="D186" s="2582">
        <f>IF(ISBLANK(D32),0,MIN(D32,VLOOKUP(D188,'Standard Thresholds'!$A$79:$B$97,2)*D188))</f>
        <v>0</v>
      </c>
      <c r="E186" s="2582">
        <f>IF(ISBLANK(E32),0,MIN(E32,VLOOKUP(E188,'Standard Thresholds'!$A$79:$B$97,2)*E188))</f>
        <v>0</v>
      </c>
      <c r="F186" s="2582">
        <f>IF(ISBLANK(F32),0,MIN(F32,VLOOKUP(F188,'Standard Thresholds'!$A$79:$B$97,2)*F188))</f>
        <v>0</v>
      </c>
      <c r="G186" s="2582">
        <f>IF(ISBLANK(G32),0,MIN(G32,VLOOKUP(G188,'Standard Thresholds'!$A$79:$B$97,2)*G188))</f>
        <v>0</v>
      </c>
      <c r="H186" s="2582">
        <f>IF(ISBLANK(H32),0,MIN(H32,VLOOKUP(H188,'Standard Thresholds'!$A$79:$B$97,2)*H188))</f>
        <v>0</v>
      </c>
      <c r="I186" s="2582">
        <f>IF(ISBLANK(I32),0,MIN(I32,VLOOKUP(I188,'Standard Thresholds'!$A$79:$B$97,2)*I188))</f>
        <v>0</v>
      </c>
      <c r="J186" s="2582">
        <f>IF(ISBLANK(J32),0,MIN(J32,VLOOKUP(J188,'Standard Thresholds'!$A$79:$B$97,2)*J188))</f>
        <v>0</v>
      </c>
      <c r="K186" s="2582">
        <f>IF(ISBLANK(K32),0,MIN(K32,VLOOKUP(K188,'Standard Thresholds'!$A$79:$B$97,2)*K188))</f>
        <v>0</v>
      </c>
      <c r="AC186" s="3278">
        <f t="shared" si="41"/>
        <v>0</v>
      </c>
    </row>
    <row r="187" spans="1:35" hidden="1">
      <c r="A187" s="2581"/>
      <c r="B187" s="2578"/>
      <c r="C187" s="2578"/>
      <c r="D187" s="2578"/>
      <c r="E187" s="2578"/>
      <c r="F187" s="2578"/>
      <c r="G187" s="2578"/>
      <c r="H187" s="2578"/>
      <c r="I187" s="2578"/>
      <c r="J187" s="2578"/>
      <c r="K187" s="2578"/>
      <c r="AC187" s="3278">
        <f t="shared" si="41"/>
        <v>0</v>
      </c>
    </row>
    <row r="188" spans="1:35" hidden="1">
      <c r="A188" s="2599" t="s">
        <v>2396</v>
      </c>
      <c r="B188" s="3142">
        <f t="shared" ref="B188:K188" si="58">IF((B93-B42+B39+B40+B35+B36+B82)&lt;0,0,B93-B42+B39+B40+B35+B36+B82)</f>
        <v>0</v>
      </c>
      <c r="C188" s="3142">
        <f t="shared" si="58"/>
        <v>0</v>
      </c>
      <c r="D188" s="3142">
        <f t="shared" si="58"/>
        <v>0</v>
      </c>
      <c r="E188" s="3142">
        <f t="shared" si="58"/>
        <v>0</v>
      </c>
      <c r="F188" s="3142">
        <f t="shared" si="58"/>
        <v>0</v>
      </c>
      <c r="G188" s="3142">
        <f t="shared" si="58"/>
        <v>0</v>
      </c>
      <c r="H188" s="3142">
        <f t="shared" si="58"/>
        <v>0</v>
      </c>
      <c r="I188" s="3142">
        <f t="shared" si="58"/>
        <v>0</v>
      </c>
      <c r="J188" s="3142">
        <f t="shared" si="58"/>
        <v>0</v>
      </c>
      <c r="K188" s="3142">
        <f t="shared" si="58"/>
        <v>0</v>
      </c>
      <c r="AC188" s="3278">
        <f t="shared" si="41"/>
        <v>0</v>
      </c>
    </row>
    <row r="189" spans="1:35" hidden="1">
      <c r="A189" s="2581"/>
      <c r="B189" s="2578"/>
      <c r="C189" s="2578"/>
      <c r="D189" s="2578"/>
      <c r="E189" s="2578"/>
      <c r="F189" s="2578"/>
      <c r="G189" s="2578"/>
      <c r="H189" s="2578"/>
      <c r="I189" s="2578"/>
      <c r="J189" s="2578"/>
      <c r="K189" s="2578"/>
      <c r="AC189" s="3278">
        <f t="shared" si="41"/>
        <v>0</v>
      </c>
      <c r="AH189" s="2558">
        <v>161</v>
      </c>
      <c r="AI189" s="2558">
        <v>162</v>
      </c>
    </row>
    <row r="190" spans="1:35" collapsed="1">
      <c r="A190" s="2581" t="s">
        <v>2397</v>
      </c>
      <c r="B190" s="2576"/>
      <c r="C190" s="2576"/>
      <c r="D190" s="2576"/>
      <c r="E190" s="2576"/>
      <c r="F190" s="2576"/>
      <c r="G190" s="2576"/>
      <c r="H190" s="2576"/>
      <c r="I190" s="2576"/>
      <c r="J190" s="2576"/>
      <c r="K190" s="2576"/>
      <c r="L190" s="3131"/>
      <c r="M190" s="3131"/>
      <c r="N190" s="3131"/>
      <c r="O190" s="3131"/>
      <c r="P190" s="3131"/>
      <c r="Q190" s="3124"/>
      <c r="R190" s="3124"/>
      <c r="S190" s="3124"/>
      <c r="T190" s="3124"/>
      <c r="AC190" s="3278">
        <f t="shared" si="41"/>
        <v>0</v>
      </c>
    </row>
    <row r="191" spans="1:35">
      <c r="A191" s="2581" t="s">
        <v>2398</v>
      </c>
      <c r="B191" s="3127"/>
      <c r="C191" s="3127"/>
      <c r="D191" s="3127"/>
      <c r="E191" s="3127"/>
      <c r="F191" s="3127"/>
      <c r="G191" s="3127"/>
      <c r="H191" s="3127"/>
      <c r="I191" s="3127"/>
      <c r="J191" s="3127"/>
      <c r="K191" s="3127"/>
      <c r="L191" s="2576"/>
      <c r="M191" s="2576"/>
      <c r="N191" s="2576"/>
      <c r="O191" s="2576"/>
      <c r="P191" s="2576"/>
      <c r="Q191" s="2576"/>
      <c r="R191" s="2576"/>
      <c r="S191" s="2576"/>
      <c r="T191" s="2576"/>
      <c r="AC191" s="3278">
        <f t="shared" si="41"/>
        <v>0</v>
      </c>
    </row>
    <row r="192" spans="1:35">
      <c r="B192" s="2578"/>
      <c r="C192" s="2578"/>
      <c r="D192" s="2578"/>
      <c r="E192" s="2578"/>
      <c r="F192" s="2578"/>
      <c r="G192" s="2578"/>
      <c r="H192" s="2578"/>
      <c r="I192" s="2578"/>
      <c r="J192" s="2578"/>
      <c r="K192" s="2578"/>
      <c r="AC192" s="3191"/>
    </row>
    <row r="193" spans="1:29">
      <c r="A193" s="2560" t="s">
        <v>2528</v>
      </c>
      <c r="B193" s="3122">
        <f>B155+B157</f>
        <v>0</v>
      </c>
      <c r="C193" s="3122">
        <f t="shared" ref="C193:T193" si="59">C155+C157</f>
        <v>0</v>
      </c>
      <c r="D193" s="3122">
        <f t="shared" si="59"/>
        <v>0</v>
      </c>
      <c r="E193" s="3122">
        <f t="shared" si="59"/>
        <v>0</v>
      </c>
      <c r="F193" s="3122">
        <f t="shared" si="59"/>
        <v>0</v>
      </c>
      <c r="G193" s="3122">
        <f t="shared" si="59"/>
        <v>0</v>
      </c>
      <c r="H193" s="3122">
        <f t="shared" si="59"/>
        <v>0</v>
      </c>
      <c r="I193" s="3122">
        <f t="shared" si="59"/>
        <v>0</v>
      </c>
      <c r="J193" s="3122">
        <f t="shared" si="59"/>
        <v>0</v>
      </c>
      <c r="K193" s="3122">
        <f t="shared" si="59"/>
        <v>0</v>
      </c>
      <c r="L193" s="3122">
        <f t="shared" si="59"/>
        <v>0</v>
      </c>
      <c r="M193" s="3122">
        <f t="shared" si="59"/>
        <v>0</v>
      </c>
      <c r="N193" s="3122">
        <f t="shared" si="59"/>
        <v>0</v>
      </c>
      <c r="O193" s="3122">
        <f t="shared" si="59"/>
        <v>0</v>
      </c>
      <c r="P193" s="3122">
        <f t="shared" si="59"/>
        <v>0</v>
      </c>
      <c r="Q193" s="3122">
        <f t="shared" si="59"/>
        <v>0</v>
      </c>
      <c r="R193" s="3122">
        <f t="shared" si="59"/>
        <v>0</v>
      </c>
      <c r="S193" s="3122">
        <f t="shared" si="59"/>
        <v>0</v>
      </c>
      <c r="T193" s="3122">
        <f t="shared" si="59"/>
        <v>0</v>
      </c>
      <c r="AC193" s="3191"/>
    </row>
    <row r="194" spans="1:29">
      <c r="A194" s="2560" t="s">
        <v>2770</v>
      </c>
      <c r="B194" s="2589">
        <f>IF(B193&lt;=0,0,B193/B93)</f>
        <v>0</v>
      </c>
      <c r="C194" s="2589">
        <f t="shared" ref="C194:Q194" si="60">IF(C193&lt;=0,0,C193/C93)</f>
        <v>0</v>
      </c>
      <c r="D194" s="2589">
        <f t="shared" si="60"/>
        <v>0</v>
      </c>
      <c r="E194" s="2589">
        <f t="shared" si="60"/>
        <v>0</v>
      </c>
      <c r="F194" s="2589">
        <f t="shared" si="60"/>
        <v>0</v>
      </c>
      <c r="G194" s="2589">
        <f t="shared" si="60"/>
        <v>0</v>
      </c>
      <c r="H194" s="2589">
        <f t="shared" si="60"/>
        <v>0</v>
      </c>
      <c r="I194" s="2589">
        <f t="shared" si="60"/>
        <v>0</v>
      </c>
      <c r="J194" s="2589">
        <f t="shared" si="60"/>
        <v>0</v>
      </c>
      <c r="K194" s="2589">
        <f t="shared" si="60"/>
        <v>0</v>
      </c>
      <c r="L194" s="2589">
        <f t="shared" si="60"/>
        <v>0</v>
      </c>
      <c r="M194" s="2589">
        <f t="shared" si="60"/>
        <v>0</v>
      </c>
      <c r="N194" s="2589">
        <f t="shared" si="60"/>
        <v>0</v>
      </c>
      <c r="O194" s="2589">
        <f t="shared" si="60"/>
        <v>0</v>
      </c>
      <c r="P194" s="2589">
        <f t="shared" si="60"/>
        <v>0</v>
      </c>
      <c r="Q194" s="2589">
        <f t="shared" si="60"/>
        <v>0</v>
      </c>
      <c r="R194" s="2589">
        <f t="shared" ref="R194:T194" si="61">IF(R193&lt;=0,0,R193/R188)</f>
        <v>0</v>
      </c>
      <c r="S194" s="2589">
        <f t="shared" si="61"/>
        <v>0</v>
      </c>
      <c r="T194" s="2589">
        <f t="shared" si="61"/>
        <v>0</v>
      </c>
      <c r="AC194" s="3191"/>
    </row>
    <row r="195" spans="1:29">
      <c r="B195" s="2578"/>
      <c r="C195" s="2578"/>
      <c r="D195" s="2578"/>
      <c r="E195" s="2578"/>
      <c r="F195" s="2578"/>
      <c r="G195" s="2578"/>
      <c r="H195" s="2578"/>
      <c r="I195" s="2578"/>
      <c r="J195" s="2578"/>
      <c r="K195" s="2578"/>
      <c r="AC195" s="3191"/>
    </row>
    <row r="196" spans="1:29">
      <c r="A196" s="2560" t="s">
        <v>2399</v>
      </c>
      <c r="B196" s="3132">
        <f>SUM(B197:B200)</f>
        <v>0</v>
      </c>
      <c r="C196" s="3132">
        <f t="shared" ref="C196:T196" si="62">SUM(C197:C200)</f>
        <v>0</v>
      </c>
      <c r="D196" s="3132">
        <f t="shared" si="62"/>
        <v>0</v>
      </c>
      <c r="E196" s="3132">
        <f t="shared" si="62"/>
        <v>0</v>
      </c>
      <c r="F196" s="3132">
        <f t="shared" si="62"/>
        <v>0</v>
      </c>
      <c r="G196" s="3132">
        <f t="shared" si="62"/>
        <v>0</v>
      </c>
      <c r="H196" s="3132">
        <f t="shared" si="62"/>
        <v>0</v>
      </c>
      <c r="I196" s="3132">
        <f t="shared" si="62"/>
        <v>0</v>
      </c>
      <c r="J196" s="3132">
        <f t="shared" si="62"/>
        <v>0</v>
      </c>
      <c r="K196" s="3132">
        <f t="shared" si="62"/>
        <v>0</v>
      </c>
      <c r="L196" s="3132">
        <f t="shared" si="62"/>
        <v>0</v>
      </c>
      <c r="M196" s="3132">
        <f t="shared" si="62"/>
        <v>0</v>
      </c>
      <c r="N196" s="3132">
        <f t="shared" si="62"/>
        <v>0</v>
      </c>
      <c r="O196" s="3132">
        <f t="shared" si="62"/>
        <v>0</v>
      </c>
      <c r="P196" s="3132">
        <f t="shared" si="62"/>
        <v>0</v>
      </c>
      <c r="Q196" s="3132">
        <f t="shared" si="62"/>
        <v>0</v>
      </c>
      <c r="R196" s="3132">
        <f t="shared" si="62"/>
        <v>0</v>
      </c>
      <c r="S196" s="3132">
        <f t="shared" si="62"/>
        <v>0</v>
      </c>
      <c r="T196" s="3132">
        <f t="shared" si="62"/>
        <v>0</v>
      </c>
      <c r="AC196" s="3191"/>
    </row>
    <row r="197" spans="1:29">
      <c r="A197" s="2581" t="s">
        <v>2400</v>
      </c>
      <c r="B197" s="2576"/>
      <c r="C197" s="2576"/>
      <c r="D197" s="2576"/>
      <c r="E197" s="2576"/>
      <c r="F197" s="2576"/>
      <c r="G197" s="2576"/>
      <c r="H197" s="2576"/>
      <c r="I197" s="2576"/>
      <c r="J197" s="2576"/>
      <c r="K197" s="2576"/>
      <c r="L197" s="3131"/>
      <c r="M197" s="3131"/>
      <c r="N197" s="3131"/>
      <c r="O197" s="3131"/>
      <c r="P197" s="3131"/>
      <c r="Q197" s="3124"/>
      <c r="R197" s="3124"/>
      <c r="S197" s="3124"/>
      <c r="T197" s="3124"/>
      <c r="AC197" s="3278">
        <f t="shared" ref="AC197:AC200" si="63">SUM(B197:T197)</f>
        <v>0</v>
      </c>
    </row>
    <row r="198" spans="1:29">
      <c r="A198" s="2581" t="s">
        <v>31</v>
      </c>
      <c r="B198" s="3122">
        <f>B53+B62</f>
        <v>0</v>
      </c>
      <c r="C198" s="3122">
        <f>C53+C62</f>
        <v>0</v>
      </c>
      <c r="D198" s="3122">
        <f t="shared" ref="D198:T198" si="64">D53+D62</f>
        <v>0</v>
      </c>
      <c r="E198" s="3122">
        <f t="shared" si="64"/>
        <v>0</v>
      </c>
      <c r="F198" s="3122">
        <f t="shared" si="64"/>
        <v>0</v>
      </c>
      <c r="G198" s="3122">
        <f t="shared" si="64"/>
        <v>0</v>
      </c>
      <c r="H198" s="3122">
        <f t="shared" si="64"/>
        <v>0</v>
      </c>
      <c r="I198" s="3122">
        <f t="shared" si="64"/>
        <v>0</v>
      </c>
      <c r="J198" s="3122">
        <f t="shared" si="64"/>
        <v>0</v>
      </c>
      <c r="K198" s="3122">
        <f t="shared" si="64"/>
        <v>0</v>
      </c>
      <c r="L198" s="3122">
        <f t="shared" si="64"/>
        <v>0</v>
      </c>
      <c r="M198" s="3122">
        <f t="shared" si="64"/>
        <v>0</v>
      </c>
      <c r="N198" s="3122">
        <f t="shared" si="64"/>
        <v>0</v>
      </c>
      <c r="O198" s="3122">
        <f t="shared" si="64"/>
        <v>0</v>
      </c>
      <c r="P198" s="3122">
        <f t="shared" si="64"/>
        <v>0</v>
      </c>
      <c r="Q198" s="3122">
        <f t="shared" si="64"/>
        <v>0</v>
      </c>
      <c r="R198" s="3122">
        <f t="shared" si="64"/>
        <v>0</v>
      </c>
      <c r="S198" s="3122">
        <f t="shared" si="64"/>
        <v>0</v>
      </c>
      <c r="T198" s="3122">
        <f t="shared" si="64"/>
        <v>0</v>
      </c>
      <c r="AC198" s="3278">
        <f t="shared" si="63"/>
        <v>0</v>
      </c>
    </row>
    <row r="199" spans="1:29">
      <c r="A199" s="2581" t="s">
        <v>2401</v>
      </c>
      <c r="B199" s="2576"/>
      <c r="C199" s="2576"/>
      <c r="D199" s="2576"/>
      <c r="E199" s="2576"/>
      <c r="F199" s="2576"/>
      <c r="G199" s="2576"/>
      <c r="H199" s="2576"/>
      <c r="I199" s="2576"/>
      <c r="J199" s="2576"/>
      <c r="K199" s="2576"/>
      <c r="L199" s="2576"/>
      <c r="M199" s="2576"/>
      <c r="N199" s="2576"/>
      <c r="O199" s="2576"/>
      <c r="P199" s="2576"/>
      <c r="Q199" s="2576"/>
      <c r="R199" s="2576"/>
      <c r="S199" s="2576"/>
      <c r="T199" s="2576"/>
      <c r="AC199" s="3278">
        <f t="shared" si="63"/>
        <v>0</v>
      </c>
    </row>
    <row r="200" spans="1:29">
      <c r="A200" s="2581" t="s">
        <v>2402</v>
      </c>
      <c r="B200" s="2576"/>
      <c r="C200" s="2576"/>
      <c r="D200" s="2576"/>
      <c r="E200" s="2576"/>
      <c r="F200" s="2576"/>
      <c r="G200" s="2576"/>
      <c r="H200" s="2576"/>
      <c r="I200" s="2576"/>
      <c r="J200" s="2576"/>
      <c r="K200" s="2576"/>
      <c r="L200" s="2576"/>
      <c r="M200" s="2576"/>
      <c r="N200" s="2576"/>
      <c r="O200" s="2576"/>
      <c r="P200" s="2576"/>
      <c r="Q200" s="2576"/>
      <c r="R200" s="2576"/>
      <c r="S200" s="2576"/>
      <c r="T200" s="2576"/>
      <c r="AC200" s="3278">
        <f t="shared" si="63"/>
        <v>0</v>
      </c>
    </row>
    <row r="201" spans="1:29">
      <c r="A201" s="2581"/>
      <c r="B201" s="2578"/>
      <c r="C201" s="2578"/>
      <c r="D201" s="2578"/>
      <c r="E201" s="2578"/>
      <c r="F201" s="2578"/>
      <c r="G201" s="2578"/>
      <c r="H201" s="2578"/>
      <c r="I201" s="2578"/>
      <c r="J201" s="2578"/>
      <c r="K201" s="2578"/>
      <c r="L201" s="2578"/>
      <c r="M201" s="2578"/>
      <c r="N201" s="2578"/>
      <c r="O201" s="2578"/>
      <c r="P201" s="2578"/>
      <c r="Q201" s="2578"/>
      <c r="R201" s="2578"/>
      <c r="S201" s="2578"/>
      <c r="T201" s="2578"/>
      <c r="AC201" s="3191"/>
    </row>
    <row r="202" spans="1:29">
      <c r="A202" s="2560" t="s">
        <v>2529</v>
      </c>
      <c r="B202" s="3122">
        <f>B193-B196</f>
        <v>0</v>
      </c>
      <c r="C202" s="3122">
        <f t="shared" ref="C202:T202" si="65">C193-C196</f>
        <v>0</v>
      </c>
      <c r="D202" s="3122">
        <f t="shared" si="65"/>
        <v>0</v>
      </c>
      <c r="E202" s="3122">
        <f t="shared" si="65"/>
        <v>0</v>
      </c>
      <c r="F202" s="3122">
        <f t="shared" si="65"/>
        <v>0</v>
      </c>
      <c r="G202" s="3122">
        <f t="shared" si="65"/>
        <v>0</v>
      </c>
      <c r="H202" s="3122">
        <f t="shared" si="65"/>
        <v>0</v>
      </c>
      <c r="I202" s="3122">
        <f t="shared" si="65"/>
        <v>0</v>
      </c>
      <c r="J202" s="3122">
        <f t="shared" si="65"/>
        <v>0</v>
      </c>
      <c r="K202" s="3122">
        <f t="shared" si="65"/>
        <v>0</v>
      </c>
      <c r="L202" s="3122">
        <f t="shared" si="65"/>
        <v>0</v>
      </c>
      <c r="M202" s="3122">
        <f t="shared" si="65"/>
        <v>0</v>
      </c>
      <c r="N202" s="3122">
        <f t="shared" si="65"/>
        <v>0</v>
      </c>
      <c r="O202" s="3122">
        <f t="shared" si="65"/>
        <v>0</v>
      </c>
      <c r="P202" s="3122">
        <f t="shared" si="65"/>
        <v>0</v>
      </c>
      <c r="Q202" s="3122">
        <f t="shared" si="65"/>
        <v>0</v>
      </c>
      <c r="R202" s="3122">
        <f t="shared" si="65"/>
        <v>0</v>
      </c>
      <c r="S202" s="3122">
        <f t="shared" si="65"/>
        <v>0</v>
      </c>
      <c r="T202" s="3122">
        <f t="shared" si="65"/>
        <v>0</v>
      </c>
      <c r="AC202" s="3191"/>
    </row>
    <row r="203" spans="1:29">
      <c r="A203" s="2581"/>
      <c r="B203" s="2578"/>
      <c r="C203" s="2578"/>
      <c r="D203" s="2578"/>
      <c r="E203" s="2578"/>
      <c r="F203" s="2578"/>
      <c r="G203" s="2578"/>
      <c r="H203" s="2578"/>
      <c r="I203" s="2578"/>
      <c r="J203" s="2578"/>
      <c r="K203" s="2578"/>
      <c r="L203" s="2578"/>
      <c r="M203" s="2578"/>
      <c r="N203" s="2578"/>
      <c r="O203" s="2578"/>
      <c r="P203" s="2578"/>
      <c r="Q203" s="2578"/>
      <c r="R203" s="2578"/>
      <c r="S203" s="2578"/>
      <c r="T203" s="2578"/>
      <c r="AC203" s="3191"/>
    </row>
    <row r="204" spans="1:29" hidden="1">
      <c r="A204" s="2560" t="s">
        <v>2458</v>
      </c>
      <c r="B204" s="3132">
        <f>SUM(B205:B208)</f>
        <v>0</v>
      </c>
      <c r="C204" s="3132">
        <f t="shared" ref="C204:T204" si="66">SUM(C205:C208)</f>
        <v>0</v>
      </c>
      <c r="D204" s="3132">
        <f t="shared" si="66"/>
        <v>0</v>
      </c>
      <c r="E204" s="3132">
        <f t="shared" si="66"/>
        <v>0</v>
      </c>
      <c r="F204" s="3132">
        <f t="shared" si="66"/>
        <v>0</v>
      </c>
      <c r="G204" s="3132">
        <f t="shared" si="66"/>
        <v>0</v>
      </c>
      <c r="H204" s="3132">
        <f t="shared" si="66"/>
        <v>0</v>
      </c>
      <c r="I204" s="3132">
        <f t="shared" si="66"/>
        <v>0</v>
      </c>
      <c r="J204" s="3132">
        <f t="shared" si="66"/>
        <v>0</v>
      </c>
      <c r="K204" s="3132">
        <f t="shared" si="66"/>
        <v>0</v>
      </c>
      <c r="L204" s="3132">
        <f t="shared" si="66"/>
        <v>0</v>
      </c>
      <c r="M204" s="3132">
        <f t="shared" si="66"/>
        <v>0</v>
      </c>
      <c r="N204" s="3132">
        <f t="shared" si="66"/>
        <v>0</v>
      </c>
      <c r="O204" s="3132">
        <f t="shared" si="66"/>
        <v>0</v>
      </c>
      <c r="P204" s="3132">
        <f t="shared" si="66"/>
        <v>0</v>
      </c>
      <c r="Q204" s="3132">
        <f t="shared" si="66"/>
        <v>0</v>
      </c>
      <c r="R204" s="3132">
        <f t="shared" si="66"/>
        <v>0</v>
      </c>
      <c r="S204" s="3132">
        <f t="shared" si="66"/>
        <v>0</v>
      </c>
      <c r="T204" s="3132">
        <f t="shared" si="66"/>
        <v>0</v>
      </c>
      <c r="AC204" s="3191"/>
    </row>
    <row r="205" spans="1:29">
      <c r="A205" s="2581" t="str">
        <f>"September "&amp;YEAR(Period_End)-1</f>
        <v>September 2023</v>
      </c>
      <c r="B205" s="2576"/>
      <c r="C205" s="2576"/>
      <c r="D205" s="2576"/>
      <c r="E205" s="2576"/>
      <c r="F205" s="2576"/>
      <c r="G205" s="2576"/>
      <c r="H205" s="2576"/>
      <c r="I205" s="2576"/>
      <c r="J205" s="2576"/>
      <c r="K205" s="2576"/>
      <c r="L205" s="2576"/>
      <c r="M205" s="2576"/>
      <c r="N205" s="2576"/>
      <c r="O205" s="2576"/>
      <c r="P205" s="2576"/>
      <c r="Q205" s="2576"/>
      <c r="R205" s="2576"/>
      <c r="S205" s="2576"/>
      <c r="T205" s="2576"/>
      <c r="AC205" s="3278">
        <f t="shared" ref="AC205:AC208" si="67">SUM(B205:T205)</f>
        <v>0</v>
      </c>
    </row>
    <row r="206" spans="1:29">
      <c r="A206" s="2581" t="str">
        <f>"December "&amp;YEAR(Period_End)-1</f>
        <v>December 2023</v>
      </c>
      <c r="B206" s="2576"/>
      <c r="C206" s="2576"/>
      <c r="D206" s="2576"/>
      <c r="E206" s="2576"/>
      <c r="F206" s="2576"/>
      <c r="G206" s="2576"/>
      <c r="H206" s="2576"/>
      <c r="I206" s="2576"/>
      <c r="J206" s="2576"/>
      <c r="K206" s="2576"/>
      <c r="L206" s="2576"/>
      <c r="M206" s="2576"/>
      <c r="N206" s="2576"/>
      <c r="O206" s="2576"/>
      <c r="P206" s="2576"/>
      <c r="Q206" s="2576"/>
      <c r="R206" s="2576"/>
      <c r="S206" s="2576"/>
      <c r="T206" s="2576"/>
      <c r="AC206" s="3278">
        <f t="shared" si="67"/>
        <v>0</v>
      </c>
    </row>
    <row r="207" spans="1:29">
      <c r="A207" s="2581" t="str">
        <f>"March "&amp;YEAR(Period_End)</f>
        <v>March 2024</v>
      </c>
      <c r="B207" s="2576"/>
      <c r="C207" s="2576"/>
      <c r="D207" s="2576"/>
      <c r="E207" s="2576"/>
      <c r="F207" s="2576"/>
      <c r="G207" s="2576"/>
      <c r="H207" s="2576"/>
      <c r="I207" s="2576"/>
      <c r="J207" s="2576"/>
      <c r="K207" s="2576"/>
      <c r="L207" s="2576"/>
      <c r="M207" s="2576"/>
      <c r="N207" s="2576"/>
      <c r="O207" s="2576"/>
      <c r="P207" s="2576"/>
      <c r="Q207" s="2576"/>
      <c r="R207" s="2576"/>
      <c r="S207" s="2576"/>
      <c r="T207" s="2576"/>
      <c r="AC207" s="3278">
        <f t="shared" si="67"/>
        <v>0</v>
      </c>
    </row>
    <row r="208" spans="1:29">
      <c r="A208" s="2581" t="str">
        <f>"June "&amp;YEAR(Period_End)</f>
        <v>June 2024</v>
      </c>
      <c r="B208" s="2576"/>
      <c r="C208" s="2576"/>
      <c r="D208" s="2576"/>
      <c r="E208" s="2576"/>
      <c r="F208" s="2576"/>
      <c r="G208" s="2576"/>
      <c r="H208" s="2576"/>
      <c r="I208" s="2576"/>
      <c r="J208" s="2576"/>
      <c r="K208" s="2576"/>
      <c r="L208" s="2576"/>
      <c r="M208" s="2576"/>
      <c r="N208" s="2576"/>
      <c r="O208" s="2576"/>
      <c r="P208" s="2576"/>
      <c r="Q208" s="2576"/>
      <c r="R208" s="2576"/>
      <c r="S208" s="2576"/>
      <c r="T208" s="2576"/>
      <c r="AC208" s="3278">
        <f t="shared" si="67"/>
        <v>0</v>
      </c>
    </row>
    <row r="209" spans="1:29">
      <c r="A209" s="2581"/>
      <c r="AC209" s="3191"/>
    </row>
    <row r="210" spans="1:29">
      <c r="A210" s="2560" t="s">
        <v>2450</v>
      </c>
      <c r="B210" s="3130">
        <f>B155+B158+B159+B186+B190+B191-SUM(B197:B200,B205:B208)</f>
        <v>0</v>
      </c>
      <c r="C210" s="3130">
        <f t="shared" ref="C210:K210" si="68">C155+C158+C159+C186+C190+C191-SUM(C197:C200,C205:C208)</f>
        <v>0</v>
      </c>
      <c r="D210" s="3130">
        <f t="shared" si="68"/>
        <v>0</v>
      </c>
      <c r="E210" s="3130">
        <f t="shared" si="68"/>
        <v>0</v>
      </c>
      <c r="F210" s="3130">
        <f t="shared" si="68"/>
        <v>0</v>
      </c>
      <c r="G210" s="3130">
        <f t="shared" si="68"/>
        <v>0</v>
      </c>
      <c r="H210" s="3130">
        <f t="shared" si="68"/>
        <v>0</v>
      </c>
      <c r="I210" s="3130">
        <f t="shared" si="68"/>
        <v>0</v>
      </c>
      <c r="J210" s="3130">
        <f t="shared" si="68"/>
        <v>0</v>
      </c>
      <c r="K210" s="3130">
        <f t="shared" si="68"/>
        <v>0</v>
      </c>
      <c r="L210" s="3130">
        <f t="shared" ref="L210:T210" si="69">L155+L191-SUM(L198:L200,L205:L208)</f>
        <v>0</v>
      </c>
      <c r="M210" s="3130">
        <f t="shared" si="69"/>
        <v>0</v>
      </c>
      <c r="N210" s="3130">
        <f t="shared" si="69"/>
        <v>0</v>
      </c>
      <c r="O210" s="3130">
        <f t="shared" si="69"/>
        <v>0</v>
      </c>
      <c r="P210" s="3130">
        <f t="shared" si="69"/>
        <v>0</v>
      </c>
      <c r="Q210" s="3130">
        <f t="shared" si="69"/>
        <v>0</v>
      </c>
      <c r="R210" s="3130">
        <f t="shared" si="69"/>
        <v>0</v>
      </c>
      <c r="S210" s="3130">
        <f t="shared" si="69"/>
        <v>0</v>
      </c>
      <c r="T210" s="3130">
        <f t="shared" si="69"/>
        <v>0</v>
      </c>
      <c r="AC210" s="3191"/>
    </row>
    <row r="211" spans="1:29">
      <c r="A211" s="2560"/>
      <c r="B211" s="2560"/>
      <c r="C211" s="2560"/>
      <c r="D211" s="2560"/>
      <c r="E211" s="2560"/>
      <c r="F211" s="2560"/>
      <c r="G211" s="2560"/>
      <c r="H211" s="2560"/>
      <c r="I211" s="2560"/>
      <c r="J211" s="2560"/>
      <c r="K211" s="2560"/>
      <c r="L211" s="2560"/>
      <c r="M211" s="2560"/>
      <c r="N211" s="2560"/>
      <c r="O211" s="2560"/>
      <c r="P211" s="2560"/>
      <c r="Q211" s="2560"/>
      <c r="R211" s="2560"/>
      <c r="S211" s="2560"/>
      <c r="T211" s="2560"/>
      <c r="U211" s="2560"/>
    </row>
    <row r="212" spans="1:29">
      <c r="A212" s="2560" t="s">
        <v>2766</v>
      </c>
      <c r="B212" s="2560"/>
      <c r="C212" s="2560"/>
      <c r="D212" s="2560"/>
      <c r="E212" s="2560"/>
      <c r="F212" s="2560"/>
      <c r="G212" s="2560"/>
      <c r="H212" s="2560"/>
      <c r="I212" s="2560"/>
      <c r="J212" s="2560"/>
      <c r="K212" s="2560"/>
      <c r="Q212" s="2558"/>
      <c r="R212" s="2558"/>
      <c r="S212" s="2558"/>
      <c r="T212" s="2558"/>
      <c r="AC212" s="3278">
        <v>0</v>
      </c>
    </row>
    <row r="213" spans="1:29">
      <c r="A213" s="3586" t="s">
        <v>2760</v>
      </c>
      <c r="B213" s="3590">
        <f>(B93+B35+B39+B40+B44)</f>
        <v>0</v>
      </c>
      <c r="C213" s="3590">
        <f t="shared" ref="C213:K213" si="70">(C93+C35+C39+C40+C44)</f>
        <v>0</v>
      </c>
      <c r="D213" s="3590">
        <f t="shared" si="70"/>
        <v>0</v>
      </c>
      <c r="E213" s="3590">
        <f t="shared" si="70"/>
        <v>0</v>
      </c>
      <c r="F213" s="3590">
        <f t="shared" si="70"/>
        <v>0</v>
      </c>
      <c r="G213" s="3590">
        <f t="shared" si="70"/>
        <v>0</v>
      </c>
      <c r="H213" s="3590">
        <f t="shared" si="70"/>
        <v>0</v>
      </c>
      <c r="I213" s="3590">
        <f t="shared" si="70"/>
        <v>0</v>
      </c>
      <c r="J213" s="3590">
        <f t="shared" si="70"/>
        <v>0</v>
      </c>
      <c r="K213" s="3590">
        <f t="shared" si="70"/>
        <v>0</v>
      </c>
      <c r="L213" s="3585"/>
      <c r="Q213" s="2558"/>
      <c r="R213" s="2558"/>
      <c r="S213" s="2558"/>
      <c r="T213" s="2558"/>
      <c r="AC213" s="3278">
        <v>0</v>
      </c>
    </row>
    <row r="214" spans="1:29">
      <c r="A214" s="3586"/>
      <c r="B214" s="3584"/>
      <c r="C214" s="3583"/>
      <c r="D214" s="3583"/>
      <c r="E214" s="3583"/>
      <c r="F214" s="3583"/>
      <c r="G214" s="3583"/>
      <c r="H214" s="3583"/>
      <c r="I214" s="3583"/>
      <c r="J214" s="3583"/>
      <c r="K214" s="3583"/>
      <c r="L214" s="3585"/>
      <c r="Q214" s="2558"/>
      <c r="R214" s="2558"/>
      <c r="S214" s="2558"/>
      <c r="T214" s="2558"/>
      <c r="AC214" s="3278">
        <v>0</v>
      </c>
    </row>
    <row r="215" spans="1:29">
      <c r="A215" s="3586" t="s">
        <v>2767</v>
      </c>
      <c r="B215" s="2576"/>
      <c r="C215" s="2576"/>
      <c r="D215" s="2576"/>
      <c r="E215" s="2576"/>
      <c r="F215" s="2576"/>
      <c r="G215" s="2576"/>
      <c r="H215" s="2576"/>
      <c r="I215" s="2576"/>
      <c r="J215" s="2576"/>
      <c r="K215" s="2576"/>
      <c r="L215" s="3585"/>
      <c r="Q215" s="2558"/>
      <c r="R215" s="2558"/>
      <c r="S215" s="2558"/>
      <c r="T215" s="2558"/>
      <c r="AC215" s="3278">
        <v>0</v>
      </c>
    </row>
    <row r="216" spans="1:29">
      <c r="A216" s="3586" t="s">
        <v>2768</v>
      </c>
      <c r="B216" s="3589">
        <f>B82</f>
        <v>0</v>
      </c>
      <c r="C216" s="3589">
        <f t="shared" ref="C216:K216" si="71">C82</f>
        <v>0</v>
      </c>
      <c r="D216" s="3589">
        <f t="shared" si="71"/>
        <v>0</v>
      </c>
      <c r="E216" s="3589">
        <f t="shared" si="71"/>
        <v>0</v>
      </c>
      <c r="F216" s="3589">
        <f t="shared" si="71"/>
        <v>0</v>
      </c>
      <c r="G216" s="3589">
        <f t="shared" si="71"/>
        <v>0</v>
      </c>
      <c r="H216" s="3589">
        <f t="shared" si="71"/>
        <v>0</v>
      </c>
      <c r="I216" s="3589">
        <f t="shared" si="71"/>
        <v>0</v>
      </c>
      <c r="J216" s="3589">
        <f t="shared" si="71"/>
        <v>0</v>
      </c>
      <c r="K216" s="3589">
        <f t="shared" si="71"/>
        <v>0</v>
      </c>
      <c r="L216" s="3585"/>
      <c r="Q216" s="2558"/>
      <c r="R216" s="2558"/>
      <c r="S216" s="2558"/>
      <c r="T216" s="2558"/>
      <c r="AC216" s="3278">
        <v>0</v>
      </c>
    </row>
    <row r="217" spans="1:29" s="2560" customFormat="1">
      <c r="A217" s="3587" t="s">
        <v>2761</v>
      </c>
      <c r="B217" s="2603">
        <f>B215+B216</f>
        <v>0</v>
      </c>
      <c r="C217" s="2603">
        <f t="shared" ref="C217:K217" si="72">C215+C216</f>
        <v>0</v>
      </c>
      <c r="D217" s="2603">
        <f t="shared" si="72"/>
        <v>0</v>
      </c>
      <c r="E217" s="2603">
        <f t="shared" si="72"/>
        <v>0</v>
      </c>
      <c r="F217" s="2603">
        <f t="shared" si="72"/>
        <v>0</v>
      </c>
      <c r="G217" s="2603">
        <f t="shared" si="72"/>
        <v>0</v>
      </c>
      <c r="H217" s="2603">
        <f t="shared" si="72"/>
        <v>0</v>
      </c>
      <c r="I217" s="2603">
        <f t="shared" si="72"/>
        <v>0</v>
      </c>
      <c r="J217" s="2603">
        <f t="shared" si="72"/>
        <v>0</v>
      </c>
      <c r="K217" s="2603">
        <f t="shared" si="72"/>
        <v>0</v>
      </c>
      <c r="L217" s="3585"/>
      <c r="M217" s="2558"/>
      <c r="N217" s="2558"/>
      <c r="O217" s="2558"/>
      <c r="P217" s="2558"/>
      <c r="Q217" s="2558"/>
      <c r="R217" s="2604"/>
      <c r="S217" s="2604"/>
      <c r="T217" s="2604"/>
      <c r="U217" s="3121"/>
      <c r="V217" s="2604"/>
      <c r="W217" s="2604"/>
      <c r="X217" s="2605"/>
      <c r="AC217" s="3278">
        <v>0</v>
      </c>
    </row>
    <row r="218" spans="1:29">
      <c r="B218" s="3131"/>
      <c r="C218" s="3131"/>
      <c r="D218" s="3131"/>
      <c r="E218" s="3131"/>
      <c r="F218" s="3131"/>
      <c r="G218" s="3131"/>
      <c r="H218" s="3131"/>
      <c r="I218" s="3131"/>
      <c r="J218" s="3131"/>
      <c r="K218" s="3131"/>
      <c r="L218" s="3585"/>
      <c r="Q218" s="2558"/>
      <c r="AC218" s="3278">
        <v>0</v>
      </c>
    </row>
    <row r="219" spans="1:29" s="2560" customFormat="1">
      <c r="A219" s="3587" t="s">
        <v>2762</v>
      </c>
      <c r="B219" s="2603">
        <f>B213+B217</f>
        <v>0</v>
      </c>
      <c r="C219" s="2603">
        <f t="shared" ref="C219:K219" si="73">C213+C217</f>
        <v>0</v>
      </c>
      <c r="D219" s="2603">
        <f t="shared" si="73"/>
        <v>0</v>
      </c>
      <c r="E219" s="2603">
        <f t="shared" si="73"/>
        <v>0</v>
      </c>
      <c r="F219" s="2603">
        <f t="shared" si="73"/>
        <v>0</v>
      </c>
      <c r="G219" s="2603">
        <f t="shared" si="73"/>
        <v>0</v>
      </c>
      <c r="H219" s="2603">
        <f t="shared" si="73"/>
        <v>0</v>
      </c>
      <c r="I219" s="2603">
        <f t="shared" si="73"/>
        <v>0</v>
      </c>
      <c r="J219" s="2603">
        <f t="shared" si="73"/>
        <v>0</v>
      </c>
      <c r="K219" s="2603">
        <f t="shared" si="73"/>
        <v>0</v>
      </c>
      <c r="L219" s="3585"/>
      <c r="M219" s="2558"/>
      <c r="N219" s="2558"/>
      <c r="O219" s="2558"/>
      <c r="P219" s="2558"/>
      <c r="Q219" s="2558"/>
      <c r="R219" s="2604"/>
      <c r="S219" s="2604"/>
      <c r="T219" s="2604"/>
      <c r="U219" s="3121"/>
      <c r="V219" s="2604"/>
      <c r="W219" s="2604"/>
      <c r="X219" s="2605"/>
      <c r="AC219" s="3278">
        <v>0</v>
      </c>
    </row>
    <row r="220" spans="1:29">
      <c r="A220" s="2581" t="s">
        <v>2763</v>
      </c>
      <c r="B220" s="3588">
        <f>IF(B219&gt;0,'Standard Thresholds'!$B$187,0)</f>
        <v>0</v>
      </c>
      <c r="C220" s="3588">
        <f>IF(C219&gt;0,'Standard Thresholds'!$B$187,0)</f>
        <v>0</v>
      </c>
      <c r="D220" s="3588">
        <f>IF(D219&gt;0,'Standard Thresholds'!$B$187,0)</f>
        <v>0</v>
      </c>
      <c r="E220" s="3588">
        <f>IF(E219&gt;0,'Standard Thresholds'!$B$187,0)</f>
        <v>0</v>
      </c>
      <c r="F220" s="3588">
        <f>IF(F219&gt;0,'Standard Thresholds'!$B$187,0)</f>
        <v>0</v>
      </c>
      <c r="G220" s="3588">
        <f>IF(G219&gt;0,'Standard Thresholds'!$B$187,0)</f>
        <v>0</v>
      </c>
      <c r="H220" s="3588">
        <f>IF(H219&gt;0,'Standard Thresholds'!$B$187,0)</f>
        <v>0</v>
      </c>
      <c r="I220" s="3588">
        <f>IF(I219&gt;0,'Standard Thresholds'!$B$187,0)</f>
        <v>0</v>
      </c>
      <c r="J220" s="3588">
        <f>IF(J219&gt;0,'Standard Thresholds'!$B$187,0)</f>
        <v>0</v>
      </c>
      <c r="K220" s="3588">
        <f>IF(K219&gt;0,'Standard Thresholds'!$B$187,0)</f>
        <v>0</v>
      </c>
      <c r="L220" s="3585"/>
      <c r="Q220" s="2558"/>
      <c r="AC220" s="3278">
        <v>0</v>
      </c>
    </row>
    <row r="221" spans="1:29">
      <c r="A221" s="2581"/>
      <c r="B221" s="2581"/>
      <c r="C221" s="2581"/>
      <c r="D221" s="2581"/>
      <c r="E221" s="2581"/>
      <c r="F221" s="2581"/>
      <c r="G221" s="2581"/>
      <c r="H221" s="2581"/>
      <c r="I221" s="2581"/>
      <c r="J221" s="2581"/>
      <c r="K221" s="2581"/>
      <c r="L221" s="3585"/>
      <c r="Q221" s="2558"/>
      <c r="AC221" s="3278">
        <v>0</v>
      </c>
    </row>
    <row r="222" spans="1:29" s="2560" customFormat="1">
      <c r="A222" s="3587" t="s">
        <v>2764</v>
      </c>
      <c r="B222" s="2603">
        <f t="shared" ref="B222:K222" si="74">IF(B219&gt;B220,B219-B220,0)</f>
        <v>0</v>
      </c>
      <c r="C222" s="2603">
        <f t="shared" si="74"/>
        <v>0</v>
      </c>
      <c r="D222" s="2603">
        <f t="shared" si="74"/>
        <v>0</v>
      </c>
      <c r="E222" s="2603">
        <f t="shared" si="74"/>
        <v>0</v>
      </c>
      <c r="F222" s="2603">
        <f t="shared" si="74"/>
        <v>0</v>
      </c>
      <c r="G222" s="2603">
        <f t="shared" si="74"/>
        <v>0</v>
      </c>
      <c r="H222" s="2603">
        <f t="shared" si="74"/>
        <v>0</v>
      </c>
      <c r="I222" s="2603">
        <f t="shared" si="74"/>
        <v>0</v>
      </c>
      <c r="J222" s="2603">
        <f t="shared" si="74"/>
        <v>0</v>
      </c>
      <c r="K222" s="2603">
        <f t="shared" si="74"/>
        <v>0</v>
      </c>
      <c r="L222" s="3585"/>
      <c r="M222" s="2558"/>
      <c r="N222" s="2558"/>
      <c r="O222" s="2558"/>
      <c r="P222" s="2558"/>
      <c r="Q222" s="2558"/>
      <c r="R222" s="2604"/>
      <c r="S222" s="2604"/>
      <c r="T222" s="2604"/>
      <c r="U222" s="3121"/>
      <c r="V222" s="2604"/>
      <c r="W222" s="2604"/>
      <c r="X222" s="2605"/>
      <c r="AC222" s="3278">
        <v>0</v>
      </c>
    </row>
    <row r="223" spans="1:29">
      <c r="A223" s="2581" t="s">
        <v>2765</v>
      </c>
      <c r="B223" s="3588">
        <f t="shared" ref="B223:K223" si="75">MIN(B217,B222)</f>
        <v>0</v>
      </c>
      <c r="C223" s="3588">
        <f t="shared" si="75"/>
        <v>0</v>
      </c>
      <c r="D223" s="3588">
        <f t="shared" si="75"/>
        <v>0</v>
      </c>
      <c r="E223" s="3588">
        <f t="shared" si="75"/>
        <v>0</v>
      </c>
      <c r="F223" s="3588">
        <f t="shared" si="75"/>
        <v>0</v>
      </c>
      <c r="G223" s="3588">
        <f t="shared" si="75"/>
        <v>0</v>
      </c>
      <c r="H223" s="3588">
        <f t="shared" si="75"/>
        <v>0</v>
      </c>
      <c r="I223" s="3588">
        <f t="shared" si="75"/>
        <v>0</v>
      </c>
      <c r="J223" s="3588">
        <f t="shared" si="75"/>
        <v>0</v>
      </c>
      <c r="K223" s="3588">
        <f t="shared" si="75"/>
        <v>0</v>
      </c>
      <c r="L223" s="3585"/>
      <c r="Q223" s="2558"/>
      <c r="AC223" s="3278">
        <v>0</v>
      </c>
    </row>
    <row r="224" spans="1:29" s="2560" customFormat="1">
      <c r="A224" s="3591" t="str">
        <f>"Division 293 tax estimate ("&amp;TEXT('Standard Thresholds'!$B$188,"##%")&amp;")"</f>
        <v>Division 293 tax estimate (15%)</v>
      </c>
      <c r="B224" s="3130">
        <f>B223*'Standard Thresholds'!$B$188</f>
        <v>0</v>
      </c>
      <c r="C224" s="3130">
        <f>C223*'Standard Thresholds'!$B$188</f>
        <v>0</v>
      </c>
      <c r="D224" s="3130">
        <f>D223*'Standard Thresholds'!$B$188</f>
        <v>0</v>
      </c>
      <c r="E224" s="3130">
        <f>E223*'Standard Thresholds'!$B$188</f>
        <v>0</v>
      </c>
      <c r="F224" s="3130">
        <f>F223*'Standard Thresholds'!$B$188</f>
        <v>0</v>
      </c>
      <c r="G224" s="3130">
        <f>G223*'Standard Thresholds'!$B$188</f>
        <v>0</v>
      </c>
      <c r="H224" s="3130">
        <f>H223*'Standard Thresholds'!$B$188</f>
        <v>0</v>
      </c>
      <c r="I224" s="3130">
        <f>I223*'Standard Thresholds'!$B$188</f>
        <v>0</v>
      </c>
      <c r="J224" s="3130">
        <f>J223*'Standard Thresholds'!$B$188</f>
        <v>0</v>
      </c>
      <c r="K224" s="3130">
        <f>K223*'Standard Thresholds'!$B$188</f>
        <v>0</v>
      </c>
      <c r="L224" s="3585"/>
      <c r="M224" s="2558"/>
      <c r="N224" s="2558"/>
      <c r="O224" s="2558"/>
      <c r="P224" s="2558"/>
      <c r="Q224" s="2558"/>
      <c r="R224" s="2604"/>
      <c r="S224" s="2604"/>
      <c r="T224" s="2604"/>
      <c r="U224" s="3121"/>
      <c r="V224" s="2604"/>
      <c r="W224" s="2604"/>
      <c r="X224" s="2605"/>
      <c r="AC224" s="3278">
        <f>SUM(B224:K224)</f>
        <v>0</v>
      </c>
    </row>
    <row r="225" spans="1:17">
      <c r="B225" s="3104"/>
      <c r="L225" s="3585"/>
      <c r="Q225" s="2558"/>
    </row>
    <row r="226" spans="1:17">
      <c r="B226" s="3104"/>
    </row>
    <row r="227" spans="1:17" ht="18">
      <c r="A227" s="2602" t="s">
        <v>2404</v>
      </c>
    </row>
    <row r="228" spans="1:17" ht="15">
      <c r="A228" s="3592" t="s">
        <v>2405</v>
      </c>
      <c r="B228" s="3593">
        <f>SUM(B71:T71)</f>
        <v>0</v>
      </c>
    </row>
    <row r="229" spans="1:17" ht="15">
      <c r="A229" s="3594" t="s">
        <v>2406</v>
      </c>
      <c r="B229" s="3595">
        <f>SUM(B89:T89)</f>
        <v>0</v>
      </c>
    </row>
    <row r="230" spans="1:17" ht="15.75" thickBot="1">
      <c r="A230" s="3594" t="s">
        <v>2407</v>
      </c>
      <c r="B230" s="3596">
        <f>B228-B229</f>
        <v>0</v>
      </c>
    </row>
    <row r="231" spans="1:17" ht="15.75" thickTop="1">
      <c r="A231" s="3594"/>
      <c r="B231" s="3597"/>
    </row>
    <row r="232" spans="1:17" ht="15">
      <c r="A232" s="3594" t="s">
        <v>2408</v>
      </c>
      <c r="B232" s="3598">
        <f>SUM(B98:T98)</f>
        <v>0</v>
      </c>
    </row>
    <row r="233" spans="1:17" ht="15">
      <c r="A233" s="3594" t="s">
        <v>2403</v>
      </c>
      <c r="B233" s="3598">
        <f>SUM(B210:T210)</f>
        <v>0</v>
      </c>
    </row>
    <row r="234" spans="1:17" ht="15">
      <c r="A234" s="3594"/>
      <c r="B234" s="3598"/>
    </row>
    <row r="235" spans="1:17" ht="15">
      <c r="A235" s="3599" t="str">
        <f>A224</f>
        <v>Division 293 tax estimate (15%)</v>
      </c>
      <c r="B235" s="3600">
        <f>SUM(B224:K224)</f>
        <v>0</v>
      </c>
    </row>
    <row r="238" spans="1:17" ht="200.25" customHeight="1"/>
    <row r="262" spans="1:17">
      <c r="A262" s="3144"/>
      <c r="B262" s="3144"/>
      <c r="C262" s="3144"/>
      <c r="D262" s="3144"/>
      <c r="E262" s="3144"/>
      <c r="F262" s="3144"/>
      <c r="G262" s="3144"/>
      <c r="H262" s="3144"/>
      <c r="I262" s="3144"/>
      <c r="J262" s="3144"/>
      <c r="K262" s="3144"/>
      <c r="L262" s="3144"/>
      <c r="M262" s="3144"/>
      <c r="N262" s="3144"/>
      <c r="O262" s="3144"/>
      <c r="P262" s="3144"/>
      <c r="Q262" s="3144"/>
    </row>
    <row r="263" spans="1:17">
      <c r="A263" s="3144"/>
      <c r="B263" s="3144"/>
      <c r="C263" s="3144"/>
      <c r="D263" s="3144"/>
      <c r="E263" s="3144"/>
      <c r="F263" s="3144"/>
      <c r="G263" s="3144"/>
      <c r="H263" s="3144"/>
      <c r="I263" s="3144"/>
      <c r="J263" s="3144"/>
      <c r="K263" s="3144"/>
      <c r="L263" s="3144"/>
      <c r="M263" s="3144"/>
      <c r="N263" s="3144"/>
      <c r="O263" s="3144"/>
      <c r="P263" s="3144"/>
      <c r="Q263" s="3144"/>
    </row>
    <row r="281" spans="1:24">
      <c r="U281" s="2558"/>
    </row>
    <row r="282" spans="1:24">
      <c r="U282" s="2558"/>
    </row>
    <row r="283" spans="1:24">
      <c r="A283" s="1620"/>
      <c r="U283" s="2558"/>
      <c r="V283" s="2558"/>
      <c r="W283" s="2558"/>
      <c r="X283" s="2558"/>
    </row>
    <row r="284" spans="1:24">
      <c r="A284" s="1620"/>
      <c r="U284" s="2558"/>
      <c r="V284" s="2558"/>
      <c r="W284" s="2558"/>
      <c r="X284" s="2558"/>
    </row>
    <row r="285" spans="1:24">
      <c r="A285" s="1620"/>
    </row>
    <row r="286" spans="1:24">
      <c r="A286" s="1620"/>
    </row>
    <row r="287" spans="1:24">
      <c r="A287" s="1620"/>
    </row>
    <row r="288" spans="1:24">
      <c r="A288" s="1620"/>
      <c r="U288" s="2558"/>
      <c r="V288" s="2558"/>
      <c r="W288" s="2558"/>
      <c r="X288" s="2558"/>
    </row>
    <row r="289" spans="1:24">
      <c r="A289" s="1620"/>
      <c r="U289" s="2558"/>
      <c r="V289" s="2558"/>
      <c r="W289" s="2558"/>
      <c r="X289" s="2558"/>
    </row>
    <row r="290" spans="1:24">
      <c r="A290" s="1620"/>
      <c r="U290" s="2558"/>
      <c r="V290" s="2558"/>
      <c r="W290" s="2558"/>
      <c r="X290" s="2558"/>
    </row>
    <row r="291" spans="1:24">
      <c r="A291" s="1620"/>
      <c r="U291" s="2558"/>
      <c r="V291" s="2558"/>
      <c r="W291" s="2558"/>
      <c r="X291" s="2558"/>
    </row>
    <row r="292" spans="1:24">
      <c r="U292" s="2558"/>
      <c r="V292" s="2558"/>
      <c r="W292" s="2558"/>
      <c r="X292" s="2558"/>
    </row>
    <row r="293" spans="1:24">
      <c r="U293" s="2558"/>
      <c r="V293" s="2558"/>
      <c r="W293" s="2558"/>
      <c r="X293" s="2558"/>
    </row>
    <row r="294" spans="1:24">
      <c r="U294" s="2558"/>
      <c r="V294" s="2558"/>
      <c r="W294" s="2558"/>
      <c r="X294" s="2558"/>
    </row>
    <row r="295" spans="1:24">
      <c r="U295" s="2558"/>
      <c r="V295" s="2558"/>
      <c r="W295" s="2558"/>
      <c r="X295" s="2558"/>
    </row>
    <row r="296" spans="1:24">
      <c r="U296" s="2558"/>
      <c r="V296" s="2558"/>
      <c r="W296" s="2558"/>
      <c r="X296" s="2558"/>
    </row>
    <row r="297" spans="1:24">
      <c r="U297" s="2558"/>
      <c r="V297" s="2558"/>
      <c r="W297" s="2558"/>
      <c r="X297" s="2558"/>
    </row>
    <row r="298" spans="1:24">
      <c r="U298" s="2558"/>
      <c r="V298" s="2558"/>
      <c r="W298" s="2558"/>
      <c r="X298" s="2558"/>
    </row>
    <row r="299" spans="1:24">
      <c r="U299" s="2558"/>
      <c r="V299" s="2558"/>
      <c r="W299" s="2558"/>
      <c r="X299" s="2558"/>
    </row>
  </sheetData>
  <mergeCells count="1">
    <mergeCell ref="B7:P8"/>
  </mergeCells>
  <conditionalFormatting sqref="X328">
    <cfRule type="expression" dxfId="102" priority="1" stopIfTrue="1">
      <formula>SUM($328:$328)=0</formula>
    </cfRule>
  </conditionalFormatting>
  <dataValidations count="5">
    <dataValidation type="list" allowBlank="1" showInputMessage="1" showErrorMessage="1" sqref="B17:K17" xr:uid="{83AD2006-7CAF-4CC3-B51E-F562D647E43F}">
      <formula1>$B$12:$K$12</formula1>
    </dataValidation>
    <dataValidation type="list" allowBlank="1" showInputMessage="1" showErrorMessage="1" sqref="B13:K13" xr:uid="{8B85B6F1-47E1-4D9D-A1A2-341B7CED9669}">
      <formula1>$AC$14:$AC$16</formula1>
    </dataValidation>
    <dataValidation type="list" allowBlank="1" showInputMessage="1" showErrorMessage="1" sqref="B24:O24 B19:K21" xr:uid="{D909C602-70EB-458C-8EF0-4BA4EE04DFD6}">
      <formula1>$AC$18:$AC$19</formula1>
    </dataValidation>
    <dataValidation type="list" allowBlank="1" showInputMessage="1" showErrorMessage="1" sqref="Q13:T13" xr:uid="{7F649F85-A387-4CBC-B1FC-6950A4893377}">
      <formula1>$AC$14:$AC$15</formula1>
    </dataValidation>
    <dataValidation type="whole" allowBlank="1" showInputMessage="1" showErrorMessage="1" errorTitle="Invalid data" error="Value must be between 0 and 365 (or 366 for a leap year)" sqref="B16:K16 Q16:T16" xr:uid="{A1F4E5D8-8467-42DF-A0F0-AFC73F604147}">
      <formula1>0</formula1>
      <formula2>$AC$22</formula2>
    </dataValidation>
  </dataValidations>
  <hyperlinks>
    <hyperlink ref="V11" location="'WPIndex'!A1" display="Back to Workpaper Index" xr:uid="{8F4FA86F-70A4-404C-81AF-CE37F79BDD5E}"/>
  </hyperlinks>
  <printOptions horizontalCentered="1"/>
  <pageMargins left="0.59055118110236227" right="0.43307086614173229" top="0.6692913385826772" bottom="0.6692913385826772" header="0.51181102362204722" footer="0.19685039370078741"/>
  <pageSetup paperSize="9" scale="31" orientation="portrait" r:id="rId1"/>
  <headerFooter alignWithMargins="0">
    <oddFooter>&amp;L&amp;8© Findex (Aust) Pty Ltd.  All rights reserved.</oddFooter>
  </headerFooter>
  <drawing r:id="rId2"/>
  <legacyDrawing r:id="rId3"/>
  <controls>
    <mc:AlternateContent xmlns:mc="http://schemas.openxmlformats.org/markup-compatibility/2006">
      <mc:Choice Requires="x14">
        <control shapeId="407570" r:id="rId4" name="ToggleButton_HideBlankRows">
          <controlPr defaultSize="0" autoLine="0" r:id="rId5">
            <anchor moveWithCells="1">
              <from>
                <xdr:col>0</xdr:col>
                <xdr:colOff>1914525</xdr:colOff>
                <xdr:row>3</xdr:row>
                <xdr:rowOff>9525</xdr:rowOff>
              </from>
              <to>
                <xdr:col>0</xdr:col>
                <xdr:colOff>2933700</xdr:colOff>
                <xdr:row>4</xdr:row>
                <xdr:rowOff>66675</xdr:rowOff>
              </to>
            </anchor>
          </controlPr>
        </control>
      </mc:Choice>
      <mc:Fallback>
        <control shapeId="407570" r:id="rId4" name="ToggleButton_HideBlankRows"/>
      </mc:Fallback>
    </mc:AlternateContent>
    <mc:AlternateContent xmlns:mc="http://schemas.openxmlformats.org/markup-compatibility/2006">
      <mc:Choice Requires="x14">
        <control shapeId="407569" r:id="rId6" name="Label_Company">
          <controlPr defaultSize="0" autoLine="0" r:id="rId7">
            <anchor moveWithCells="1">
              <from>
                <xdr:col>0</xdr:col>
                <xdr:colOff>1000125</xdr:colOff>
                <xdr:row>0</xdr:row>
                <xdr:rowOff>152400</xdr:rowOff>
              </from>
              <to>
                <xdr:col>0</xdr:col>
                <xdr:colOff>1504950</xdr:colOff>
                <xdr:row>1</xdr:row>
                <xdr:rowOff>142875</xdr:rowOff>
              </to>
            </anchor>
          </controlPr>
        </control>
      </mc:Choice>
      <mc:Fallback>
        <control shapeId="407569" r:id="rId6" name="Label_Company"/>
      </mc:Fallback>
    </mc:AlternateContent>
    <mc:AlternateContent xmlns:mc="http://schemas.openxmlformats.org/markup-compatibility/2006">
      <mc:Choice Requires="x14">
        <control shapeId="407568" r:id="rId8" name="Label_Ind">
          <controlPr defaultSize="0" autoLine="0" r:id="rId9">
            <anchor moveWithCells="1">
              <from>
                <xdr:col>0</xdr:col>
                <xdr:colOff>257175</xdr:colOff>
                <xdr:row>0</xdr:row>
                <xdr:rowOff>152400</xdr:rowOff>
              </from>
              <to>
                <xdr:col>0</xdr:col>
                <xdr:colOff>752475</xdr:colOff>
                <xdr:row>1</xdr:row>
                <xdr:rowOff>142875</xdr:rowOff>
              </to>
            </anchor>
          </controlPr>
        </control>
      </mc:Choice>
      <mc:Fallback>
        <control shapeId="407568" r:id="rId8" name="Label_Ind"/>
      </mc:Fallback>
    </mc:AlternateContent>
    <mc:AlternateContent xmlns:mc="http://schemas.openxmlformats.org/markup-compatibility/2006">
      <mc:Choice Requires="x14">
        <control shapeId="407565" r:id="rId10" name="Label_SuperFund">
          <controlPr defaultSize="0" autoLine="0" r:id="rId11">
            <anchor moveWithCells="1">
              <from>
                <xdr:col>0</xdr:col>
                <xdr:colOff>1790700</xdr:colOff>
                <xdr:row>0</xdr:row>
                <xdr:rowOff>152400</xdr:rowOff>
              </from>
              <to>
                <xdr:col>0</xdr:col>
                <xdr:colOff>2247900</xdr:colOff>
                <xdr:row>1</xdr:row>
                <xdr:rowOff>142875</xdr:rowOff>
              </to>
            </anchor>
          </controlPr>
        </control>
      </mc:Choice>
      <mc:Fallback>
        <control shapeId="407565" r:id="rId10" name="Label_SuperFund"/>
      </mc:Fallback>
    </mc:AlternateContent>
    <mc:AlternateContent xmlns:mc="http://schemas.openxmlformats.org/markup-compatibility/2006">
      <mc:Choice Requires="x14">
        <control shapeId="407564" r:id="rId12" name="ToggleButton_HideOffsets">
          <controlPr defaultSize="0" autoLine="0" r:id="rId13">
            <anchor moveWithCells="1">
              <from>
                <xdr:col>0</xdr:col>
                <xdr:colOff>1009650</xdr:colOff>
                <xdr:row>3</xdr:row>
                <xdr:rowOff>0</xdr:rowOff>
              </from>
              <to>
                <xdr:col>0</xdr:col>
                <xdr:colOff>1790700</xdr:colOff>
                <xdr:row>4</xdr:row>
                <xdr:rowOff>57150</xdr:rowOff>
              </to>
            </anchor>
          </controlPr>
        </control>
      </mc:Choice>
      <mc:Fallback>
        <control shapeId="407564" r:id="rId12" name="ToggleButton_HideOffsets"/>
      </mc:Fallback>
    </mc:AlternateContent>
    <mc:AlternateContent xmlns:mc="http://schemas.openxmlformats.org/markup-compatibility/2006">
      <mc:Choice Requires="x14">
        <control shapeId="407563" r:id="rId14" name="ToggleButton_HideInputs">
          <controlPr defaultSize="0" autoLine="0" r:id="rId15">
            <anchor moveWithCells="1">
              <from>
                <xdr:col>0</xdr:col>
                <xdr:colOff>95250</xdr:colOff>
                <xdr:row>3</xdr:row>
                <xdr:rowOff>0</xdr:rowOff>
              </from>
              <to>
                <xdr:col>0</xdr:col>
                <xdr:colOff>876300</xdr:colOff>
                <xdr:row>4</xdr:row>
                <xdr:rowOff>57150</xdr:rowOff>
              </to>
            </anchor>
          </controlPr>
        </control>
      </mc:Choice>
      <mc:Fallback>
        <control shapeId="407563" r:id="rId14" name="ToggleButton_HideInputs"/>
      </mc:Fallback>
    </mc:AlternateContent>
    <mc:AlternateContent xmlns:mc="http://schemas.openxmlformats.org/markup-compatibility/2006">
      <mc:Choice Requires="x14">
        <control shapeId="407561" r:id="rId16" name="SpinButton_Company">
          <controlPr defaultSize="0" autoLine="0" r:id="rId17">
            <anchor moveWithCells="1">
              <from>
                <xdr:col>0</xdr:col>
                <xdr:colOff>800100</xdr:colOff>
                <xdr:row>0</xdr:row>
                <xdr:rowOff>66675</xdr:rowOff>
              </from>
              <to>
                <xdr:col>0</xdr:col>
                <xdr:colOff>1000125</xdr:colOff>
                <xdr:row>2</xdr:row>
                <xdr:rowOff>76200</xdr:rowOff>
              </to>
            </anchor>
          </controlPr>
        </control>
      </mc:Choice>
      <mc:Fallback>
        <control shapeId="407561" r:id="rId16" name="SpinButton_Company"/>
      </mc:Fallback>
    </mc:AlternateContent>
    <mc:AlternateContent xmlns:mc="http://schemas.openxmlformats.org/markup-compatibility/2006">
      <mc:Choice Requires="x14">
        <control shapeId="407559" r:id="rId18" name="SpinButton_Ind">
          <controlPr defaultSize="0" autoLine="0" r:id="rId17">
            <anchor moveWithCells="1">
              <from>
                <xdr:col>0</xdr:col>
                <xdr:colOff>19050</xdr:colOff>
                <xdr:row>0</xdr:row>
                <xdr:rowOff>66675</xdr:rowOff>
              </from>
              <to>
                <xdr:col>0</xdr:col>
                <xdr:colOff>219075</xdr:colOff>
                <xdr:row>2</xdr:row>
                <xdr:rowOff>76200</xdr:rowOff>
              </to>
            </anchor>
          </controlPr>
        </control>
      </mc:Choice>
      <mc:Fallback>
        <control shapeId="407559" r:id="rId18" name="SpinButton_Ind"/>
      </mc:Fallback>
    </mc:AlternateContent>
    <mc:AlternateContent xmlns:mc="http://schemas.openxmlformats.org/markup-compatibility/2006">
      <mc:Choice Requires="x14">
        <control shapeId="407557" r:id="rId19" name="SpinButton_SuperFund">
          <controlPr defaultSize="0" autoLine="0" r:id="rId17">
            <anchor moveWithCells="1">
              <from>
                <xdr:col>0</xdr:col>
                <xdr:colOff>1581150</xdr:colOff>
                <xdr:row>0</xdr:row>
                <xdr:rowOff>66675</xdr:rowOff>
              </from>
              <to>
                <xdr:col>0</xdr:col>
                <xdr:colOff>1781175</xdr:colOff>
                <xdr:row>2</xdr:row>
                <xdr:rowOff>76200</xdr:rowOff>
              </to>
            </anchor>
          </controlPr>
        </control>
      </mc:Choice>
      <mc:Fallback>
        <control shapeId="407557" r:id="rId19" name="SpinButton_SuperFund"/>
      </mc:Fallback>
    </mc:AlternateContent>
    <mc:AlternateContent xmlns:mc="http://schemas.openxmlformats.org/markup-compatibility/2006">
      <mc:Choice Requires="x14">
        <control shapeId="407556" r:id="rId20" name="Label_Minor">
          <controlPr defaultSize="0" autoLine="0" r:id="rId21">
            <anchor moveWithCells="1">
              <from>
                <xdr:col>0</xdr:col>
                <xdr:colOff>2514600</xdr:colOff>
                <xdr:row>0</xdr:row>
                <xdr:rowOff>152400</xdr:rowOff>
              </from>
              <to>
                <xdr:col>0</xdr:col>
                <xdr:colOff>3105150</xdr:colOff>
                <xdr:row>1</xdr:row>
                <xdr:rowOff>133350</xdr:rowOff>
              </to>
            </anchor>
          </controlPr>
        </control>
      </mc:Choice>
      <mc:Fallback>
        <control shapeId="407556" r:id="rId20" name="Label_Minor"/>
      </mc:Fallback>
    </mc:AlternateContent>
    <mc:AlternateContent xmlns:mc="http://schemas.openxmlformats.org/markup-compatibility/2006">
      <mc:Choice Requires="x14">
        <control shapeId="407555" r:id="rId22" name="SpinButton_Minor">
          <controlPr defaultSize="0" autoLine="0" r:id="rId17">
            <anchor moveWithCells="1">
              <from>
                <xdr:col>0</xdr:col>
                <xdr:colOff>2305050</xdr:colOff>
                <xdr:row>0</xdr:row>
                <xdr:rowOff>66675</xdr:rowOff>
              </from>
              <to>
                <xdr:col>0</xdr:col>
                <xdr:colOff>2505075</xdr:colOff>
                <xdr:row>2</xdr:row>
                <xdr:rowOff>76200</xdr:rowOff>
              </to>
            </anchor>
          </controlPr>
        </control>
      </mc:Choice>
      <mc:Fallback>
        <control shapeId="407555" r:id="rId22" name="SpinButton_Minor"/>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FF6E9-CEE5-4E25-A660-BB01A060310C}">
  <sheetPr codeName="Sheet15">
    <tabColor theme="8" tint="0.79998168889431442"/>
  </sheetPr>
  <dimension ref="A1:AB113"/>
  <sheetViews>
    <sheetView showGridLines="0" zoomScaleNormal="100" workbookViewId="0">
      <selection sqref="A1:F1"/>
    </sheetView>
  </sheetViews>
  <sheetFormatPr defaultColWidth="9" defaultRowHeight="12.75"/>
  <cols>
    <col min="1" max="1" width="14.7109375" style="1064" customWidth="1"/>
    <col min="2" max="2" width="38" style="1064" customWidth="1"/>
    <col min="3" max="11" width="15.28515625" style="1064" customWidth="1"/>
    <col min="12" max="12" width="9" style="1064" customWidth="1"/>
    <col min="13" max="13" width="9" style="1064"/>
    <col min="14" max="14" width="12.85546875" style="1064" hidden="1" customWidth="1"/>
    <col min="15" max="15" width="9" style="1064" hidden="1" customWidth="1"/>
    <col min="16" max="16" width="9" style="1064" customWidth="1"/>
    <col min="17" max="16384" width="9" style="1064"/>
  </cols>
  <sheetData>
    <row r="1" spans="1:17" customFormat="1" ht="18.75" customHeight="1">
      <c r="A1" s="1064"/>
      <c r="B1" s="1064"/>
      <c r="C1" s="1064"/>
      <c r="D1" s="1064"/>
      <c r="E1" s="1064"/>
      <c r="F1" s="1064"/>
      <c r="G1" s="1064"/>
      <c r="H1" s="1064"/>
      <c r="I1" s="1064"/>
      <c r="J1" s="1064"/>
      <c r="K1" s="1064"/>
      <c r="O1" s="1483" t="s">
        <v>2784</v>
      </c>
    </row>
    <row r="2" spans="1:17" customFormat="1" ht="22.7" customHeight="1">
      <c r="A2" s="1094"/>
      <c r="B2" s="1093"/>
      <c r="C2" s="1114"/>
      <c r="D2" s="3684" t="s">
        <v>2802</v>
      </c>
      <c r="E2" s="3654" t="s">
        <v>2801</v>
      </c>
      <c r="F2" s="1064"/>
      <c r="G2" s="1064"/>
      <c r="H2" s="3607" t="s">
        <v>332</v>
      </c>
      <c r="I2" s="2624"/>
      <c r="J2" s="2623"/>
      <c r="K2" s="1064"/>
      <c r="O2" s="1587" t="s">
        <v>1137</v>
      </c>
    </row>
    <row r="3" spans="1:17" customFormat="1" ht="22.7" customHeight="1">
      <c r="A3" s="1094"/>
      <c r="B3" s="1093"/>
      <c r="C3" s="1114"/>
      <c r="D3" s="1114"/>
      <c r="E3" s="1064"/>
      <c r="F3" s="1064"/>
      <c r="G3" s="1064"/>
      <c r="H3" s="3607" t="s">
        <v>333</v>
      </c>
      <c r="I3" s="2625"/>
      <c r="J3" s="2626"/>
      <c r="K3" s="3247" t="s">
        <v>2526</v>
      </c>
    </row>
    <row r="4" spans="1:17" customFormat="1" ht="15.75">
      <c r="A4" s="1094"/>
      <c r="B4" s="1113"/>
      <c r="C4" s="1114"/>
      <c r="D4" s="1114"/>
      <c r="E4" s="1114"/>
      <c r="F4" s="1093"/>
      <c r="G4" s="1093"/>
      <c r="H4" s="1064"/>
      <c r="I4" s="1064"/>
      <c r="J4" s="1064"/>
      <c r="K4" s="1064"/>
      <c r="O4" s="1587" t="s">
        <v>324</v>
      </c>
    </row>
    <row r="5" spans="1:17" customFormat="1" ht="14.65" customHeight="1">
      <c r="A5" s="3758" t="s">
        <v>2777</v>
      </c>
      <c r="B5" s="3758"/>
      <c r="C5" s="3758"/>
      <c r="D5" s="3758"/>
      <c r="E5" s="3758"/>
      <c r="F5" s="3758"/>
      <c r="G5" s="3758"/>
      <c r="H5" s="3758"/>
      <c r="I5" s="3758"/>
      <c r="J5" s="3758"/>
      <c r="K5" s="3758"/>
      <c r="N5" s="1064"/>
      <c r="O5" s="1587" t="s">
        <v>2781</v>
      </c>
      <c r="P5" s="1064"/>
      <c r="Q5" s="1483"/>
    </row>
    <row r="6" spans="1:17" customFormat="1" ht="14.65" customHeight="1">
      <c r="A6" s="1064"/>
      <c r="B6" s="1064"/>
      <c r="C6" s="1064"/>
      <c r="D6" s="1064"/>
      <c r="E6" s="1064"/>
      <c r="F6" s="1064"/>
      <c r="G6" s="1064"/>
      <c r="H6" s="1064"/>
      <c r="I6" s="1064"/>
      <c r="J6" s="3608" t="s">
        <v>951</v>
      </c>
      <c r="K6" s="3609">
        <f>Period_End</f>
        <v>45473</v>
      </c>
      <c r="N6" s="1064"/>
      <c r="P6" s="1064"/>
      <c r="Q6" s="1483"/>
    </row>
    <row r="7" spans="1:17" customFormat="1" ht="14.65" customHeight="1">
      <c r="A7" s="1064"/>
      <c r="B7" s="1064"/>
      <c r="C7" s="1064"/>
      <c r="D7" s="1064"/>
      <c r="E7" s="1064"/>
      <c r="F7" s="1064"/>
      <c r="G7" s="1064"/>
      <c r="H7" s="1064"/>
      <c r="I7" s="1064"/>
      <c r="J7" s="3608"/>
      <c r="K7" s="3609"/>
      <c r="N7" s="1064"/>
      <c r="P7" s="1064"/>
      <c r="Q7" s="1483"/>
    </row>
    <row r="8" spans="1:17" customFormat="1" ht="14.65" customHeight="1">
      <c r="A8" s="1064"/>
      <c r="B8" s="1064"/>
      <c r="C8" s="1064"/>
      <c r="D8" s="1064"/>
      <c r="E8" s="1064"/>
      <c r="F8" s="1064"/>
      <c r="G8" s="1064"/>
      <c r="H8" s="1064"/>
      <c r="I8" s="1064"/>
      <c r="J8" s="3608"/>
      <c r="K8" s="3609"/>
      <c r="N8" s="1064"/>
      <c r="P8" s="1064"/>
      <c r="Q8" s="1483"/>
    </row>
    <row r="9" spans="1:17" customFormat="1" ht="14.65" customHeight="1">
      <c r="A9" s="1064"/>
      <c r="B9" s="1064"/>
      <c r="C9" s="1064"/>
      <c r="D9" s="1064"/>
      <c r="E9" s="1064"/>
      <c r="F9" s="1064"/>
      <c r="G9" s="1064"/>
      <c r="H9" s="1064"/>
      <c r="I9" s="1064"/>
      <c r="J9" s="3608"/>
      <c r="K9" s="3609"/>
      <c r="N9" s="1064"/>
      <c r="P9" s="1064"/>
      <c r="Q9" s="1483"/>
    </row>
    <row r="10" spans="1:17" customFormat="1" ht="14.65" customHeight="1">
      <c r="A10" s="1064"/>
      <c r="B10" s="1064"/>
      <c r="C10" s="1064"/>
      <c r="D10" s="1064"/>
      <c r="E10" s="1064"/>
      <c r="F10" s="1064"/>
      <c r="G10" s="1064"/>
      <c r="H10" s="1064"/>
      <c r="I10" s="1064"/>
      <c r="J10" s="3608"/>
      <c r="K10" s="3609"/>
      <c r="N10" s="1064"/>
      <c r="P10" s="1064"/>
      <c r="Q10" s="1483"/>
    </row>
    <row r="11" spans="1:17" customFormat="1" ht="14.65" customHeight="1">
      <c r="A11" s="1064"/>
      <c r="B11" s="1064"/>
      <c r="C11" s="1064"/>
      <c r="D11" s="1064"/>
      <c r="E11" s="1064"/>
      <c r="F11" s="1064"/>
      <c r="G11" s="1064"/>
      <c r="H11" s="1064"/>
      <c r="I11" s="1064"/>
      <c r="J11" s="3608"/>
      <c r="K11" s="3609"/>
      <c r="N11" s="1064"/>
      <c r="P11" s="1064"/>
      <c r="Q11" s="1483"/>
    </row>
    <row r="12" spans="1:17" customFormat="1" ht="12.75" customHeight="1">
      <c r="A12" s="3610"/>
      <c r="B12" s="3610"/>
      <c r="C12" s="3610"/>
      <c r="D12" s="3610"/>
      <c r="E12" s="3610"/>
      <c r="F12" s="3610"/>
      <c r="G12" s="3610"/>
      <c r="H12" s="3610"/>
      <c r="I12" s="3610"/>
      <c r="J12" s="3610"/>
      <c r="K12" s="3610"/>
      <c r="M12" s="1064"/>
      <c r="N12" s="1064"/>
      <c r="O12" s="822">
        <f>YEAR(K6)</f>
        <v>2024</v>
      </c>
      <c r="P12" s="822"/>
    </row>
    <row r="13" spans="1:17" customFormat="1" ht="12.75" customHeight="1">
      <c r="A13" s="3759" t="str">
        <f>RIGHT(YEAR(Period_End),4)&amp;" Tax Timetable - "&amp;E2&amp;" Group"</f>
        <v>2024 Tax Timetable - NAME Group</v>
      </c>
      <c r="B13" s="3760"/>
      <c r="C13" s="3760"/>
      <c r="D13" s="3760"/>
      <c r="E13" s="3760"/>
      <c r="F13" s="3760"/>
      <c r="G13" s="3760"/>
      <c r="H13" s="3760"/>
      <c r="I13" s="3760"/>
      <c r="J13" s="3760"/>
      <c r="K13" s="3761"/>
      <c r="M13" s="1064"/>
      <c r="N13" s="1064"/>
      <c r="O13" s="822">
        <f>O12+1</f>
        <v>2025</v>
      </c>
    </row>
    <row r="14" spans="1:17" customFormat="1">
      <c r="A14" s="3632" t="s">
        <v>2778</v>
      </c>
      <c r="B14" s="3637"/>
      <c r="C14" s="3638"/>
      <c r="D14" s="3638"/>
      <c r="E14" s="3638"/>
      <c r="F14" s="3638"/>
      <c r="G14" s="3638"/>
      <c r="H14" s="3638"/>
      <c r="I14" s="3638"/>
      <c r="J14" s="3638"/>
      <c r="K14" s="3639"/>
      <c r="M14" s="1064"/>
      <c r="N14" s="1064"/>
      <c r="O14" s="1064"/>
    </row>
    <row r="15" spans="1:17" customFormat="1" ht="27" customHeight="1">
      <c r="A15" s="3635" t="s">
        <v>2774</v>
      </c>
      <c r="B15" s="3635" t="s">
        <v>255</v>
      </c>
      <c r="C15" s="3635" t="s">
        <v>2783</v>
      </c>
      <c r="D15" s="3635" t="s">
        <v>2782</v>
      </c>
      <c r="E15" s="3635" t="s">
        <v>1544</v>
      </c>
      <c r="F15" s="3636" t="s">
        <v>2420</v>
      </c>
      <c r="G15" s="3636" t="s">
        <v>2420</v>
      </c>
      <c r="H15" s="3636" t="s">
        <v>2420</v>
      </c>
      <c r="I15" s="3636" t="s">
        <v>2420</v>
      </c>
      <c r="J15" s="3636" t="s">
        <v>2420</v>
      </c>
      <c r="K15" s="3636" t="s">
        <v>1129</v>
      </c>
      <c r="L15" s="3604"/>
      <c r="M15" s="1064"/>
      <c r="N15" s="1064"/>
      <c r="O15" s="1099" t="s">
        <v>2477</v>
      </c>
    </row>
    <row r="16" spans="1:17" customFormat="1" ht="15.95" customHeight="1">
      <c r="A16" s="3633"/>
      <c r="B16" s="3634"/>
      <c r="C16" s="3634"/>
      <c r="D16" s="3634"/>
      <c r="E16" s="3634"/>
      <c r="F16" s="3647" t="s">
        <v>976</v>
      </c>
      <c r="G16" s="3647" t="s">
        <v>976</v>
      </c>
      <c r="H16" s="3647" t="s">
        <v>976</v>
      </c>
      <c r="I16" s="3647" t="s">
        <v>976</v>
      </c>
      <c r="J16" s="3647" t="s">
        <v>976</v>
      </c>
      <c r="K16" s="3647" t="s">
        <v>976</v>
      </c>
      <c r="L16" s="1483"/>
      <c r="N16" s="1064"/>
      <c r="O16" s="1099" t="s">
        <v>2788</v>
      </c>
    </row>
    <row r="17" spans="1:15" customFormat="1" ht="15.95" customHeight="1">
      <c r="A17" s="3652" t="s">
        <v>2779</v>
      </c>
      <c r="B17" s="3653" t="s">
        <v>2780</v>
      </c>
      <c r="C17" s="3654"/>
      <c r="D17" s="3654"/>
      <c r="E17" s="3654"/>
      <c r="F17" s="3655">
        <v>0</v>
      </c>
      <c r="G17" s="3655">
        <v>0</v>
      </c>
      <c r="H17" s="3655">
        <v>0</v>
      </c>
      <c r="I17" s="3655">
        <v>0</v>
      </c>
      <c r="J17" s="3655">
        <v>0</v>
      </c>
      <c r="K17" s="3655">
        <f t="shared" ref="K17:K42" si="0">SUM(F17:J17)</f>
        <v>0</v>
      </c>
      <c r="L17" s="1483"/>
      <c r="N17" s="1064"/>
      <c r="O17" s="3629">
        <f>K17</f>
        <v>0</v>
      </c>
    </row>
    <row r="18" spans="1:15" customFormat="1" ht="15.95" customHeight="1">
      <c r="A18" s="3652" t="s">
        <v>2779</v>
      </c>
      <c r="B18" s="3653" t="s">
        <v>2780</v>
      </c>
      <c r="C18" s="3654"/>
      <c r="D18" s="3654"/>
      <c r="E18" s="3654"/>
      <c r="F18" s="3655">
        <v>0</v>
      </c>
      <c r="G18" s="3655">
        <v>0</v>
      </c>
      <c r="H18" s="3655">
        <v>0</v>
      </c>
      <c r="I18" s="3655">
        <v>0</v>
      </c>
      <c r="J18" s="3655">
        <v>0</v>
      </c>
      <c r="K18" s="3655">
        <f t="shared" si="0"/>
        <v>0</v>
      </c>
      <c r="L18" s="1483"/>
      <c r="N18" s="1064"/>
      <c r="O18" s="3629">
        <f t="shared" ref="O18:O42" si="1">K18</f>
        <v>0</v>
      </c>
    </row>
    <row r="19" spans="1:15" customFormat="1" ht="15.95" customHeight="1">
      <c r="A19" s="3652" t="s">
        <v>2779</v>
      </c>
      <c r="B19" s="3653" t="s">
        <v>2780</v>
      </c>
      <c r="C19" s="3654"/>
      <c r="D19" s="3654"/>
      <c r="E19" s="3654"/>
      <c r="F19" s="3655">
        <v>0</v>
      </c>
      <c r="G19" s="3655">
        <v>0</v>
      </c>
      <c r="H19" s="3655">
        <v>0</v>
      </c>
      <c r="I19" s="3655">
        <v>0</v>
      </c>
      <c r="J19" s="3655">
        <v>0</v>
      </c>
      <c r="K19" s="3655">
        <f t="shared" si="0"/>
        <v>0</v>
      </c>
      <c r="L19" s="1483"/>
      <c r="N19" s="1064"/>
      <c r="O19" s="3629">
        <f t="shared" si="1"/>
        <v>0</v>
      </c>
    </row>
    <row r="20" spans="1:15" customFormat="1" ht="15.95" customHeight="1">
      <c r="A20" s="3652" t="s">
        <v>2779</v>
      </c>
      <c r="B20" s="3653" t="s">
        <v>2780</v>
      </c>
      <c r="C20" s="3654"/>
      <c r="D20" s="3654"/>
      <c r="E20" s="3654"/>
      <c r="F20" s="3655">
        <v>0</v>
      </c>
      <c r="G20" s="3655">
        <v>0</v>
      </c>
      <c r="H20" s="3655">
        <v>0</v>
      </c>
      <c r="I20" s="3655">
        <v>0</v>
      </c>
      <c r="J20" s="3655">
        <v>0</v>
      </c>
      <c r="K20" s="3655">
        <f t="shared" si="0"/>
        <v>0</v>
      </c>
      <c r="L20" s="1483"/>
      <c r="O20" s="3629">
        <f t="shared" si="1"/>
        <v>0</v>
      </c>
    </row>
    <row r="21" spans="1:15" customFormat="1" ht="15.95" customHeight="1">
      <c r="A21" s="3652" t="s">
        <v>2779</v>
      </c>
      <c r="B21" s="3653" t="s">
        <v>2780</v>
      </c>
      <c r="C21" s="3654"/>
      <c r="D21" s="3654"/>
      <c r="E21" s="3654"/>
      <c r="F21" s="3655">
        <v>0</v>
      </c>
      <c r="G21" s="3655">
        <v>0</v>
      </c>
      <c r="H21" s="3655">
        <v>0</v>
      </c>
      <c r="I21" s="3655">
        <v>0</v>
      </c>
      <c r="J21" s="3655">
        <v>0</v>
      </c>
      <c r="K21" s="3655">
        <f t="shared" si="0"/>
        <v>0</v>
      </c>
      <c r="L21" s="1483"/>
      <c r="O21" s="3629">
        <f t="shared" si="1"/>
        <v>0</v>
      </c>
    </row>
    <row r="22" spans="1:15" customFormat="1" ht="15.95" customHeight="1">
      <c r="A22" s="3652" t="s">
        <v>2779</v>
      </c>
      <c r="B22" s="3653" t="s">
        <v>2780</v>
      </c>
      <c r="C22" s="3654"/>
      <c r="D22" s="3654"/>
      <c r="E22" s="3654"/>
      <c r="F22" s="3655">
        <v>0</v>
      </c>
      <c r="G22" s="3655">
        <v>0</v>
      </c>
      <c r="H22" s="3655">
        <v>0</v>
      </c>
      <c r="I22" s="3655">
        <v>0</v>
      </c>
      <c r="J22" s="3655">
        <v>0</v>
      </c>
      <c r="K22" s="3655">
        <f>SUM(F22:J22)</f>
        <v>0</v>
      </c>
      <c r="L22" s="1483"/>
      <c r="O22" s="3629">
        <f t="shared" si="1"/>
        <v>0</v>
      </c>
    </row>
    <row r="23" spans="1:15" customFormat="1" ht="15.95" customHeight="1">
      <c r="A23" s="3652" t="s">
        <v>2779</v>
      </c>
      <c r="B23" s="3653" t="s">
        <v>2780</v>
      </c>
      <c r="C23" s="3654"/>
      <c r="D23" s="3654"/>
      <c r="E23" s="3654"/>
      <c r="F23" s="3655">
        <v>0</v>
      </c>
      <c r="G23" s="3655">
        <v>0</v>
      </c>
      <c r="H23" s="3655">
        <v>0</v>
      </c>
      <c r="I23" s="3655">
        <v>0</v>
      </c>
      <c r="J23" s="3655">
        <v>0</v>
      </c>
      <c r="K23" s="3655">
        <f t="shared" si="0"/>
        <v>0</v>
      </c>
      <c r="L23" s="1483"/>
      <c r="O23" s="3629">
        <f t="shared" si="1"/>
        <v>0</v>
      </c>
    </row>
    <row r="24" spans="1:15" customFormat="1" ht="15.95" customHeight="1">
      <c r="A24" s="3652" t="s">
        <v>2779</v>
      </c>
      <c r="B24" s="3653" t="s">
        <v>2780</v>
      </c>
      <c r="C24" s="3654"/>
      <c r="D24" s="3654"/>
      <c r="E24" s="3654"/>
      <c r="F24" s="3655">
        <v>0</v>
      </c>
      <c r="G24" s="3655">
        <v>0</v>
      </c>
      <c r="H24" s="3655">
        <v>0</v>
      </c>
      <c r="I24" s="3655">
        <v>0</v>
      </c>
      <c r="J24" s="3655">
        <v>0</v>
      </c>
      <c r="K24" s="3655">
        <f t="shared" si="0"/>
        <v>0</v>
      </c>
      <c r="L24" s="1483"/>
      <c r="O24" s="3629">
        <f t="shared" si="1"/>
        <v>0</v>
      </c>
    </row>
    <row r="25" spans="1:15" customFormat="1" ht="15.95" customHeight="1">
      <c r="A25" s="3652" t="s">
        <v>2779</v>
      </c>
      <c r="B25" s="3653" t="s">
        <v>2780</v>
      </c>
      <c r="C25" s="3654"/>
      <c r="D25" s="3654"/>
      <c r="E25" s="3654"/>
      <c r="F25" s="3655">
        <v>0</v>
      </c>
      <c r="G25" s="3655">
        <v>0</v>
      </c>
      <c r="H25" s="3655">
        <v>0</v>
      </c>
      <c r="I25" s="3655">
        <v>0</v>
      </c>
      <c r="J25" s="3655">
        <v>0</v>
      </c>
      <c r="K25" s="3655">
        <f t="shared" si="0"/>
        <v>0</v>
      </c>
      <c r="L25" s="1483"/>
      <c r="O25" s="3629">
        <f t="shared" si="1"/>
        <v>0</v>
      </c>
    </row>
    <row r="26" spans="1:15" customFormat="1" ht="15.95" customHeight="1">
      <c r="A26" s="3652" t="s">
        <v>2779</v>
      </c>
      <c r="B26" s="3653" t="s">
        <v>2780</v>
      </c>
      <c r="C26" s="3654"/>
      <c r="D26" s="3654"/>
      <c r="E26" s="3654"/>
      <c r="F26" s="3655">
        <v>0</v>
      </c>
      <c r="G26" s="3655">
        <v>0</v>
      </c>
      <c r="H26" s="3655">
        <v>0</v>
      </c>
      <c r="I26" s="3655">
        <v>0</v>
      </c>
      <c r="J26" s="3655">
        <v>0</v>
      </c>
      <c r="K26" s="3655">
        <f t="shared" si="0"/>
        <v>0</v>
      </c>
      <c r="L26" s="1483"/>
      <c r="O26" s="3629">
        <f t="shared" si="1"/>
        <v>0</v>
      </c>
    </row>
    <row r="27" spans="1:15" customFormat="1" ht="15.95" customHeight="1">
      <c r="A27" s="3652" t="s">
        <v>2779</v>
      </c>
      <c r="B27" s="3653" t="s">
        <v>2780</v>
      </c>
      <c r="C27" s="3654"/>
      <c r="D27" s="3654"/>
      <c r="E27" s="3654"/>
      <c r="F27" s="3655">
        <v>0</v>
      </c>
      <c r="G27" s="3655">
        <v>0</v>
      </c>
      <c r="H27" s="3655">
        <v>0</v>
      </c>
      <c r="I27" s="3655">
        <v>0</v>
      </c>
      <c r="J27" s="3655">
        <v>0</v>
      </c>
      <c r="K27" s="3655">
        <f t="shared" ref="K27:K33" si="2">SUM(F27:J27)</f>
        <v>0</v>
      </c>
      <c r="L27" s="1483"/>
      <c r="O27" s="3629">
        <f t="shared" si="1"/>
        <v>0</v>
      </c>
    </row>
    <row r="28" spans="1:15" customFormat="1" ht="15.95" customHeight="1">
      <c r="A28" s="3652" t="s">
        <v>2779</v>
      </c>
      <c r="B28" s="3653" t="s">
        <v>2780</v>
      </c>
      <c r="C28" s="3654"/>
      <c r="D28" s="3654"/>
      <c r="E28" s="3654"/>
      <c r="F28" s="3655">
        <v>0</v>
      </c>
      <c r="G28" s="3655">
        <v>0</v>
      </c>
      <c r="H28" s="3655">
        <v>0</v>
      </c>
      <c r="I28" s="3655">
        <v>0</v>
      </c>
      <c r="J28" s="3655">
        <v>0</v>
      </c>
      <c r="K28" s="3655">
        <f t="shared" si="2"/>
        <v>0</v>
      </c>
      <c r="L28" s="1483"/>
      <c r="O28" s="3629">
        <f t="shared" si="1"/>
        <v>0</v>
      </c>
    </row>
    <row r="29" spans="1:15" customFormat="1" ht="15.95" customHeight="1">
      <c r="A29" s="3652" t="s">
        <v>2779</v>
      </c>
      <c r="B29" s="3653" t="s">
        <v>2780</v>
      </c>
      <c r="C29" s="3654"/>
      <c r="D29" s="3654"/>
      <c r="E29" s="3654"/>
      <c r="F29" s="3655">
        <v>0</v>
      </c>
      <c r="G29" s="3655">
        <v>0</v>
      </c>
      <c r="H29" s="3655">
        <v>0</v>
      </c>
      <c r="I29" s="3655">
        <v>0</v>
      </c>
      <c r="J29" s="3655">
        <v>0</v>
      </c>
      <c r="K29" s="3655">
        <f t="shared" si="2"/>
        <v>0</v>
      </c>
      <c r="L29" s="1483"/>
      <c r="O29" s="3629">
        <f t="shared" si="1"/>
        <v>0</v>
      </c>
    </row>
    <row r="30" spans="1:15" customFormat="1" ht="15.95" customHeight="1">
      <c r="A30" s="3652" t="s">
        <v>2779</v>
      </c>
      <c r="B30" s="3653" t="s">
        <v>2780</v>
      </c>
      <c r="C30" s="3654"/>
      <c r="D30" s="3654"/>
      <c r="E30" s="3654"/>
      <c r="F30" s="3655">
        <v>0</v>
      </c>
      <c r="G30" s="3655">
        <v>0</v>
      </c>
      <c r="H30" s="3655">
        <v>0</v>
      </c>
      <c r="I30" s="3655">
        <v>0</v>
      </c>
      <c r="J30" s="3655">
        <v>0</v>
      </c>
      <c r="K30" s="3655">
        <f t="shared" si="2"/>
        <v>0</v>
      </c>
      <c r="L30" s="1483"/>
      <c r="O30" s="3629">
        <f t="shared" si="1"/>
        <v>0</v>
      </c>
    </row>
    <row r="31" spans="1:15" customFormat="1" ht="15.95" customHeight="1">
      <c r="A31" s="3652" t="s">
        <v>2779</v>
      </c>
      <c r="B31" s="3653" t="s">
        <v>2780</v>
      </c>
      <c r="C31" s="3654"/>
      <c r="D31" s="3654"/>
      <c r="E31" s="3654"/>
      <c r="F31" s="3655">
        <v>0</v>
      </c>
      <c r="G31" s="3655">
        <v>0</v>
      </c>
      <c r="H31" s="3655">
        <v>0</v>
      </c>
      <c r="I31" s="3655">
        <v>0</v>
      </c>
      <c r="J31" s="3655">
        <v>0</v>
      </c>
      <c r="K31" s="3655">
        <f t="shared" si="2"/>
        <v>0</v>
      </c>
      <c r="L31" s="1483"/>
      <c r="O31" s="3629">
        <f t="shared" si="1"/>
        <v>0</v>
      </c>
    </row>
    <row r="32" spans="1:15" customFormat="1" ht="15.95" customHeight="1">
      <c r="A32" s="3652" t="s">
        <v>2779</v>
      </c>
      <c r="B32" s="3653" t="s">
        <v>2780</v>
      </c>
      <c r="C32" s="3654"/>
      <c r="D32" s="3654"/>
      <c r="E32" s="3654"/>
      <c r="F32" s="3655">
        <v>0</v>
      </c>
      <c r="G32" s="3655">
        <v>0</v>
      </c>
      <c r="H32" s="3655">
        <v>0</v>
      </c>
      <c r="I32" s="3655">
        <v>0</v>
      </c>
      <c r="J32" s="3655">
        <v>0</v>
      </c>
      <c r="K32" s="3655">
        <f t="shared" si="2"/>
        <v>0</v>
      </c>
      <c r="L32" s="1483"/>
      <c r="O32" s="3629">
        <f t="shared" si="1"/>
        <v>0</v>
      </c>
    </row>
    <row r="33" spans="1:28" customFormat="1" ht="15.95" customHeight="1">
      <c r="A33" s="3652" t="s">
        <v>2779</v>
      </c>
      <c r="B33" s="3653" t="s">
        <v>2780</v>
      </c>
      <c r="C33" s="3654"/>
      <c r="D33" s="3654"/>
      <c r="E33" s="3654"/>
      <c r="F33" s="3655">
        <v>0</v>
      </c>
      <c r="G33" s="3655">
        <v>0</v>
      </c>
      <c r="H33" s="3655">
        <v>0</v>
      </c>
      <c r="I33" s="3655">
        <v>0</v>
      </c>
      <c r="J33" s="3655">
        <v>0</v>
      </c>
      <c r="K33" s="3655">
        <f t="shared" si="2"/>
        <v>0</v>
      </c>
      <c r="L33" s="1483"/>
      <c r="M33" s="3651"/>
      <c r="O33" s="3629">
        <f t="shared" si="1"/>
        <v>0</v>
      </c>
      <c r="AB33" s="1483"/>
    </row>
    <row r="34" spans="1:28" customFormat="1" ht="15.95" customHeight="1">
      <c r="A34" s="3652" t="s">
        <v>2779</v>
      </c>
      <c r="B34" s="3653" t="s">
        <v>2780</v>
      </c>
      <c r="C34" s="3654"/>
      <c r="D34" s="3654"/>
      <c r="E34" s="3654"/>
      <c r="F34" s="3655">
        <v>0</v>
      </c>
      <c r="G34" s="3655">
        <v>0</v>
      </c>
      <c r="H34" s="3655">
        <v>0</v>
      </c>
      <c r="I34" s="3655">
        <v>0</v>
      </c>
      <c r="J34" s="3655">
        <v>0</v>
      </c>
      <c r="K34" s="3655">
        <f t="shared" si="0"/>
        <v>0</v>
      </c>
      <c r="L34" s="1483"/>
      <c r="O34" s="3629">
        <f t="shared" si="1"/>
        <v>0</v>
      </c>
      <c r="AB34" s="1483"/>
    </row>
    <row r="35" spans="1:28" customFormat="1" ht="15.95" customHeight="1">
      <c r="A35" s="3652" t="s">
        <v>2779</v>
      </c>
      <c r="B35" s="3653" t="s">
        <v>2780</v>
      </c>
      <c r="C35" s="3654"/>
      <c r="D35" s="3654"/>
      <c r="E35" s="3654"/>
      <c r="F35" s="3655">
        <v>0</v>
      </c>
      <c r="G35" s="3655">
        <v>0</v>
      </c>
      <c r="H35" s="3655">
        <v>0</v>
      </c>
      <c r="I35" s="3655">
        <v>0</v>
      </c>
      <c r="J35" s="3655">
        <v>0</v>
      </c>
      <c r="K35" s="3655">
        <f t="shared" si="0"/>
        <v>0</v>
      </c>
      <c r="L35" s="1483"/>
      <c r="O35" s="3629">
        <f t="shared" si="1"/>
        <v>0</v>
      </c>
    </row>
    <row r="36" spans="1:28" customFormat="1" ht="15.95" customHeight="1">
      <c r="A36" s="3652" t="s">
        <v>2779</v>
      </c>
      <c r="B36" s="3653" t="s">
        <v>2780</v>
      </c>
      <c r="C36" s="3654"/>
      <c r="D36" s="3654"/>
      <c r="E36" s="3654"/>
      <c r="F36" s="3655">
        <v>0</v>
      </c>
      <c r="G36" s="3655">
        <v>0</v>
      </c>
      <c r="H36" s="3655">
        <v>0</v>
      </c>
      <c r="I36" s="3655">
        <v>0</v>
      </c>
      <c r="J36" s="3655">
        <v>0</v>
      </c>
      <c r="K36" s="3655">
        <f t="shared" ref="K36" si="3">SUM(F36:J36)</f>
        <v>0</v>
      </c>
      <c r="L36" s="1483"/>
      <c r="O36" s="3629">
        <f t="shared" si="1"/>
        <v>0</v>
      </c>
    </row>
    <row r="37" spans="1:28" customFormat="1" ht="15.95" customHeight="1">
      <c r="A37" s="3652" t="s">
        <v>2779</v>
      </c>
      <c r="B37" s="3653" t="s">
        <v>2780</v>
      </c>
      <c r="C37" s="3654"/>
      <c r="D37" s="3654"/>
      <c r="E37" s="3654"/>
      <c r="F37" s="3655">
        <v>0</v>
      </c>
      <c r="G37" s="3655">
        <v>0</v>
      </c>
      <c r="H37" s="3655">
        <v>0</v>
      </c>
      <c r="I37" s="3655">
        <v>0</v>
      </c>
      <c r="J37" s="3655">
        <v>0</v>
      </c>
      <c r="K37" s="3655">
        <f t="shared" si="0"/>
        <v>0</v>
      </c>
      <c r="L37" s="1483"/>
      <c r="O37" s="3629">
        <f t="shared" si="1"/>
        <v>0</v>
      </c>
    </row>
    <row r="38" spans="1:28" customFormat="1" ht="15.95" customHeight="1">
      <c r="A38" s="3652" t="s">
        <v>2779</v>
      </c>
      <c r="B38" s="3653" t="s">
        <v>2780</v>
      </c>
      <c r="C38" s="3654"/>
      <c r="D38" s="3654"/>
      <c r="E38" s="3654"/>
      <c r="F38" s="3655">
        <v>0</v>
      </c>
      <c r="G38" s="3655">
        <v>0</v>
      </c>
      <c r="H38" s="3655">
        <v>0</v>
      </c>
      <c r="I38" s="3655">
        <v>0</v>
      </c>
      <c r="J38" s="3655">
        <v>0</v>
      </c>
      <c r="K38" s="3655">
        <f t="shared" si="0"/>
        <v>0</v>
      </c>
      <c r="L38" s="1483"/>
      <c r="O38" s="3629">
        <f t="shared" si="1"/>
        <v>0</v>
      </c>
    </row>
    <row r="39" spans="1:28" customFormat="1" ht="15.95" customHeight="1">
      <c r="A39" s="3652" t="s">
        <v>2779</v>
      </c>
      <c r="B39" s="3653" t="s">
        <v>2780</v>
      </c>
      <c r="C39" s="3654"/>
      <c r="D39" s="3654"/>
      <c r="E39" s="3654"/>
      <c r="F39" s="3655">
        <v>0</v>
      </c>
      <c r="G39" s="3655">
        <v>0</v>
      </c>
      <c r="H39" s="3655">
        <v>0</v>
      </c>
      <c r="I39" s="3655">
        <v>0</v>
      </c>
      <c r="J39" s="3655">
        <v>0</v>
      </c>
      <c r="K39" s="3655">
        <f t="shared" si="0"/>
        <v>0</v>
      </c>
      <c r="L39" s="1483"/>
      <c r="O39" s="3629">
        <f t="shared" si="1"/>
        <v>0</v>
      </c>
    </row>
    <row r="40" spans="1:28" customFormat="1" ht="15.95" customHeight="1">
      <c r="A40" s="3652" t="s">
        <v>2779</v>
      </c>
      <c r="B40" s="3653" t="s">
        <v>2780</v>
      </c>
      <c r="C40" s="3654"/>
      <c r="D40" s="3654"/>
      <c r="E40" s="3654"/>
      <c r="F40" s="3655">
        <v>0</v>
      </c>
      <c r="G40" s="3655">
        <v>0</v>
      </c>
      <c r="H40" s="3655">
        <v>0</v>
      </c>
      <c r="I40" s="3655">
        <v>0</v>
      </c>
      <c r="J40" s="3655">
        <v>0</v>
      </c>
      <c r="K40" s="3655">
        <f t="shared" si="0"/>
        <v>0</v>
      </c>
      <c r="L40" s="1483"/>
      <c r="O40" s="3629">
        <f t="shared" si="1"/>
        <v>0</v>
      </c>
    </row>
    <row r="41" spans="1:28" customFormat="1" ht="15.95" customHeight="1">
      <c r="A41" s="3652" t="s">
        <v>2779</v>
      </c>
      <c r="B41" s="3653" t="s">
        <v>2780</v>
      </c>
      <c r="C41" s="3654"/>
      <c r="D41" s="3654"/>
      <c r="E41" s="3654"/>
      <c r="F41" s="3655">
        <v>0</v>
      </c>
      <c r="G41" s="3655">
        <v>0</v>
      </c>
      <c r="H41" s="3655">
        <v>0</v>
      </c>
      <c r="I41" s="3655">
        <v>0</v>
      </c>
      <c r="J41" s="3655">
        <v>0</v>
      </c>
      <c r="K41" s="3655">
        <f t="shared" si="0"/>
        <v>0</v>
      </c>
      <c r="L41" s="1483"/>
      <c r="O41" s="3629">
        <f t="shared" si="1"/>
        <v>0</v>
      </c>
    </row>
    <row r="42" spans="1:28" customFormat="1" ht="15.95" customHeight="1">
      <c r="A42" s="3656" t="s">
        <v>2779</v>
      </c>
      <c r="B42" s="3657" t="s">
        <v>2780</v>
      </c>
      <c r="C42" s="3654"/>
      <c r="D42" s="3658"/>
      <c r="E42" s="3654"/>
      <c r="F42" s="3659">
        <v>0</v>
      </c>
      <c r="G42" s="3659">
        <v>0</v>
      </c>
      <c r="H42" s="3659">
        <v>0</v>
      </c>
      <c r="I42" s="3659">
        <v>0</v>
      </c>
      <c r="J42" s="3659">
        <v>0</v>
      </c>
      <c r="K42" s="3659">
        <f t="shared" si="0"/>
        <v>0</v>
      </c>
      <c r="L42" s="1483"/>
      <c r="O42" s="3629">
        <f t="shared" si="1"/>
        <v>0</v>
      </c>
    </row>
    <row r="43" spans="1:28" customFormat="1" ht="15.95" customHeight="1">
      <c r="A43" s="3642"/>
      <c r="B43" s="3643" t="s">
        <v>2775</v>
      </c>
      <c r="C43" s="3643"/>
      <c r="D43" s="3643"/>
      <c r="E43" s="3644"/>
      <c r="F43" s="3645">
        <f t="shared" ref="F43:K43" si="4">SUM(F17:F42)</f>
        <v>0</v>
      </c>
      <c r="G43" s="3645">
        <f t="shared" si="4"/>
        <v>0</v>
      </c>
      <c r="H43" s="3645">
        <f t="shared" si="4"/>
        <v>0</v>
      </c>
      <c r="I43" s="3645">
        <f t="shared" si="4"/>
        <v>0</v>
      </c>
      <c r="J43" s="3645">
        <f t="shared" si="4"/>
        <v>0</v>
      </c>
      <c r="K43" s="3646">
        <f t="shared" si="4"/>
        <v>0</v>
      </c>
      <c r="L43" s="1483"/>
    </row>
    <row r="44" spans="1:28" ht="15.95" customHeight="1">
      <c r="A44" s="3612" t="s">
        <v>1768</v>
      </c>
      <c r="B44" s="3610"/>
      <c r="C44" s="3610"/>
      <c r="D44" s="3610"/>
      <c r="E44" s="3610"/>
      <c r="F44" s="3610"/>
      <c r="G44" s="3610"/>
      <c r="H44" s="3610"/>
      <c r="I44" s="3610"/>
      <c r="J44" s="3610"/>
      <c r="K44" s="3610"/>
    </row>
    <row r="45" spans="1:28" ht="15.95" customHeight="1">
      <c r="A45" s="3619" t="s">
        <v>2776</v>
      </c>
      <c r="B45" s="3610"/>
      <c r="C45" s="3610"/>
      <c r="D45" s="3610"/>
      <c r="E45" s="3617" t="s">
        <v>2803</v>
      </c>
      <c r="F45" s="3614"/>
      <c r="G45" s="3614"/>
      <c r="H45" s="3614"/>
      <c r="I45" s="3614"/>
      <c r="J45" s="3614"/>
      <c r="K45" s="3615"/>
    </row>
    <row r="46" spans="1:28" ht="15.95" customHeight="1">
      <c r="A46" s="3610"/>
      <c r="B46" s="3610"/>
      <c r="C46" s="3610"/>
      <c r="D46" s="3610"/>
      <c r="E46" s="3685">
        <f>MIN(Relevantyear)</f>
        <v>0</v>
      </c>
      <c r="F46" s="3621">
        <f>SUMIF($E$16:$E$42,$E46,F$16:F$42)</f>
        <v>0</v>
      </c>
      <c r="G46" s="3621">
        <f t="shared" ref="G46:J51" si="5">SUMIF($E$16:$E$42,$E46,G$16:G$42)</f>
        <v>0</v>
      </c>
      <c r="H46" s="3621">
        <f t="shared" si="5"/>
        <v>0</v>
      </c>
      <c r="I46" s="3621">
        <f t="shared" si="5"/>
        <v>0</v>
      </c>
      <c r="J46" s="3621">
        <f t="shared" si="5"/>
        <v>0</v>
      </c>
      <c r="K46" s="3640">
        <f>SUM(F46:J46)</f>
        <v>0</v>
      </c>
      <c r="O46" s="3629">
        <f t="shared" ref="O46:O51" si="6">K46</f>
        <v>0</v>
      </c>
    </row>
    <row r="47" spans="1:28" ht="15.95" customHeight="1">
      <c r="A47" s="3610"/>
      <c r="B47" s="3610"/>
      <c r="C47" s="3610"/>
      <c r="D47" s="3610"/>
      <c r="E47" s="3685">
        <f>IF(E46&gt;0,(E46+1),0)</f>
        <v>0</v>
      </c>
      <c r="F47" s="3621">
        <f t="shared" ref="F47:F51" si="7">SUMIF($E$16:$E$42,$E47,F$16:F$42)</f>
        <v>0</v>
      </c>
      <c r="G47" s="3621">
        <f t="shared" si="5"/>
        <v>0</v>
      </c>
      <c r="H47" s="3621">
        <f t="shared" si="5"/>
        <v>0</v>
      </c>
      <c r="I47" s="3621">
        <f t="shared" si="5"/>
        <v>0</v>
      </c>
      <c r="J47" s="3621">
        <f t="shared" si="5"/>
        <v>0</v>
      </c>
      <c r="K47" s="3640">
        <f t="shared" ref="K47:K51" si="8">SUM(F47:J47)</f>
        <v>0</v>
      </c>
      <c r="O47" s="3629">
        <f t="shared" si="6"/>
        <v>0</v>
      </c>
    </row>
    <row r="48" spans="1:28" ht="15.95" customHeight="1">
      <c r="A48" s="3610"/>
      <c r="B48" s="3610"/>
      <c r="C48" s="3610"/>
      <c r="D48" s="3610"/>
      <c r="E48" s="3685">
        <f>IF(E47&gt;0,(E47+1),0)</f>
        <v>0</v>
      </c>
      <c r="F48" s="3621">
        <f t="shared" si="7"/>
        <v>0</v>
      </c>
      <c r="G48" s="3621">
        <f t="shared" si="5"/>
        <v>0</v>
      </c>
      <c r="H48" s="3621">
        <f t="shared" si="5"/>
        <v>0</v>
      </c>
      <c r="I48" s="3621">
        <f t="shared" si="5"/>
        <v>0</v>
      </c>
      <c r="J48" s="3621">
        <f t="shared" si="5"/>
        <v>0</v>
      </c>
      <c r="K48" s="3640">
        <f t="shared" si="8"/>
        <v>0</v>
      </c>
      <c r="O48" s="3629">
        <f t="shared" si="6"/>
        <v>0</v>
      </c>
    </row>
    <row r="49" spans="1:15" ht="15.95" customHeight="1">
      <c r="A49" s="3610"/>
      <c r="B49" s="3610"/>
      <c r="C49" s="3610"/>
      <c r="D49" s="3610"/>
      <c r="E49" s="3685">
        <f t="shared" ref="E49:E51" si="9">IF(E48&gt;0,(E48+1),0)</f>
        <v>0</v>
      </c>
      <c r="F49" s="3621">
        <f t="shared" si="7"/>
        <v>0</v>
      </c>
      <c r="G49" s="3621">
        <f t="shared" si="5"/>
        <v>0</v>
      </c>
      <c r="H49" s="3621">
        <f t="shared" si="5"/>
        <v>0</v>
      </c>
      <c r="I49" s="3621">
        <f t="shared" si="5"/>
        <v>0</v>
      </c>
      <c r="J49" s="3621">
        <f t="shared" si="5"/>
        <v>0</v>
      </c>
      <c r="K49" s="3640">
        <f t="shared" si="8"/>
        <v>0</v>
      </c>
      <c r="O49" s="3629">
        <f t="shared" si="6"/>
        <v>0</v>
      </c>
    </row>
    <row r="50" spans="1:15" ht="15.95" customHeight="1">
      <c r="A50" s="3610"/>
      <c r="B50" s="3610"/>
      <c r="C50" s="3610"/>
      <c r="D50" s="3610"/>
      <c r="E50" s="3685">
        <f t="shared" si="9"/>
        <v>0</v>
      </c>
      <c r="F50" s="3621">
        <f t="shared" si="7"/>
        <v>0</v>
      </c>
      <c r="G50" s="3621">
        <f t="shared" si="5"/>
        <v>0</v>
      </c>
      <c r="H50" s="3621">
        <f t="shared" si="5"/>
        <v>0</v>
      </c>
      <c r="I50" s="3621">
        <f t="shared" si="5"/>
        <v>0</v>
      </c>
      <c r="J50" s="3621">
        <f t="shared" si="5"/>
        <v>0</v>
      </c>
      <c r="K50" s="3640">
        <f t="shared" si="8"/>
        <v>0</v>
      </c>
      <c r="O50" s="3629">
        <f t="shared" si="6"/>
        <v>0</v>
      </c>
    </row>
    <row r="51" spans="1:15" ht="15.95" customHeight="1">
      <c r="A51" s="3610"/>
      <c r="B51" s="3610"/>
      <c r="C51" s="3610"/>
      <c r="D51" s="3610"/>
      <c r="E51" s="3685">
        <f t="shared" si="9"/>
        <v>0</v>
      </c>
      <c r="F51" s="3621">
        <f t="shared" si="7"/>
        <v>0</v>
      </c>
      <c r="G51" s="3621">
        <f t="shared" si="5"/>
        <v>0</v>
      </c>
      <c r="H51" s="3621">
        <f t="shared" si="5"/>
        <v>0</v>
      </c>
      <c r="I51" s="3621">
        <f t="shared" si="5"/>
        <v>0</v>
      </c>
      <c r="J51" s="3621">
        <f t="shared" si="5"/>
        <v>0</v>
      </c>
      <c r="K51" s="3640">
        <f t="shared" si="8"/>
        <v>0</v>
      </c>
      <c r="O51" s="3629">
        <f t="shared" si="6"/>
        <v>0</v>
      </c>
    </row>
    <row r="52" spans="1:15" ht="15.95" customHeight="1" thickBot="1">
      <c r="A52" s="3610"/>
      <c r="B52" s="3610"/>
      <c r="C52" s="3611"/>
      <c r="D52" s="3610"/>
      <c r="E52" s="3610"/>
      <c r="F52" s="3620">
        <f t="shared" ref="F52:K52" si="10">SUM(F46:F51)</f>
        <v>0</v>
      </c>
      <c r="G52" s="3620">
        <f t="shared" si="10"/>
        <v>0</v>
      </c>
      <c r="H52" s="3620">
        <f t="shared" si="10"/>
        <v>0</v>
      </c>
      <c r="I52" s="3620">
        <f t="shared" si="10"/>
        <v>0</v>
      </c>
      <c r="J52" s="3620">
        <f t="shared" si="10"/>
        <v>0</v>
      </c>
      <c r="K52" s="3620">
        <f t="shared" si="10"/>
        <v>0</v>
      </c>
    </row>
    <row r="53" spans="1:15" ht="15.95" customHeight="1" thickTop="1">
      <c r="A53" s="3610"/>
      <c r="B53" s="3610"/>
      <c r="C53" s="3611"/>
      <c r="D53" s="3610"/>
      <c r="E53" s="3610"/>
      <c r="F53" s="3616"/>
      <c r="G53" s="3616"/>
      <c r="H53" s="3616"/>
      <c r="I53" s="3616"/>
      <c r="J53" s="3616"/>
      <c r="K53" s="3610"/>
    </row>
    <row r="54" spans="1:15" ht="15.95" customHeight="1">
      <c r="A54" s="3610"/>
      <c r="B54" s="3610"/>
      <c r="C54" s="3611"/>
      <c r="D54" s="3610"/>
      <c r="E54" s="3617" t="s">
        <v>2789</v>
      </c>
      <c r="F54" s="3614"/>
      <c r="G54" s="3614"/>
      <c r="H54" s="3614"/>
      <c r="I54" s="3614"/>
      <c r="J54" s="3614"/>
      <c r="K54" s="3615"/>
      <c r="N54" s="3610" t="s">
        <v>2787</v>
      </c>
    </row>
    <row r="55" spans="1:15" ht="15.95" customHeight="1">
      <c r="A55" s="3610"/>
      <c r="B55" s="3610"/>
      <c r="C55" s="3611"/>
      <c r="D55" s="3610"/>
      <c r="E55" s="3617"/>
      <c r="F55" s="3636" t="str">
        <f>F15</f>
        <v>&lt;Name&gt;</v>
      </c>
      <c r="G55" s="3636" t="str">
        <f t="shared" ref="G55:J55" si="11">G15</f>
        <v>&lt;Name&gt;</v>
      </c>
      <c r="H55" s="3636" t="str">
        <f t="shared" si="11"/>
        <v>&lt;Name&gt;</v>
      </c>
      <c r="I55" s="3636" t="str">
        <f t="shared" si="11"/>
        <v>&lt;Name&gt;</v>
      </c>
      <c r="J55" s="3636" t="str">
        <f t="shared" si="11"/>
        <v>&lt;Name&gt;</v>
      </c>
      <c r="K55" s="3650" t="s">
        <v>1129</v>
      </c>
      <c r="N55" s="3610"/>
    </row>
    <row r="56" spans="1:15" ht="15.95" customHeight="1">
      <c r="A56" s="3610"/>
      <c r="B56" s="3610"/>
      <c r="C56" s="3683"/>
      <c r="D56" s="3610"/>
      <c r="E56" s="3627">
        <f>DATE(YEAR(MIN(Date)),7,1)</f>
        <v>183</v>
      </c>
      <c r="F56" s="3621">
        <f t="shared" ref="F56:J65" si="12">SUMIFS(F$17:F$42,Date,"&gt;="&amp;$E56,Date,"&lt;="&amp;$N56,Paid_NotPaid,"Not Paid")</f>
        <v>0</v>
      </c>
      <c r="G56" s="3621">
        <f t="shared" si="12"/>
        <v>0</v>
      </c>
      <c r="H56" s="3621">
        <f t="shared" si="12"/>
        <v>0</v>
      </c>
      <c r="I56" s="3621">
        <f t="shared" si="12"/>
        <v>0</v>
      </c>
      <c r="J56" s="3621">
        <f t="shared" si="12"/>
        <v>0</v>
      </c>
      <c r="K56" s="3641">
        <f>SUM(F56:J56)</f>
        <v>0</v>
      </c>
      <c r="N56" s="3626">
        <f t="shared" ref="N56:N90" si="13">EOMONTH(E56, 0)</f>
        <v>213</v>
      </c>
      <c r="O56" s="3629">
        <f>K56</f>
        <v>0</v>
      </c>
    </row>
    <row r="57" spans="1:15" ht="15.95" customHeight="1">
      <c r="A57" s="3610"/>
      <c r="B57" s="3610"/>
      <c r="C57" s="3611"/>
      <c r="D57" s="3610"/>
      <c r="E57" s="3627">
        <f>EDATE(E56,1)</f>
        <v>214</v>
      </c>
      <c r="F57" s="3621">
        <f t="shared" si="12"/>
        <v>0</v>
      </c>
      <c r="G57" s="3621">
        <f t="shared" si="12"/>
        <v>0</v>
      </c>
      <c r="H57" s="3621">
        <f t="shared" si="12"/>
        <v>0</v>
      </c>
      <c r="I57" s="3621">
        <f t="shared" si="12"/>
        <v>0</v>
      </c>
      <c r="J57" s="3621">
        <f t="shared" si="12"/>
        <v>0</v>
      </c>
      <c r="K57" s="3641">
        <f t="shared" ref="K57:K91" si="14">SUM(F57:J57)</f>
        <v>0</v>
      </c>
      <c r="N57" s="3626">
        <f t="shared" si="13"/>
        <v>244</v>
      </c>
      <c r="O57" s="3629">
        <f t="shared" ref="O57:O90" si="15">K57</f>
        <v>0</v>
      </c>
    </row>
    <row r="58" spans="1:15" ht="15.95" customHeight="1">
      <c r="A58" s="3610"/>
      <c r="B58" s="3610"/>
      <c r="C58" s="3611"/>
      <c r="D58" s="3610"/>
      <c r="E58" s="3627">
        <f t="shared" ref="E58:E91" si="16">EDATE(E57,1)</f>
        <v>245</v>
      </c>
      <c r="F58" s="3621">
        <f t="shared" si="12"/>
        <v>0</v>
      </c>
      <c r="G58" s="3621">
        <f t="shared" si="12"/>
        <v>0</v>
      </c>
      <c r="H58" s="3621">
        <f t="shared" si="12"/>
        <v>0</v>
      </c>
      <c r="I58" s="3621">
        <f t="shared" si="12"/>
        <v>0</v>
      </c>
      <c r="J58" s="3621">
        <f t="shared" si="12"/>
        <v>0</v>
      </c>
      <c r="K58" s="3641">
        <f t="shared" si="14"/>
        <v>0</v>
      </c>
      <c r="N58" s="3626">
        <f t="shared" si="13"/>
        <v>274</v>
      </c>
      <c r="O58" s="3629">
        <f t="shared" si="15"/>
        <v>0</v>
      </c>
    </row>
    <row r="59" spans="1:15" ht="15.95" customHeight="1">
      <c r="A59" s="3610"/>
      <c r="B59" s="3610"/>
      <c r="C59" s="3611"/>
      <c r="D59" s="3610"/>
      <c r="E59" s="3627">
        <f t="shared" si="16"/>
        <v>275</v>
      </c>
      <c r="F59" s="3621">
        <f t="shared" si="12"/>
        <v>0</v>
      </c>
      <c r="G59" s="3621">
        <f t="shared" si="12"/>
        <v>0</v>
      </c>
      <c r="H59" s="3621">
        <f t="shared" si="12"/>
        <v>0</v>
      </c>
      <c r="I59" s="3621">
        <f t="shared" si="12"/>
        <v>0</v>
      </c>
      <c r="J59" s="3621">
        <f t="shared" si="12"/>
        <v>0</v>
      </c>
      <c r="K59" s="3641">
        <f t="shared" si="14"/>
        <v>0</v>
      </c>
      <c r="N59" s="3626">
        <f t="shared" si="13"/>
        <v>305</v>
      </c>
      <c r="O59" s="3629">
        <f t="shared" si="15"/>
        <v>0</v>
      </c>
    </row>
    <row r="60" spans="1:15" ht="15.95" customHeight="1">
      <c r="A60" s="3610"/>
      <c r="B60" s="3610"/>
      <c r="C60" s="3611"/>
      <c r="D60" s="3610"/>
      <c r="E60" s="3627">
        <f t="shared" si="16"/>
        <v>306</v>
      </c>
      <c r="F60" s="3621">
        <f t="shared" si="12"/>
        <v>0</v>
      </c>
      <c r="G60" s="3621">
        <f t="shared" si="12"/>
        <v>0</v>
      </c>
      <c r="H60" s="3621">
        <f t="shared" si="12"/>
        <v>0</v>
      </c>
      <c r="I60" s="3621">
        <f t="shared" si="12"/>
        <v>0</v>
      </c>
      <c r="J60" s="3621">
        <f t="shared" si="12"/>
        <v>0</v>
      </c>
      <c r="K60" s="3641">
        <f t="shared" si="14"/>
        <v>0</v>
      </c>
      <c r="N60" s="3626">
        <f t="shared" si="13"/>
        <v>335</v>
      </c>
      <c r="O60" s="3629">
        <f t="shared" si="15"/>
        <v>0</v>
      </c>
    </row>
    <row r="61" spans="1:15" ht="15.95" customHeight="1">
      <c r="A61" s="3610"/>
      <c r="B61" s="3610"/>
      <c r="C61" s="3611"/>
      <c r="D61" s="3610"/>
      <c r="E61" s="3627">
        <f t="shared" si="16"/>
        <v>336</v>
      </c>
      <c r="F61" s="3621">
        <f t="shared" si="12"/>
        <v>0</v>
      </c>
      <c r="G61" s="3621">
        <f t="shared" si="12"/>
        <v>0</v>
      </c>
      <c r="H61" s="3621">
        <f t="shared" si="12"/>
        <v>0</v>
      </c>
      <c r="I61" s="3621">
        <f t="shared" si="12"/>
        <v>0</v>
      </c>
      <c r="J61" s="3621">
        <f t="shared" si="12"/>
        <v>0</v>
      </c>
      <c r="K61" s="3641">
        <f t="shared" si="14"/>
        <v>0</v>
      </c>
      <c r="N61" s="3626">
        <f t="shared" si="13"/>
        <v>366</v>
      </c>
      <c r="O61" s="3629">
        <f t="shared" si="15"/>
        <v>0</v>
      </c>
    </row>
    <row r="62" spans="1:15" ht="15.95" customHeight="1">
      <c r="A62" s="3610"/>
      <c r="B62" s="3610"/>
      <c r="C62" s="3611"/>
      <c r="D62" s="3610"/>
      <c r="E62" s="3627">
        <f t="shared" si="16"/>
        <v>367</v>
      </c>
      <c r="F62" s="3621">
        <f t="shared" si="12"/>
        <v>0</v>
      </c>
      <c r="G62" s="3621">
        <f t="shared" si="12"/>
        <v>0</v>
      </c>
      <c r="H62" s="3621">
        <f t="shared" si="12"/>
        <v>0</v>
      </c>
      <c r="I62" s="3621">
        <f t="shared" si="12"/>
        <v>0</v>
      </c>
      <c r="J62" s="3621">
        <f t="shared" si="12"/>
        <v>0</v>
      </c>
      <c r="K62" s="3641">
        <f t="shared" si="14"/>
        <v>0</v>
      </c>
      <c r="N62" s="3626">
        <f t="shared" si="13"/>
        <v>397</v>
      </c>
      <c r="O62" s="3629">
        <f t="shared" si="15"/>
        <v>0</v>
      </c>
    </row>
    <row r="63" spans="1:15" ht="15.95" customHeight="1">
      <c r="A63" s="3610"/>
      <c r="B63" s="3610"/>
      <c r="C63" s="3611"/>
      <c r="D63" s="3610"/>
      <c r="E63" s="3627">
        <f t="shared" si="16"/>
        <v>398</v>
      </c>
      <c r="F63" s="3621">
        <f t="shared" si="12"/>
        <v>0</v>
      </c>
      <c r="G63" s="3621">
        <f t="shared" si="12"/>
        <v>0</v>
      </c>
      <c r="H63" s="3621">
        <f t="shared" si="12"/>
        <v>0</v>
      </c>
      <c r="I63" s="3621">
        <f t="shared" si="12"/>
        <v>0</v>
      </c>
      <c r="J63" s="3621">
        <f t="shared" si="12"/>
        <v>0</v>
      </c>
      <c r="K63" s="3641">
        <f t="shared" si="14"/>
        <v>0</v>
      </c>
      <c r="N63" s="3626">
        <f t="shared" si="13"/>
        <v>425</v>
      </c>
      <c r="O63" s="3629">
        <f t="shared" si="15"/>
        <v>0</v>
      </c>
    </row>
    <row r="64" spans="1:15" ht="15.95" customHeight="1">
      <c r="A64" s="3610"/>
      <c r="B64" s="3610"/>
      <c r="C64" s="3611"/>
      <c r="D64" s="3610"/>
      <c r="E64" s="3627">
        <f t="shared" si="16"/>
        <v>426</v>
      </c>
      <c r="F64" s="3621">
        <f t="shared" si="12"/>
        <v>0</v>
      </c>
      <c r="G64" s="3621">
        <f t="shared" si="12"/>
        <v>0</v>
      </c>
      <c r="H64" s="3621">
        <f t="shared" si="12"/>
        <v>0</v>
      </c>
      <c r="I64" s="3621">
        <f t="shared" si="12"/>
        <v>0</v>
      </c>
      <c r="J64" s="3621">
        <f t="shared" si="12"/>
        <v>0</v>
      </c>
      <c r="K64" s="3641">
        <f t="shared" si="14"/>
        <v>0</v>
      </c>
      <c r="N64" s="3626">
        <f t="shared" si="13"/>
        <v>456</v>
      </c>
      <c r="O64" s="3629">
        <f t="shared" si="15"/>
        <v>0</v>
      </c>
    </row>
    <row r="65" spans="1:15" ht="15.95" customHeight="1">
      <c r="A65" s="3610"/>
      <c r="B65" s="3610"/>
      <c r="C65" s="3611"/>
      <c r="D65" s="3610"/>
      <c r="E65" s="3627">
        <f t="shared" si="16"/>
        <v>457</v>
      </c>
      <c r="F65" s="3621">
        <f t="shared" si="12"/>
        <v>0</v>
      </c>
      <c r="G65" s="3621">
        <f t="shared" si="12"/>
        <v>0</v>
      </c>
      <c r="H65" s="3621">
        <f t="shared" si="12"/>
        <v>0</v>
      </c>
      <c r="I65" s="3621">
        <f t="shared" si="12"/>
        <v>0</v>
      </c>
      <c r="J65" s="3621">
        <f t="shared" si="12"/>
        <v>0</v>
      </c>
      <c r="K65" s="3641">
        <f t="shared" si="14"/>
        <v>0</v>
      </c>
      <c r="N65" s="3626">
        <f t="shared" si="13"/>
        <v>486</v>
      </c>
      <c r="O65" s="3629">
        <f t="shared" si="15"/>
        <v>0</v>
      </c>
    </row>
    <row r="66" spans="1:15" ht="15.95" customHeight="1">
      <c r="A66" s="3610"/>
      <c r="B66" s="3610"/>
      <c r="C66" s="3611"/>
      <c r="D66" s="3610"/>
      <c r="E66" s="3627">
        <f t="shared" si="16"/>
        <v>487</v>
      </c>
      <c r="F66" s="3621">
        <f t="shared" ref="F66:J91" si="17">SUMIFS(F$17:F$42,Date,"&gt;="&amp;$E66,Date,"&lt;="&amp;$N66,Paid_NotPaid,"Not Paid")</f>
        <v>0</v>
      </c>
      <c r="G66" s="3621">
        <f t="shared" si="17"/>
        <v>0</v>
      </c>
      <c r="H66" s="3621">
        <f t="shared" si="17"/>
        <v>0</v>
      </c>
      <c r="I66" s="3621">
        <f t="shared" si="17"/>
        <v>0</v>
      </c>
      <c r="J66" s="3621">
        <f t="shared" si="17"/>
        <v>0</v>
      </c>
      <c r="K66" s="3641">
        <f t="shared" si="14"/>
        <v>0</v>
      </c>
      <c r="N66" s="3626">
        <f t="shared" si="13"/>
        <v>517</v>
      </c>
      <c r="O66" s="3629">
        <f t="shared" si="15"/>
        <v>0</v>
      </c>
    </row>
    <row r="67" spans="1:15" ht="15.95" customHeight="1">
      <c r="A67" s="3610"/>
      <c r="B67" s="3610"/>
      <c r="C67" s="3611"/>
      <c r="D67" s="3610"/>
      <c r="E67" s="3627">
        <f t="shared" si="16"/>
        <v>518</v>
      </c>
      <c r="F67" s="3621">
        <f t="shared" si="17"/>
        <v>0</v>
      </c>
      <c r="G67" s="3621">
        <f t="shared" si="17"/>
        <v>0</v>
      </c>
      <c r="H67" s="3621">
        <f t="shared" si="17"/>
        <v>0</v>
      </c>
      <c r="I67" s="3621">
        <f t="shared" si="17"/>
        <v>0</v>
      </c>
      <c r="J67" s="3621">
        <f t="shared" si="17"/>
        <v>0</v>
      </c>
      <c r="K67" s="3641">
        <f t="shared" si="14"/>
        <v>0</v>
      </c>
      <c r="N67" s="3626">
        <f t="shared" si="13"/>
        <v>547</v>
      </c>
      <c r="O67" s="3629">
        <f t="shared" si="15"/>
        <v>0</v>
      </c>
    </row>
    <row r="68" spans="1:15" ht="15.95" customHeight="1">
      <c r="A68" s="3610"/>
      <c r="B68" s="3610"/>
      <c r="C68" s="3611"/>
      <c r="D68" s="3610"/>
      <c r="E68" s="3627">
        <f t="shared" si="16"/>
        <v>548</v>
      </c>
      <c r="F68" s="3621">
        <f t="shared" si="17"/>
        <v>0</v>
      </c>
      <c r="G68" s="3621">
        <f t="shared" si="17"/>
        <v>0</v>
      </c>
      <c r="H68" s="3621">
        <f t="shared" si="17"/>
        <v>0</v>
      </c>
      <c r="I68" s="3621">
        <f t="shared" si="17"/>
        <v>0</v>
      </c>
      <c r="J68" s="3621">
        <f t="shared" si="17"/>
        <v>0</v>
      </c>
      <c r="K68" s="3641">
        <f t="shared" si="14"/>
        <v>0</v>
      </c>
      <c r="N68" s="3626">
        <f t="shared" si="13"/>
        <v>578</v>
      </c>
      <c r="O68" s="3629">
        <f t="shared" si="15"/>
        <v>0</v>
      </c>
    </row>
    <row r="69" spans="1:15" ht="15.95" customHeight="1">
      <c r="A69" s="3610"/>
      <c r="B69" s="3610"/>
      <c r="C69" s="3611"/>
      <c r="D69" s="3610"/>
      <c r="E69" s="3627">
        <f t="shared" si="16"/>
        <v>579</v>
      </c>
      <c r="F69" s="3621">
        <f t="shared" si="17"/>
        <v>0</v>
      </c>
      <c r="G69" s="3621">
        <f t="shared" si="17"/>
        <v>0</v>
      </c>
      <c r="H69" s="3621">
        <f t="shared" si="17"/>
        <v>0</v>
      </c>
      <c r="I69" s="3621">
        <f t="shared" si="17"/>
        <v>0</v>
      </c>
      <c r="J69" s="3621">
        <f t="shared" si="17"/>
        <v>0</v>
      </c>
      <c r="K69" s="3641">
        <f t="shared" si="14"/>
        <v>0</v>
      </c>
      <c r="N69" s="3626">
        <f t="shared" si="13"/>
        <v>609</v>
      </c>
      <c r="O69" s="3629">
        <f t="shared" si="15"/>
        <v>0</v>
      </c>
    </row>
    <row r="70" spans="1:15" ht="15.95" customHeight="1">
      <c r="A70" s="3610"/>
      <c r="B70" s="3610"/>
      <c r="C70" s="3611"/>
      <c r="D70" s="3610"/>
      <c r="E70" s="3627">
        <f t="shared" si="16"/>
        <v>610</v>
      </c>
      <c r="F70" s="3621">
        <f t="shared" si="17"/>
        <v>0</v>
      </c>
      <c r="G70" s="3621">
        <f t="shared" si="17"/>
        <v>0</v>
      </c>
      <c r="H70" s="3621">
        <f t="shared" si="17"/>
        <v>0</v>
      </c>
      <c r="I70" s="3621">
        <f t="shared" si="17"/>
        <v>0</v>
      </c>
      <c r="J70" s="3621">
        <f t="shared" si="17"/>
        <v>0</v>
      </c>
      <c r="K70" s="3641">
        <f t="shared" si="14"/>
        <v>0</v>
      </c>
      <c r="N70" s="3626">
        <f t="shared" si="13"/>
        <v>639</v>
      </c>
      <c r="O70" s="3629">
        <f t="shared" si="15"/>
        <v>0</v>
      </c>
    </row>
    <row r="71" spans="1:15" ht="15.95" customHeight="1">
      <c r="A71" s="3610"/>
      <c r="B71" s="3610"/>
      <c r="C71" s="3611"/>
      <c r="D71" s="3610"/>
      <c r="E71" s="3627">
        <f t="shared" si="16"/>
        <v>640</v>
      </c>
      <c r="F71" s="3621">
        <f t="shared" si="17"/>
        <v>0</v>
      </c>
      <c r="G71" s="3621">
        <f t="shared" si="17"/>
        <v>0</v>
      </c>
      <c r="H71" s="3621">
        <f t="shared" si="17"/>
        <v>0</v>
      </c>
      <c r="I71" s="3621">
        <f t="shared" si="17"/>
        <v>0</v>
      </c>
      <c r="J71" s="3621">
        <f t="shared" si="17"/>
        <v>0</v>
      </c>
      <c r="K71" s="3641">
        <f t="shared" si="14"/>
        <v>0</v>
      </c>
      <c r="N71" s="3626">
        <f t="shared" si="13"/>
        <v>670</v>
      </c>
      <c r="O71" s="3629">
        <f t="shared" si="15"/>
        <v>0</v>
      </c>
    </row>
    <row r="72" spans="1:15" ht="15.95" customHeight="1">
      <c r="A72" s="3610"/>
      <c r="B72" s="3610"/>
      <c r="C72" s="3611"/>
      <c r="D72" s="3610"/>
      <c r="E72" s="3627">
        <f t="shared" si="16"/>
        <v>671</v>
      </c>
      <c r="F72" s="3621">
        <f t="shared" si="17"/>
        <v>0</v>
      </c>
      <c r="G72" s="3621">
        <f t="shared" si="17"/>
        <v>0</v>
      </c>
      <c r="H72" s="3621">
        <f t="shared" si="17"/>
        <v>0</v>
      </c>
      <c r="I72" s="3621">
        <f t="shared" si="17"/>
        <v>0</v>
      </c>
      <c r="J72" s="3621">
        <f t="shared" si="17"/>
        <v>0</v>
      </c>
      <c r="K72" s="3641">
        <f t="shared" si="14"/>
        <v>0</v>
      </c>
      <c r="N72" s="3626">
        <f t="shared" si="13"/>
        <v>700</v>
      </c>
      <c r="O72" s="3629">
        <f t="shared" si="15"/>
        <v>0</v>
      </c>
    </row>
    <row r="73" spans="1:15" ht="15.95" customHeight="1">
      <c r="A73" s="3610"/>
      <c r="B73" s="3610"/>
      <c r="C73" s="3611"/>
      <c r="D73" s="3610"/>
      <c r="E73" s="3627">
        <f t="shared" si="16"/>
        <v>701</v>
      </c>
      <c r="F73" s="3621">
        <f t="shared" si="17"/>
        <v>0</v>
      </c>
      <c r="G73" s="3621">
        <f t="shared" si="17"/>
        <v>0</v>
      </c>
      <c r="H73" s="3621">
        <f t="shared" si="17"/>
        <v>0</v>
      </c>
      <c r="I73" s="3621">
        <f t="shared" si="17"/>
        <v>0</v>
      </c>
      <c r="J73" s="3621">
        <f t="shared" si="17"/>
        <v>0</v>
      </c>
      <c r="K73" s="3641">
        <f t="shared" si="14"/>
        <v>0</v>
      </c>
      <c r="N73" s="3626">
        <f t="shared" si="13"/>
        <v>731</v>
      </c>
      <c r="O73" s="3629">
        <f t="shared" si="15"/>
        <v>0</v>
      </c>
    </row>
    <row r="74" spans="1:15" ht="15.95" customHeight="1">
      <c r="A74" s="3610"/>
      <c r="B74" s="3610"/>
      <c r="C74" s="3611"/>
      <c r="D74" s="3610"/>
      <c r="E74" s="3627">
        <f t="shared" si="16"/>
        <v>732</v>
      </c>
      <c r="F74" s="3621">
        <f t="shared" si="17"/>
        <v>0</v>
      </c>
      <c r="G74" s="3621">
        <f t="shared" si="17"/>
        <v>0</v>
      </c>
      <c r="H74" s="3621">
        <f t="shared" si="17"/>
        <v>0</v>
      </c>
      <c r="I74" s="3621">
        <f t="shared" si="17"/>
        <v>0</v>
      </c>
      <c r="J74" s="3621">
        <f t="shared" si="17"/>
        <v>0</v>
      </c>
      <c r="K74" s="3641">
        <f t="shared" si="14"/>
        <v>0</v>
      </c>
      <c r="N74" s="3626">
        <f t="shared" si="13"/>
        <v>762</v>
      </c>
      <c r="O74" s="3629">
        <f t="shared" si="15"/>
        <v>0</v>
      </c>
    </row>
    <row r="75" spans="1:15" ht="15.95" customHeight="1">
      <c r="A75" s="3610"/>
      <c r="B75" s="3610"/>
      <c r="C75" s="3611"/>
      <c r="D75" s="3610"/>
      <c r="E75" s="3627">
        <f t="shared" si="16"/>
        <v>763</v>
      </c>
      <c r="F75" s="3621">
        <f t="shared" si="17"/>
        <v>0</v>
      </c>
      <c r="G75" s="3621">
        <f t="shared" si="17"/>
        <v>0</v>
      </c>
      <c r="H75" s="3621">
        <f t="shared" si="17"/>
        <v>0</v>
      </c>
      <c r="I75" s="3621">
        <f t="shared" si="17"/>
        <v>0</v>
      </c>
      <c r="J75" s="3621">
        <f t="shared" si="17"/>
        <v>0</v>
      </c>
      <c r="K75" s="3641">
        <f t="shared" si="14"/>
        <v>0</v>
      </c>
      <c r="N75" s="3626">
        <f t="shared" si="13"/>
        <v>790</v>
      </c>
      <c r="O75" s="3629">
        <f t="shared" si="15"/>
        <v>0</v>
      </c>
    </row>
    <row r="76" spans="1:15" ht="15.95" customHeight="1">
      <c r="A76" s="3610"/>
      <c r="B76" s="3610"/>
      <c r="C76" s="3611"/>
      <c r="D76" s="3610"/>
      <c r="E76" s="3627">
        <f t="shared" si="16"/>
        <v>791</v>
      </c>
      <c r="F76" s="3621">
        <f t="shared" si="17"/>
        <v>0</v>
      </c>
      <c r="G76" s="3621">
        <f t="shared" si="17"/>
        <v>0</v>
      </c>
      <c r="H76" s="3621">
        <f t="shared" si="17"/>
        <v>0</v>
      </c>
      <c r="I76" s="3621">
        <f t="shared" si="17"/>
        <v>0</v>
      </c>
      <c r="J76" s="3621">
        <f t="shared" si="17"/>
        <v>0</v>
      </c>
      <c r="K76" s="3641">
        <f t="shared" si="14"/>
        <v>0</v>
      </c>
      <c r="N76" s="3626">
        <f t="shared" si="13"/>
        <v>821</v>
      </c>
      <c r="O76" s="3629">
        <f t="shared" si="15"/>
        <v>0</v>
      </c>
    </row>
    <row r="77" spans="1:15" ht="15.95" customHeight="1">
      <c r="A77" s="3610"/>
      <c r="B77" s="3610"/>
      <c r="C77" s="3611"/>
      <c r="D77" s="3610"/>
      <c r="E77" s="3627">
        <f t="shared" si="16"/>
        <v>822</v>
      </c>
      <c r="F77" s="3621">
        <f t="shared" si="17"/>
        <v>0</v>
      </c>
      <c r="G77" s="3621">
        <f t="shared" si="17"/>
        <v>0</v>
      </c>
      <c r="H77" s="3621">
        <f t="shared" si="17"/>
        <v>0</v>
      </c>
      <c r="I77" s="3621">
        <f t="shared" si="17"/>
        <v>0</v>
      </c>
      <c r="J77" s="3621">
        <f t="shared" si="17"/>
        <v>0</v>
      </c>
      <c r="K77" s="3641">
        <f t="shared" si="14"/>
        <v>0</v>
      </c>
      <c r="N77" s="3626">
        <f t="shared" si="13"/>
        <v>851</v>
      </c>
      <c r="O77" s="3629">
        <f t="shared" si="15"/>
        <v>0</v>
      </c>
    </row>
    <row r="78" spans="1:15" ht="15.95" customHeight="1">
      <c r="A78" s="3610"/>
      <c r="B78" s="3610"/>
      <c r="C78" s="3611"/>
      <c r="D78" s="3610"/>
      <c r="E78" s="3627">
        <f t="shared" si="16"/>
        <v>852</v>
      </c>
      <c r="F78" s="3621">
        <f t="shared" si="17"/>
        <v>0</v>
      </c>
      <c r="G78" s="3621">
        <f t="shared" si="17"/>
        <v>0</v>
      </c>
      <c r="H78" s="3621">
        <f t="shared" si="17"/>
        <v>0</v>
      </c>
      <c r="I78" s="3621">
        <f t="shared" si="17"/>
        <v>0</v>
      </c>
      <c r="J78" s="3621">
        <f t="shared" si="17"/>
        <v>0</v>
      </c>
      <c r="K78" s="3641">
        <f t="shared" si="14"/>
        <v>0</v>
      </c>
      <c r="N78" s="3626">
        <f t="shared" si="13"/>
        <v>882</v>
      </c>
      <c r="O78" s="3629">
        <f t="shared" si="15"/>
        <v>0</v>
      </c>
    </row>
    <row r="79" spans="1:15" ht="15.95" customHeight="1">
      <c r="A79" s="3610"/>
      <c r="B79" s="3610"/>
      <c r="C79" s="3611"/>
      <c r="D79" s="3610"/>
      <c r="E79" s="3627">
        <f t="shared" si="16"/>
        <v>883</v>
      </c>
      <c r="F79" s="3621">
        <f t="shared" si="17"/>
        <v>0</v>
      </c>
      <c r="G79" s="3621">
        <f t="shared" si="17"/>
        <v>0</v>
      </c>
      <c r="H79" s="3621">
        <f t="shared" si="17"/>
        <v>0</v>
      </c>
      <c r="I79" s="3621">
        <f t="shared" si="17"/>
        <v>0</v>
      </c>
      <c r="J79" s="3621">
        <f t="shared" si="17"/>
        <v>0</v>
      </c>
      <c r="K79" s="3641">
        <f t="shared" si="14"/>
        <v>0</v>
      </c>
      <c r="N79" s="3626">
        <f t="shared" si="13"/>
        <v>912</v>
      </c>
      <c r="O79" s="3629">
        <f t="shared" si="15"/>
        <v>0</v>
      </c>
    </row>
    <row r="80" spans="1:15" ht="15.95" customHeight="1">
      <c r="A80" s="3610"/>
      <c r="B80" s="3610"/>
      <c r="C80" s="3611"/>
      <c r="D80" s="3610"/>
      <c r="E80" s="3627">
        <f t="shared" si="16"/>
        <v>913</v>
      </c>
      <c r="F80" s="3621">
        <f t="shared" si="17"/>
        <v>0</v>
      </c>
      <c r="G80" s="3621">
        <f t="shared" si="17"/>
        <v>0</v>
      </c>
      <c r="H80" s="3621">
        <f t="shared" si="17"/>
        <v>0</v>
      </c>
      <c r="I80" s="3621">
        <f t="shared" si="17"/>
        <v>0</v>
      </c>
      <c r="J80" s="3621">
        <f t="shared" si="17"/>
        <v>0</v>
      </c>
      <c r="K80" s="3641">
        <f t="shared" si="14"/>
        <v>0</v>
      </c>
      <c r="N80" s="3626">
        <f t="shared" si="13"/>
        <v>943</v>
      </c>
      <c r="O80" s="3629">
        <f t="shared" si="15"/>
        <v>0</v>
      </c>
    </row>
    <row r="81" spans="1:15" ht="15.95" customHeight="1">
      <c r="A81" s="3610"/>
      <c r="B81" s="3610"/>
      <c r="C81" s="3611"/>
      <c r="D81" s="3610"/>
      <c r="E81" s="3627">
        <f t="shared" si="16"/>
        <v>944</v>
      </c>
      <c r="F81" s="3621">
        <f t="shared" si="17"/>
        <v>0</v>
      </c>
      <c r="G81" s="3621">
        <f t="shared" si="17"/>
        <v>0</v>
      </c>
      <c r="H81" s="3621">
        <f t="shared" si="17"/>
        <v>0</v>
      </c>
      <c r="I81" s="3621">
        <f t="shared" si="17"/>
        <v>0</v>
      </c>
      <c r="J81" s="3621">
        <f t="shared" si="17"/>
        <v>0</v>
      </c>
      <c r="K81" s="3641">
        <f t="shared" si="14"/>
        <v>0</v>
      </c>
      <c r="N81" s="3626">
        <f t="shared" si="13"/>
        <v>974</v>
      </c>
      <c r="O81" s="3629">
        <f t="shared" si="15"/>
        <v>0</v>
      </c>
    </row>
    <row r="82" spans="1:15" ht="15.95" customHeight="1">
      <c r="A82" s="3610"/>
      <c r="B82" s="3610"/>
      <c r="C82" s="3611"/>
      <c r="D82" s="3610"/>
      <c r="E82" s="3627">
        <f t="shared" si="16"/>
        <v>975</v>
      </c>
      <c r="F82" s="3621">
        <f t="shared" si="17"/>
        <v>0</v>
      </c>
      <c r="G82" s="3621">
        <f t="shared" si="17"/>
        <v>0</v>
      </c>
      <c r="H82" s="3621">
        <f t="shared" si="17"/>
        <v>0</v>
      </c>
      <c r="I82" s="3621">
        <f t="shared" si="17"/>
        <v>0</v>
      </c>
      <c r="J82" s="3621">
        <f t="shared" si="17"/>
        <v>0</v>
      </c>
      <c r="K82" s="3641">
        <f t="shared" si="14"/>
        <v>0</v>
      </c>
      <c r="N82" s="3626">
        <f t="shared" si="13"/>
        <v>1004</v>
      </c>
      <c r="O82" s="3629">
        <f t="shared" si="15"/>
        <v>0</v>
      </c>
    </row>
    <row r="83" spans="1:15" ht="15.95" customHeight="1">
      <c r="A83" s="3610"/>
      <c r="B83" s="1483"/>
      <c r="C83" s="1483"/>
      <c r="D83" s="3610"/>
      <c r="E83" s="3627">
        <f t="shared" si="16"/>
        <v>1005</v>
      </c>
      <c r="F83" s="3621">
        <f t="shared" si="17"/>
        <v>0</v>
      </c>
      <c r="G83" s="3621">
        <f t="shared" si="17"/>
        <v>0</v>
      </c>
      <c r="H83" s="3621">
        <f t="shared" si="17"/>
        <v>0</v>
      </c>
      <c r="I83" s="3621">
        <f t="shared" si="17"/>
        <v>0</v>
      </c>
      <c r="J83" s="3621">
        <f t="shared" si="17"/>
        <v>0</v>
      </c>
      <c r="K83" s="3641">
        <f t="shared" si="14"/>
        <v>0</v>
      </c>
      <c r="N83" s="3626">
        <f t="shared" si="13"/>
        <v>1035</v>
      </c>
      <c r="O83" s="3629">
        <f t="shared" si="15"/>
        <v>0</v>
      </c>
    </row>
    <row r="84" spans="1:15" ht="15.95" customHeight="1">
      <c r="A84" s="3610"/>
      <c r="B84" s="1483"/>
      <c r="C84" s="1483"/>
      <c r="D84" s="3610"/>
      <c r="E84" s="3627">
        <f t="shared" si="16"/>
        <v>1036</v>
      </c>
      <c r="F84" s="3621">
        <f t="shared" si="17"/>
        <v>0</v>
      </c>
      <c r="G84" s="3621">
        <f t="shared" si="17"/>
        <v>0</v>
      </c>
      <c r="H84" s="3621">
        <f t="shared" si="17"/>
        <v>0</v>
      </c>
      <c r="I84" s="3621">
        <f t="shared" si="17"/>
        <v>0</v>
      </c>
      <c r="J84" s="3621">
        <f t="shared" si="17"/>
        <v>0</v>
      </c>
      <c r="K84" s="3641">
        <f t="shared" si="14"/>
        <v>0</v>
      </c>
      <c r="N84" s="3626">
        <f t="shared" si="13"/>
        <v>1065</v>
      </c>
      <c r="O84" s="3629">
        <f t="shared" si="15"/>
        <v>0</v>
      </c>
    </row>
    <row r="85" spans="1:15" ht="15.95" customHeight="1">
      <c r="A85" s="3610"/>
      <c r="B85" s="1483"/>
      <c r="C85" s="1483"/>
      <c r="D85" s="3610"/>
      <c r="E85" s="3627">
        <f t="shared" si="16"/>
        <v>1066</v>
      </c>
      <c r="F85" s="3621">
        <f t="shared" si="17"/>
        <v>0</v>
      </c>
      <c r="G85" s="3621">
        <f t="shared" si="17"/>
        <v>0</v>
      </c>
      <c r="H85" s="3621">
        <f t="shared" si="17"/>
        <v>0</v>
      </c>
      <c r="I85" s="3621">
        <f t="shared" si="17"/>
        <v>0</v>
      </c>
      <c r="J85" s="3621">
        <f t="shared" si="17"/>
        <v>0</v>
      </c>
      <c r="K85" s="3641">
        <f t="shared" si="14"/>
        <v>0</v>
      </c>
      <c r="N85" s="3626">
        <f t="shared" si="13"/>
        <v>1096</v>
      </c>
      <c r="O85" s="3629">
        <f t="shared" si="15"/>
        <v>0</v>
      </c>
    </row>
    <row r="86" spans="1:15" ht="15.95" customHeight="1">
      <c r="A86" s="3610"/>
      <c r="B86" s="3610"/>
      <c r="C86" s="3611"/>
      <c r="D86" s="3610"/>
      <c r="E86" s="3627">
        <f t="shared" si="16"/>
        <v>1097</v>
      </c>
      <c r="F86" s="3621">
        <f t="shared" si="17"/>
        <v>0</v>
      </c>
      <c r="G86" s="3621">
        <f t="shared" si="17"/>
        <v>0</v>
      </c>
      <c r="H86" s="3621">
        <f t="shared" si="17"/>
        <v>0</v>
      </c>
      <c r="I86" s="3621">
        <f t="shared" si="17"/>
        <v>0</v>
      </c>
      <c r="J86" s="3621">
        <f t="shared" si="17"/>
        <v>0</v>
      </c>
      <c r="K86" s="3641">
        <f t="shared" si="14"/>
        <v>0</v>
      </c>
      <c r="N86" s="3626">
        <f t="shared" si="13"/>
        <v>1127</v>
      </c>
      <c r="O86" s="3629">
        <f t="shared" si="15"/>
        <v>0</v>
      </c>
    </row>
    <row r="87" spans="1:15" ht="15.95" customHeight="1">
      <c r="A87" s="3610"/>
      <c r="B87" s="3610"/>
      <c r="C87" s="3611"/>
      <c r="D87" s="3610"/>
      <c r="E87" s="3627">
        <f t="shared" si="16"/>
        <v>1128</v>
      </c>
      <c r="F87" s="3621">
        <f t="shared" si="17"/>
        <v>0</v>
      </c>
      <c r="G87" s="3621">
        <f t="shared" si="17"/>
        <v>0</v>
      </c>
      <c r="H87" s="3621">
        <f t="shared" si="17"/>
        <v>0</v>
      </c>
      <c r="I87" s="3621">
        <f t="shared" si="17"/>
        <v>0</v>
      </c>
      <c r="J87" s="3621">
        <f t="shared" si="17"/>
        <v>0</v>
      </c>
      <c r="K87" s="3641">
        <f t="shared" si="14"/>
        <v>0</v>
      </c>
      <c r="N87" s="3626">
        <f t="shared" si="13"/>
        <v>1155</v>
      </c>
      <c r="O87" s="3629">
        <f t="shared" si="15"/>
        <v>0</v>
      </c>
    </row>
    <row r="88" spans="1:15" ht="15.95" customHeight="1">
      <c r="A88" s="3610"/>
      <c r="B88" s="3610"/>
      <c r="C88" s="3611"/>
      <c r="D88" s="3610"/>
      <c r="E88" s="3627">
        <f t="shared" si="16"/>
        <v>1156</v>
      </c>
      <c r="F88" s="3621">
        <f t="shared" si="17"/>
        <v>0</v>
      </c>
      <c r="G88" s="3621">
        <f t="shared" si="17"/>
        <v>0</v>
      </c>
      <c r="H88" s="3621">
        <f t="shared" si="17"/>
        <v>0</v>
      </c>
      <c r="I88" s="3621">
        <f t="shared" si="17"/>
        <v>0</v>
      </c>
      <c r="J88" s="3621">
        <f t="shared" si="17"/>
        <v>0</v>
      </c>
      <c r="K88" s="3641">
        <f t="shared" si="14"/>
        <v>0</v>
      </c>
      <c r="N88" s="3626">
        <f t="shared" si="13"/>
        <v>1186</v>
      </c>
      <c r="O88" s="3629">
        <f t="shared" si="15"/>
        <v>0</v>
      </c>
    </row>
    <row r="89" spans="1:15" ht="15.95" customHeight="1">
      <c r="A89" s="3610"/>
      <c r="B89" s="3610"/>
      <c r="C89" s="3611"/>
      <c r="D89" s="3610"/>
      <c r="E89" s="3627">
        <f t="shared" si="16"/>
        <v>1187</v>
      </c>
      <c r="F89" s="3621">
        <f t="shared" si="17"/>
        <v>0</v>
      </c>
      <c r="G89" s="3621">
        <f t="shared" si="17"/>
        <v>0</v>
      </c>
      <c r="H89" s="3621">
        <f t="shared" si="17"/>
        <v>0</v>
      </c>
      <c r="I89" s="3621">
        <f t="shared" si="17"/>
        <v>0</v>
      </c>
      <c r="J89" s="3621">
        <f t="shared" si="17"/>
        <v>0</v>
      </c>
      <c r="K89" s="3641">
        <f t="shared" si="14"/>
        <v>0</v>
      </c>
      <c r="N89" s="3626">
        <f t="shared" si="13"/>
        <v>1216</v>
      </c>
      <c r="O89" s="3629">
        <f t="shared" si="15"/>
        <v>0</v>
      </c>
    </row>
    <row r="90" spans="1:15" ht="15.95" customHeight="1">
      <c r="A90" s="3610"/>
      <c r="B90" s="3610"/>
      <c r="C90" s="3611"/>
      <c r="D90" s="3610"/>
      <c r="E90" s="3627">
        <f t="shared" si="16"/>
        <v>1217</v>
      </c>
      <c r="F90" s="3621">
        <f t="shared" si="17"/>
        <v>0</v>
      </c>
      <c r="G90" s="3621">
        <f t="shared" si="17"/>
        <v>0</v>
      </c>
      <c r="H90" s="3621">
        <f t="shared" si="17"/>
        <v>0</v>
      </c>
      <c r="I90" s="3621">
        <f t="shared" si="17"/>
        <v>0</v>
      </c>
      <c r="J90" s="3621">
        <f t="shared" si="17"/>
        <v>0</v>
      </c>
      <c r="K90" s="3641">
        <f t="shared" si="14"/>
        <v>0</v>
      </c>
      <c r="N90" s="3626">
        <f t="shared" si="13"/>
        <v>1247</v>
      </c>
      <c r="O90" s="3629">
        <f t="shared" si="15"/>
        <v>0</v>
      </c>
    </row>
    <row r="91" spans="1:15" ht="15.95" customHeight="1">
      <c r="A91" s="3610"/>
      <c r="B91" s="3610"/>
      <c r="C91" s="3611"/>
      <c r="D91" s="3610"/>
      <c r="E91" s="3627">
        <f t="shared" si="16"/>
        <v>1248</v>
      </c>
      <c r="F91" s="3621">
        <f t="shared" si="17"/>
        <v>0</v>
      </c>
      <c r="G91" s="3621">
        <f t="shared" si="17"/>
        <v>0</v>
      </c>
      <c r="H91" s="3621">
        <f t="shared" si="17"/>
        <v>0</v>
      </c>
      <c r="I91" s="3621">
        <f t="shared" si="17"/>
        <v>0</v>
      </c>
      <c r="J91" s="3621">
        <f t="shared" si="17"/>
        <v>0</v>
      </c>
      <c r="K91" s="3641">
        <f t="shared" si="14"/>
        <v>0</v>
      </c>
      <c r="N91" s="3626">
        <f>EOMONTH(E91, 0)</f>
        <v>1277</v>
      </c>
      <c r="O91" s="3629">
        <f>K91</f>
        <v>0</v>
      </c>
    </row>
    <row r="92" spans="1:15" ht="15.95" customHeight="1" thickBot="1">
      <c r="A92" s="3610"/>
      <c r="B92" s="3610"/>
      <c r="C92" s="3611"/>
      <c r="D92" s="3610"/>
      <c r="E92" s="3610"/>
      <c r="F92" s="3628">
        <f t="shared" ref="F92:K92" si="18">SUM(F56:F91)</f>
        <v>0</v>
      </c>
      <c r="G92" s="3628">
        <f t="shared" si="18"/>
        <v>0</v>
      </c>
      <c r="H92" s="3628">
        <f t="shared" si="18"/>
        <v>0</v>
      </c>
      <c r="I92" s="3628">
        <f t="shared" si="18"/>
        <v>0</v>
      </c>
      <c r="J92" s="3628">
        <f t="shared" si="18"/>
        <v>0</v>
      </c>
      <c r="K92" s="3628">
        <f t="shared" si="18"/>
        <v>0</v>
      </c>
    </row>
    <row r="93" spans="1:15" ht="15.95" customHeight="1">
      <c r="A93" s="3610"/>
      <c r="B93" s="3610"/>
      <c r="C93" s="3611"/>
      <c r="D93" s="3610"/>
      <c r="E93" s="3610"/>
      <c r="F93" s="3616"/>
      <c r="G93" s="3616"/>
      <c r="H93" s="3616"/>
      <c r="I93" s="3616"/>
      <c r="J93" s="3616"/>
      <c r="K93" s="3610"/>
    </row>
    <row r="94" spans="1:15" ht="15.95" customHeight="1">
      <c r="A94" s="3610"/>
      <c r="B94" s="3610"/>
      <c r="C94" s="3611"/>
      <c r="D94" s="3610"/>
      <c r="E94" s="3617" t="s">
        <v>2790</v>
      </c>
      <c r="F94" s="3614"/>
      <c r="G94" s="3614"/>
      <c r="H94" s="3614"/>
      <c r="I94" s="3614"/>
      <c r="J94" s="3614"/>
      <c r="K94" s="3615"/>
    </row>
    <row r="95" spans="1:15" ht="15.95" customHeight="1">
      <c r="A95" s="3610"/>
      <c r="B95" s="3610"/>
      <c r="C95" s="3611"/>
      <c r="D95" s="3610"/>
      <c r="E95" s="3617"/>
      <c r="F95" s="3636" t="str">
        <f>F15</f>
        <v>&lt;Name&gt;</v>
      </c>
      <c r="G95" s="3636" t="str">
        <f>G15</f>
        <v>&lt;Name&gt;</v>
      </c>
      <c r="H95" s="3636" t="str">
        <f>H15</f>
        <v>&lt;Name&gt;</v>
      </c>
      <c r="I95" s="3636" t="str">
        <f>I15</f>
        <v>&lt;Name&gt;</v>
      </c>
      <c r="J95" s="3636" t="str">
        <f>J15</f>
        <v>&lt;Name&gt;</v>
      </c>
      <c r="K95" s="3650" t="s">
        <v>1129</v>
      </c>
      <c r="N95" s="3610"/>
    </row>
    <row r="96" spans="1:15" ht="15.95" customHeight="1">
      <c r="A96" s="3610"/>
      <c r="B96" s="3610"/>
      <c r="C96" s="3611"/>
      <c r="D96" s="3610"/>
      <c r="E96" s="3613" t="str">
        <f>"("&amp;TEXT(K6,"yyy")&amp;") GDP Adjusted notional tax "</f>
        <v xml:space="preserve">(2024) GDP Adjusted notional tax </v>
      </c>
      <c r="F96" s="3648">
        <v>0</v>
      </c>
      <c r="G96" s="3648">
        <v>0</v>
      </c>
      <c r="H96" s="3648">
        <v>0</v>
      </c>
      <c r="I96" s="3648">
        <v>0</v>
      </c>
      <c r="J96" s="3648">
        <v>0</v>
      </c>
      <c r="K96" s="3631">
        <f>SUM(F96:J96)</f>
        <v>0</v>
      </c>
    </row>
    <row r="97" spans="1:13" ht="15.95" customHeight="1">
      <c r="A97" s="3610"/>
      <c r="B97" s="3610"/>
      <c r="C97" s="3611"/>
      <c r="D97" s="3610"/>
      <c r="E97" s="3613" t="s">
        <v>1129</v>
      </c>
      <c r="F97" s="3625">
        <f>SUM(F96)</f>
        <v>0</v>
      </c>
      <c r="G97" s="3625">
        <f t="shared" ref="G97:K97" si="19">SUM(G96)</f>
        <v>0</v>
      </c>
      <c r="H97" s="3625">
        <f t="shared" si="19"/>
        <v>0</v>
      </c>
      <c r="I97" s="3625">
        <f t="shared" si="19"/>
        <v>0</v>
      </c>
      <c r="J97" s="3625">
        <f t="shared" si="19"/>
        <v>0</v>
      </c>
      <c r="K97" s="3625">
        <f t="shared" si="19"/>
        <v>0</v>
      </c>
    </row>
    <row r="98" spans="1:13" ht="15.95" customHeight="1">
      <c r="A98" s="3610"/>
      <c r="B98" s="3610"/>
      <c r="C98" s="3611"/>
      <c r="D98" s="3610"/>
      <c r="E98" s="3613"/>
      <c r="F98" s="3624"/>
      <c r="G98" s="3624"/>
      <c r="H98" s="3624"/>
      <c r="I98" s="3624"/>
      <c r="J98" s="3624"/>
    </row>
    <row r="99" spans="1:13" ht="15.95" customHeight="1">
      <c r="A99" s="3610"/>
      <c r="B99" s="3610"/>
      <c r="C99" s="3611"/>
      <c r="D99" s="3605"/>
      <c r="E99" s="3622" t="s">
        <v>2785</v>
      </c>
      <c r="F99" s="3605"/>
      <c r="G99" s="3605"/>
      <c r="H99" s="3605"/>
      <c r="I99" s="3610"/>
      <c r="J99" s="3610"/>
      <c r="K99" s="3610"/>
    </row>
    <row r="100" spans="1:13" ht="15.95" customHeight="1">
      <c r="A100" s="3610"/>
      <c r="B100" s="3610"/>
      <c r="C100" s="3611"/>
      <c r="D100" s="3605"/>
      <c r="E100" s="3273">
        <f>DATE(YEAR($K$6-1)-1,9,1)</f>
        <v>45170</v>
      </c>
      <c r="F100" s="3649">
        <v>0</v>
      </c>
      <c r="G100" s="3649">
        <v>0</v>
      </c>
      <c r="H100" s="3649">
        <v>0</v>
      </c>
      <c r="I100" s="3649">
        <v>0</v>
      </c>
      <c r="J100" s="3649">
        <v>0</v>
      </c>
      <c r="K100" s="3631">
        <f>SUM(F100:J100)</f>
        <v>0</v>
      </c>
    </row>
    <row r="101" spans="1:13" ht="15.95" customHeight="1">
      <c r="A101" s="3610"/>
      <c r="B101" s="3610"/>
      <c r="C101" s="3611"/>
      <c r="D101" s="3605"/>
      <c r="E101" s="3273">
        <f>DATE(YEAR($K$6-1)-1,12,1)</f>
        <v>45261</v>
      </c>
      <c r="F101" s="3649">
        <v>0</v>
      </c>
      <c r="G101" s="3649">
        <v>0</v>
      </c>
      <c r="H101" s="3649">
        <v>0</v>
      </c>
      <c r="I101" s="3649">
        <v>0</v>
      </c>
      <c r="J101" s="3649">
        <v>0</v>
      </c>
      <c r="K101" s="3631">
        <f t="shared" ref="K101:K103" si="20">SUM(F101:J101)</f>
        <v>0</v>
      </c>
    </row>
    <row r="102" spans="1:13" ht="15.95" customHeight="1">
      <c r="A102" s="3610"/>
      <c r="B102" s="3610"/>
      <c r="C102" s="3610"/>
      <c r="D102" s="3606"/>
      <c r="E102" s="3273">
        <f>DATE(YEAR($K$6-1)*1,3,1)</f>
        <v>45352</v>
      </c>
      <c r="F102" s="3649">
        <v>0</v>
      </c>
      <c r="G102" s="3649">
        <v>0</v>
      </c>
      <c r="H102" s="3649">
        <v>0</v>
      </c>
      <c r="I102" s="3649">
        <v>0</v>
      </c>
      <c r="J102" s="3649">
        <v>0</v>
      </c>
      <c r="K102" s="3631">
        <f t="shared" si="20"/>
        <v>0</v>
      </c>
    </row>
    <row r="103" spans="1:13" ht="15.95" customHeight="1">
      <c r="A103" s="3610"/>
      <c r="B103" s="3610"/>
      <c r="C103" s="3610"/>
      <c r="D103" s="3606"/>
      <c r="E103" s="3273">
        <f>DATE(YEAR($K$6-1)*1,6,1)</f>
        <v>45444</v>
      </c>
      <c r="F103" s="3649">
        <v>0</v>
      </c>
      <c r="G103" s="3649">
        <v>0</v>
      </c>
      <c r="H103" s="3649">
        <v>0</v>
      </c>
      <c r="I103" s="3649">
        <v>0</v>
      </c>
      <c r="J103" s="3649">
        <v>0</v>
      </c>
      <c r="K103" s="3631">
        <f t="shared" si="20"/>
        <v>0</v>
      </c>
    </row>
    <row r="104" spans="1:13">
      <c r="A104" s="3610"/>
      <c r="B104" s="3618"/>
      <c r="C104" s="3610"/>
      <c r="D104" s="3610"/>
      <c r="E104" s="3613" t="s">
        <v>1129</v>
      </c>
      <c r="F104" s="3625">
        <f>SUM(F100:F103)</f>
        <v>0</v>
      </c>
      <c r="G104" s="3625">
        <f t="shared" ref="G104:K104" si="21">SUM(G100:G103)</f>
        <v>0</v>
      </c>
      <c r="H104" s="3625">
        <f t="shared" si="21"/>
        <v>0</v>
      </c>
      <c r="I104" s="3625">
        <f t="shared" si="21"/>
        <v>0</v>
      </c>
      <c r="J104" s="3625">
        <f t="shared" si="21"/>
        <v>0</v>
      </c>
      <c r="K104" s="3625">
        <f t="shared" si="21"/>
        <v>0</v>
      </c>
    </row>
    <row r="105" spans="1:13">
      <c r="A105" s="3610"/>
      <c r="B105" s="3610"/>
      <c r="C105" s="3610"/>
      <c r="D105" s="3610"/>
      <c r="E105" s="3610"/>
      <c r="F105" s="3610"/>
      <c r="G105" s="3610"/>
      <c r="H105" s="3610"/>
      <c r="I105" s="3610"/>
      <c r="J105" s="3610"/>
      <c r="K105" s="3610"/>
    </row>
    <row r="106" spans="1:13" ht="13.5" thickBot="1">
      <c r="A106" s="3610"/>
      <c r="B106" s="3610"/>
      <c r="C106" s="3610"/>
      <c r="D106" s="3610"/>
      <c r="E106" s="3622" t="s">
        <v>2786</v>
      </c>
      <c r="F106" s="3623">
        <f>IF(F97&gt;F104,F97-F104,0)</f>
        <v>0</v>
      </c>
      <c r="G106" s="3623">
        <f t="shared" ref="G106:J106" si="22">IF(G97&gt;G104,G97-G104,0)</f>
        <v>0</v>
      </c>
      <c r="H106" s="3623">
        <f t="shared" si="22"/>
        <v>0</v>
      </c>
      <c r="I106" s="3623">
        <f t="shared" si="22"/>
        <v>0</v>
      </c>
      <c r="J106" s="3623">
        <f t="shared" si="22"/>
        <v>0</v>
      </c>
      <c r="K106" s="3623">
        <f>K97-K104</f>
        <v>0</v>
      </c>
    </row>
    <row r="107" spans="1:13">
      <c r="A107" s="3610"/>
      <c r="B107" s="3610"/>
      <c r="C107" s="3610"/>
      <c r="D107" s="3610"/>
      <c r="E107" s="3610"/>
      <c r="F107" s="3630" t="s">
        <v>2791</v>
      </c>
      <c r="G107" s="3610"/>
      <c r="H107" s="3610"/>
      <c r="I107" s="3610"/>
      <c r="J107" s="3610"/>
      <c r="K107" s="3610"/>
    </row>
    <row r="108" spans="1:13">
      <c r="A108" s="3610"/>
      <c r="B108" s="3610"/>
      <c r="C108" s="3611"/>
      <c r="D108" s="3611"/>
      <c r="E108" s="3611"/>
      <c r="G108" s="3611"/>
      <c r="H108" s="3611"/>
      <c r="I108" s="3611"/>
      <c r="J108" s="3611"/>
      <c r="K108" s="3611"/>
      <c r="L108" s="3611"/>
      <c r="M108" s="3611"/>
    </row>
    <row r="109" spans="1:13">
      <c r="A109" s="3610"/>
      <c r="B109" s="3610"/>
      <c r="C109" s="3611"/>
      <c r="D109" s="3611"/>
      <c r="E109" s="3611"/>
      <c r="F109" s="3611"/>
      <c r="G109" s="3611"/>
      <c r="H109" s="3611"/>
      <c r="I109" s="3611"/>
      <c r="J109" s="3611"/>
      <c r="K109" s="3611"/>
      <c r="L109" s="3611"/>
      <c r="M109" s="3611"/>
    </row>
    <row r="110" spans="1:13">
      <c r="A110" s="3610"/>
      <c r="B110" s="3610"/>
      <c r="C110" s="3611"/>
      <c r="D110" s="3611"/>
      <c r="E110" s="3611"/>
      <c r="F110" s="3611"/>
      <c r="G110" s="3611"/>
      <c r="H110" s="3611"/>
      <c r="I110" s="3611"/>
      <c r="J110" s="3611"/>
      <c r="K110" s="3611"/>
      <c r="L110" s="3611"/>
      <c r="M110" s="3611"/>
    </row>
    <row r="111" spans="1:13">
      <c r="A111" s="3610"/>
      <c r="B111" s="3610"/>
      <c r="C111" s="3610"/>
      <c r="D111" s="3610"/>
      <c r="E111" s="3610"/>
      <c r="F111" s="3610"/>
      <c r="G111" s="3610"/>
      <c r="H111" s="3610"/>
      <c r="I111" s="3610"/>
      <c r="J111" s="3610"/>
      <c r="K111" s="3610"/>
      <c r="L111" s="3610"/>
      <c r="M111" s="3610"/>
    </row>
    <row r="112" spans="1:13">
      <c r="B112" s="3610"/>
      <c r="C112" s="3610"/>
      <c r="D112" s="3610"/>
      <c r="E112" s="3610"/>
      <c r="F112" s="3610"/>
      <c r="G112" s="3610"/>
      <c r="H112" s="3610"/>
      <c r="I112" s="3610"/>
      <c r="J112" s="3610"/>
      <c r="K112" s="3610"/>
      <c r="L112" s="3610"/>
      <c r="M112" s="3610"/>
    </row>
    <row r="113" spans="2:11">
      <c r="B113" s="3610"/>
      <c r="C113" s="3610"/>
      <c r="D113" s="3610"/>
      <c r="E113" s="3610"/>
      <c r="F113" s="3610"/>
      <c r="G113" s="3610"/>
      <c r="H113" s="3610"/>
      <c r="I113" s="3610"/>
      <c r="J113" s="3610"/>
      <c r="K113" s="3610"/>
    </row>
  </sheetData>
  <mergeCells count="2">
    <mergeCell ref="A5:K5"/>
    <mergeCell ref="A13:K13"/>
  </mergeCells>
  <conditionalFormatting sqref="D17:D42">
    <cfRule type="cellIs" dxfId="101" priority="1" operator="equal">
      <formula>"Not Paid"</formula>
    </cfRule>
    <cfRule type="cellIs" dxfId="100" priority="2" operator="equal">
      <formula>"Paid"</formula>
    </cfRule>
  </conditionalFormatting>
  <dataValidations count="2">
    <dataValidation type="list" allowBlank="1" showInputMessage="1" showErrorMessage="1" sqref="D17:D42" xr:uid="{68B4BD1E-99E1-4201-9B17-3AA9A01ABB05}">
      <formula1>$O$1:$O$2</formula1>
    </dataValidation>
    <dataValidation type="list" allowBlank="1" showInputMessage="1" showErrorMessage="1" sqref="C17:C42" xr:uid="{FF3CBFDC-0C7C-44AF-9EC2-8255DDE99036}">
      <formula1>$O$4:$O$5</formula1>
    </dataValidation>
  </dataValidations>
  <hyperlinks>
    <hyperlink ref="K3" location="'WPIndex'!A1" display="Back to Workpaper Index" xr:uid="{CA362F5E-FF8F-4355-9360-06E49A273B12}"/>
  </hyperlinks>
  <pageMargins left="0.70866141732283472" right="0.70866141732283472" top="0.74803149606299213" bottom="0.74803149606299213" header="0.31496062992125984" footer="0.31496062992125984"/>
  <pageSetup paperSize="9" scale="46" orientation="portrait" r:id="rId1"/>
  <headerFooter>
    <oddFooter>&amp;L© Findex (Aust) Pty Ltd.  All rights reserved.</oddFooter>
  </headerFooter>
  <drawing r:id="rId2"/>
  <legacyDrawing r:id="rId3"/>
  <controls>
    <mc:AlternateContent xmlns:mc="http://schemas.openxmlformats.org/markup-compatibility/2006">
      <mc:Choice Requires="x14">
        <control shapeId="535560" r:id="rId4" name="ToggleButton_HideRows">
          <controlPr defaultSize="0" autoLine="0" r:id="rId5">
            <anchor moveWithCells="1">
              <from>
                <xdr:col>10</xdr:col>
                <xdr:colOff>38100</xdr:colOff>
                <xdr:row>1</xdr:row>
                <xdr:rowOff>76200</xdr:rowOff>
              </from>
              <to>
                <xdr:col>11</xdr:col>
                <xdr:colOff>38100</xdr:colOff>
                <xdr:row>2</xdr:row>
                <xdr:rowOff>9525</xdr:rowOff>
              </to>
            </anchor>
          </controlPr>
        </control>
      </mc:Choice>
      <mc:Fallback>
        <control shapeId="535560" r:id="rId4" name="ToggleButton_HideRow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Recomendations_Sheet">
    <tabColor theme="8" tint="0.79998168889431442"/>
    <pageSetUpPr fitToPage="1"/>
  </sheetPr>
  <dimension ref="A1:S58"/>
  <sheetViews>
    <sheetView showGridLines="0" zoomScaleNormal="100" workbookViewId="0">
      <selection activeCell="B62" sqref="B62"/>
    </sheetView>
  </sheetViews>
  <sheetFormatPr defaultRowHeight="12.75"/>
  <cols>
    <col min="1" max="1" width="15.85546875" customWidth="1"/>
    <col min="2" max="2" width="30.42578125" customWidth="1"/>
    <col min="3" max="4" width="3" customWidth="1"/>
    <col min="5" max="14" width="13.140625" customWidth="1"/>
    <col min="15" max="15" width="12.42578125" customWidth="1"/>
    <col min="16" max="16" width="11.140625" bestFit="1" customWidth="1"/>
    <col min="17" max="17" width="12.42578125" customWidth="1"/>
    <col min="18" max="18" width="12.42578125" bestFit="1" customWidth="1"/>
  </cols>
  <sheetData>
    <row r="1" spans="1:19" s="1057" customFormat="1" ht="30" customHeight="1">
      <c r="A1" s="2078" t="str">
        <f>ClientName</f>
        <v>Example Trust</v>
      </c>
      <c r="C1" s="1058"/>
      <c r="D1" s="1058"/>
      <c r="G1" s="1059"/>
      <c r="H1" s="1058"/>
      <c r="I1" s="1058"/>
      <c r="J1" s="1058"/>
      <c r="K1" s="1058"/>
      <c r="L1" s="1058"/>
      <c r="R1" s="3247" t="s">
        <v>2526</v>
      </c>
      <c r="S1"/>
    </row>
    <row r="2" spans="1:19" s="1057" customFormat="1" ht="21.75" customHeight="1">
      <c r="C2" s="1058"/>
      <c r="D2" s="1058"/>
      <c r="G2" s="1059"/>
      <c r="H2" s="1058"/>
      <c r="I2" s="1058"/>
      <c r="J2" s="1058"/>
      <c r="K2" s="1058"/>
      <c r="L2" s="1058"/>
    </row>
    <row r="3" spans="1:19" ht="20.25" customHeight="1">
      <c r="A3" s="3740" t="s">
        <v>895</v>
      </c>
      <c r="B3" s="3740"/>
      <c r="C3" s="3740"/>
      <c r="D3" s="3740"/>
      <c r="E3" s="3740"/>
      <c r="F3" s="3740"/>
      <c r="G3" s="3740"/>
      <c r="H3" s="3740"/>
      <c r="I3" s="3740"/>
      <c r="J3" s="3740"/>
      <c r="K3" s="3740"/>
      <c r="L3" s="3740"/>
      <c r="M3" s="3740"/>
      <c r="N3" s="3740"/>
      <c r="O3" s="3740"/>
      <c r="P3" s="3740"/>
      <c r="Q3" s="3740"/>
    </row>
    <row r="4" spans="1:19">
      <c r="A4" s="3741" t="str">
        <f>CONCATENATE("for the year ended 30 June ",YEAR('Input Info'!$F$8))</f>
        <v>for the year ended 30 June 2024</v>
      </c>
      <c r="B4" s="3741"/>
      <c r="C4" s="3741"/>
      <c r="D4" s="3741"/>
      <c r="E4" s="3741"/>
      <c r="F4" s="3741"/>
      <c r="G4" s="3741"/>
      <c r="H4" s="3741"/>
      <c r="I4" s="3741"/>
      <c r="J4" s="3741"/>
      <c r="K4" s="3741"/>
      <c r="L4" s="3741"/>
      <c r="M4" s="3741"/>
      <c r="N4" s="3741"/>
      <c r="O4" s="3741"/>
      <c r="P4" s="3741"/>
      <c r="Q4" s="3741"/>
    </row>
    <row r="6" spans="1:19">
      <c r="A6" s="2063"/>
      <c r="B6" s="2077"/>
      <c r="C6" s="2077"/>
      <c r="D6" s="2077"/>
      <c r="E6" s="2077"/>
      <c r="F6" s="2077"/>
      <c r="G6" s="2077"/>
      <c r="H6" s="2077"/>
      <c r="I6" s="2077"/>
      <c r="J6" s="2077"/>
      <c r="K6" s="2077"/>
      <c r="L6" s="2077"/>
      <c r="M6" s="2077"/>
      <c r="N6" s="2077"/>
      <c r="O6" s="2077"/>
      <c r="P6" s="2077"/>
      <c r="Q6" s="2077"/>
    </row>
    <row r="8" spans="1:19" ht="15">
      <c r="A8" s="821" t="s">
        <v>896</v>
      </c>
      <c r="E8" s="3764"/>
      <c r="F8" s="3764"/>
      <c r="G8" s="3764"/>
      <c r="H8" s="3764"/>
      <c r="I8" s="3764"/>
      <c r="J8" s="3764"/>
      <c r="K8" s="3764"/>
      <c r="L8" s="3764"/>
      <c r="M8" s="3764"/>
      <c r="N8" s="3764"/>
      <c r="O8" s="3764"/>
      <c r="P8" s="3764"/>
      <c r="Q8" s="3764"/>
    </row>
    <row r="9" spans="1:19">
      <c r="E9" s="3763"/>
      <c r="F9" s="3763"/>
      <c r="G9" s="3763"/>
      <c r="H9" s="3763"/>
      <c r="I9" s="3763"/>
      <c r="J9" s="3763"/>
      <c r="K9" s="3763"/>
      <c r="L9" s="3763"/>
      <c r="M9" s="3763"/>
      <c r="N9" s="3763"/>
      <c r="O9" s="3763"/>
      <c r="P9" s="3763"/>
      <c r="Q9" s="3763"/>
    </row>
    <row r="10" spans="1:19">
      <c r="E10" s="3763"/>
      <c r="F10" s="3763"/>
      <c r="G10" s="3763"/>
      <c r="H10" s="3763"/>
      <c r="I10" s="3763"/>
      <c r="J10" s="3763"/>
      <c r="K10" s="3763"/>
      <c r="L10" s="3763"/>
      <c r="M10" s="3763"/>
      <c r="N10" s="3763"/>
      <c r="O10" s="3763"/>
      <c r="P10" s="3763"/>
      <c r="Q10" s="3763"/>
    </row>
    <row r="11" spans="1:19">
      <c r="E11" s="3763"/>
      <c r="F11" s="3763"/>
      <c r="G11" s="3763"/>
      <c r="H11" s="3763"/>
      <c r="I11" s="3763"/>
      <c r="J11" s="3763"/>
      <c r="K11" s="3763"/>
      <c r="L11" s="3763"/>
      <c r="M11" s="3763"/>
      <c r="N11" s="3763"/>
      <c r="O11" s="3763"/>
      <c r="P11" s="3763"/>
      <c r="Q11" s="3763"/>
    </row>
    <row r="13" spans="1:19" ht="15">
      <c r="A13" s="821" t="s">
        <v>897</v>
      </c>
    </row>
    <row r="14" spans="1:19" ht="15">
      <c r="A14" s="821"/>
    </row>
    <row r="15" spans="1:19" ht="16.5" customHeight="1">
      <c r="E15" s="1844" t="s">
        <v>1795</v>
      </c>
      <c r="F15" s="1844" t="s">
        <v>1795</v>
      </c>
      <c r="G15" s="1844" t="s">
        <v>1795</v>
      </c>
      <c r="H15" s="1844" t="s">
        <v>1795</v>
      </c>
      <c r="I15" s="1844" t="s">
        <v>1795</v>
      </c>
      <c r="J15" s="1844" t="s">
        <v>1795</v>
      </c>
      <c r="K15" s="1844" t="s">
        <v>1795</v>
      </c>
      <c r="L15" s="1844" t="s">
        <v>1795</v>
      </c>
      <c r="M15" s="1844" t="s">
        <v>1795</v>
      </c>
      <c r="N15" s="1844" t="s">
        <v>1795</v>
      </c>
      <c r="O15" s="1844" t="s">
        <v>1795</v>
      </c>
    </row>
    <row r="16" spans="1:19" hidden="1">
      <c r="E16" s="822">
        <v>1</v>
      </c>
      <c r="F16" s="822">
        <v>2</v>
      </c>
      <c r="G16" s="822">
        <v>3</v>
      </c>
      <c r="H16" s="822">
        <v>4</v>
      </c>
      <c r="I16" s="822">
        <v>5</v>
      </c>
      <c r="J16" s="822">
        <v>6</v>
      </c>
      <c r="K16" s="822">
        <v>7</v>
      </c>
      <c r="L16" s="822">
        <v>8</v>
      </c>
      <c r="M16" s="822">
        <v>9</v>
      </c>
      <c r="N16" s="822">
        <v>10</v>
      </c>
      <c r="O16" s="822">
        <v>11</v>
      </c>
    </row>
    <row r="17" spans="1:17" ht="30" customHeight="1">
      <c r="A17" s="3762" t="s">
        <v>898</v>
      </c>
      <c r="B17" s="3762"/>
      <c r="C17" s="2079"/>
      <c r="D17" s="2079"/>
      <c r="E17" s="2080" t="str">
        <f ca="1">IF(PP="YES",IF(ISERROR(MATCH(E16,'Dist - Averaging'!$18:$18,0)),"",INDEX('Dist - Averaging'!$15:$15,,MATCH(E16,'Dist - Averaging'!$18:$18,0))),IF(ISERROR(MATCH(E16,'Dist - Non Averaging'!$15:$15,0)),"",INDEX('Dist - Non Averaging'!$14:$14,,MATCH(E16,'Dist - Non Averaging'!$15:$15,0))))</f>
        <v>NAME 1</v>
      </c>
      <c r="F17" s="2080" t="str">
        <f ca="1">IF(PP="YES",IF(ISERROR(MATCH(F16,'Dist - Averaging'!$18:$18,0)),"",INDEX('Dist - Averaging'!$15:$15,,MATCH(F16,'Dist - Averaging'!$18:$18,0))),IF(ISERROR(MATCH(F16,'Dist - Non Averaging'!$15:$15,0)),"",INDEX('Dist - Non Averaging'!$14:$14,,MATCH(F16,'Dist - Non Averaging'!$15:$15,0))))</f>
        <v>NAME 2</v>
      </c>
      <c r="G17" s="2080" t="str">
        <f ca="1">IF(PP="YES",IF(ISERROR(MATCH(G16,'Dist - Averaging'!$18:$18,0)),"",INDEX('Dist - Averaging'!$15:$15,,MATCH(G16,'Dist - Averaging'!$18:$18,0))),IF(ISERROR(MATCH(G16,'Dist - Non Averaging'!$15:$15,0)),"",INDEX('Dist - Non Averaging'!$14:$14,,MATCH(G16,'Dist - Non Averaging'!$15:$15,0))))</f>
        <v>NAME 3</v>
      </c>
      <c r="H17" s="2080" t="str">
        <f ca="1">IF(PP="YES",IF(ISERROR(MATCH(H16,'Dist - Averaging'!$18:$18,0)),"",INDEX('Dist - Averaging'!$15:$15,,MATCH(H16,'Dist - Averaging'!$18:$18,0))),IF(ISERROR(MATCH(H16,'Dist - Non Averaging'!$15:$15,0)),"",INDEX('Dist - Non Averaging'!$14:$14,,MATCH(H16,'Dist - Non Averaging'!$15:$15,0))))</f>
        <v>NAME 4</v>
      </c>
      <c r="I17" s="2080" t="str">
        <f ca="1">IF(PP="YES",IF(ISERROR(MATCH(I16,'Dist - Averaging'!$18:$18,0)),"",INDEX('Dist - Averaging'!$15:$15,,MATCH(I16,'Dist - Averaging'!$18:$18,0))),IF(ISERROR(MATCH(I16,'Dist - Non Averaging'!$15:$15,0)),"",INDEX('Dist - Non Averaging'!$14:$14,,MATCH(I16,'Dist - Non Averaging'!$15:$15,0))))</f>
        <v>COMPANY 1</v>
      </c>
      <c r="J17" s="2080" t="str">
        <f ca="1">IF(PP="YES",IF(ISERROR(MATCH(J16,'Dist - Averaging'!$18:$18,0)),"",INDEX('Dist - Averaging'!$15:$15,,MATCH(J16,'Dist - Averaging'!$18:$18,0))),IF(ISERROR(MATCH(J16,'Dist - Non Averaging'!$15:$15,0)),"",INDEX('Dist - Non Averaging'!$14:$14,,MATCH(J16,'Dist - Non Averaging'!$15:$15,0))))</f>
        <v>SUPER FUND</v>
      </c>
      <c r="K17" s="2080" t="str">
        <f ca="1">IF(PP="YES",IF(ISERROR(MATCH(K16,'Dist - Averaging'!$18:$18,0)),"",INDEX('Dist - Averaging'!$15:$15,,MATCH(K16,'Dist - Averaging'!$18:$18,0))),IF(ISERROR(MATCH(K16,'Dist - Non Averaging'!$15:$15,0)),"",INDEX('Dist - Non Averaging'!$14:$14,,MATCH(K16,'Dist - Non Averaging'!$15:$15,0))))</f>
        <v>CHILD 1</v>
      </c>
      <c r="L17" s="2080" t="str">
        <f ca="1">IF(PP="YES",IF(ISERROR(MATCH(L16,'Dist - Averaging'!$18:$18,0)),"",INDEX('Dist - Averaging'!$15:$15,,MATCH(L16,'Dist - Averaging'!$18:$18,0))),IF(ISERROR(MATCH(L16,'Dist - Non Averaging'!$15:$15,0)),"",INDEX('Dist - Non Averaging'!$14:$14,,MATCH(L16,'Dist - Non Averaging'!$15:$15,0))))</f>
        <v/>
      </c>
      <c r="M17" s="2080" t="str">
        <f ca="1">IF(PP="YES",IF(ISERROR(MATCH(M16,'Dist - Averaging'!$18:$18,0)),"",INDEX('Dist - Averaging'!$15:$15,,MATCH(M16,'Dist - Averaging'!$18:$18,0))),IF(ISERROR(MATCH(M16,'Dist - Non Averaging'!$15:$15,0)),"",INDEX('Dist - Non Averaging'!$14:$14,,MATCH(M16,'Dist - Non Averaging'!$15:$15,0))))</f>
        <v/>
      </c>
      <c r="N17" s="2080" t="str">
        <f ca="1">IF(PP="YES",IF(ISERROR(MATCH(N16,'Dist - Averaging'!$18:$18,0)),"",INDEX('Dist - Averaging'!$15:$15,,MATCH(N16,'Dist - Averaging'!$18:$18,0))),IF(ISERROR(MATCH(N16,'Dist - Non Averaging'!$15:$15,0)),"",INDEX('Dist - Non Averaging'!$14:$14,,MATCH(N16,'Dist - Non Averaging'!$15:$15,0))))</f>
        <v/>
      </c>
      <c r="O17" s="2080" t="str">
        <f ca="1">IF(PP="YES",IF(ISERROR(MATCH(O16,'Dist - Averaging'!$18:$18,0)),"",INDEX('Dist - Averaging'!$15:$15,,MATCH(O16,'Dist - Averaging'!$18:$18,0))),IF(ISERROR(MATCH(O16,'Dist - Non Averaging'!$15:$15,0)),"",INDEX('Dist - Non Averaging'!$14:$14,,MATCH(O16,'Dist - Non Averaging'!$15:$15,0))))</f>
        <v/>
      </c>
      <c r="P17" s="2081" t="s">
        <v>1096</v>
      </c>
      <c r="Q17" s="2081" t="s">
        <v>899</v>
      </c>
    </row>
    <row r="19" spans="1:17">
      <c r="A19" t="s">
        <v>900</v>
      </c>
      <c r="B19" t="s">
        <v>901</v>
      </c>
      <c r="E19" s="3271">
        <v>0</v>
      </c>
      <c r="F19" s="3271">
        <v>0</v>
      </c>
      <c r="G19" s="3271">
        <v>0</v>
      </c>
      <c r="H19" s="3271">
        <v>0</v>
      </c>
      <c r="I19" s="3271">
        <v>0</v>
      </c>
      <c r="J19" s="3271">
        <v>0</v>
      </c>
      <c r="K19" s="3271">
        <v>0</v>
      </c>
      <c r="L19" s="3271">
        <v>0</v>
      </c>
      <c r="M19" s="3271">
        <v>0</v>
      </c>
      <c r="N19" s="3271">
        <v>0</v>
      </c>
      <c r="O19" s="3271">
        <v>0</v>
      </c>
      <c r="P19" s="3223">
        <f>SUM(E19:O19)</f>
        <v>0</v>
      </c>
      <c r="Q19" s="3223">
        <f>P19-P18</f>
        <v>0</v>
      </c>
    </row>
    <row r="20" spans="1:17">
      <c r="A20" t="s">
        <v>902</v>
      </c>
      <c r="B20" s="3270" t="s">
        <v>903</v>
      </c>
      <c r="E20" s="3271">
        <v>0</v>
      </c>
      <c r="F20" s="3271">
        <v>0</v>
      </c>
      <c r="G20" s="3271">
        <v>0</v>
      </c>
      <c r="H20" s="3271">
        <v>0</v>
      </c>
      <c r="I20" s="3271">
        <v>0</v>
      </c>
      <c r="J20" s="3271">
        <v>0</v>
      </c>
      <c r="K20" s="3271">
        <v>0</v>
      </c>
      <c r="L20" s="3271">
        <v>0</v>
      </c>
      <c r="M20" s="3271">
        <v>0</v>
      </c>
      <c r="N20" s="3271">
        <v>0</v>
      </c>
      <c r="O20" s="3271">
        <v>0</v>
      </c>
      <c r="P20" s="3223">
        <f>SUM(E20:O20)</f>
        <v>0</v>
      </c>
      <c r="Q20" s="3223">
        <f>P20-P19</f>
        <v>0</v>
      </c>
    </row>
    <row r="21" spans="1:17">
      <c r="A21" t="s">
        <v>904</v>
      </c>
      <c r="B21" s="3270" t="s">
        <v>905</v>
      </c>
      <c r="E21" s="3271">
        <v>0</v>
      </c>
      <c r="F21" s="3271">
        <v>0</v>
      </c>
      <c r="G21" s="3271">
        <v>0</v>
      </c>
      <c r="H21" s="3271">
        <v>0</v>
      </c>
      <c r="I21" s="3271">
        <v>0</v>
      </c>
      <c r="J21" s="3271">
        <v>0</v>
      </c>
      <c r="K21" s="3271">
        <v>0</v>
      </c>
      <c r="L21" s="3271">
        <v>0</v>
      </c>
      <c r="M21" s="3271">
        <v>0</v>
      </c>
      <c r="N21" s="3271">
        <v>0</v>
      </c>
      <c r="O21" s="3271">
        <v>0</v>
      </c>
      <c r="P21" s="3223">
        <f>SUM(E21:O21)</f>
        <v>0</v>
      </c>
      <c r="Q21" s="3223">
        <f>P21-P19</f>
        <v>0</v>
      </c>
    </row>
    <row r="23" spans="1:17" ht="15">
      <c r="A23" s="821" t="s">
        <v>895</v>
      </c>
    </row>
    <row r="24" spans="1:17">
      <c r="A24" s="678"/>
      <c r="B24" s="678"/>
      <c r="C24" s="873"/>
      <c r="D24" s="873"/>
      <c r="E24" s="873"/>
      <c r="F24" s="873"/>
      <c r="G24" s="873"/>
      <c r="H24" s="873"/>
      <c r="I24" s="873"/>
      <c r="J24" s="873"/>
      <c r="K24" s="873"/>
      <c r="L24" s="873"/>
      <c r="M24" s="873"/>
      <c r="N24" s="873"/>
      <c r="O24" s="873"/>
      <c r="P24" s="873"/>
      <c r="Q24" s="873"/>
    </row>
    <row r="25" spans="1:17">
      <c r="A25" s="678"/>
      <c r="B25" s="678"/>
      <c r="C25" s="1078"/>
      <c r="D25" s="1078"/>
      <c r="E25" s="1078"/>
      <c r="F25" s="1078"/>
      <c r="G25" s="1078"/>
      <c r="H25" s="1078"/>
      <c r="I25" s="1078"/>
      <c r="J25" s="1078"/>
      <c r="K25" s="1078"/>
      <c r="L25" s="1078"/>
      <c r="M25" s="1078"/>
      <c r="N25" s="1078"/>
      <c r="O25" s="1078"/>
      <c r="P25" s="1078"/>
      <c r="Q25" s="1078"/>
    </row>
    <row r="26" spans="1:17">
      <c r="A26" s="678"/>
      <c r="B26" s="678"/>
      <c r="C26" s="1078"/>
      <c r="D26" s="1078"/>
      <c r="E26" s="1078"/>
      <c r="F26" s="1078"/>
      <c r="G26" s="1078"/>
      <c r="H26" s="1078"/>
      <c r="I26" s="1078"/>
      <c r="J26" s="1078"/>
      <c r="K26" s="1078"/>
      <c r="L26" s="1078"/>
      <c r="M26" s="1078"/>
      <c r="N26" s="1078"/>
      <c r="O26" s="1078"/>
      <c r="P26" s="1078"/>
      <c r="Q26" s="1078"/>
    </row>
    <row r="27" spans="1:17">
      <c r="A27" s="678"/>
      <c r="B27" s="678"/>
      <c r="C27" s="873"/>
      <c r="D27" s="873"/>
      <c r="E27" s="873"/>
      <c r="F27" s="873"/>
      <c r="G27" s="873"/>
      <c r="H27" s="873"/>
      <c r="I27" s="873"/>
      <c r="J27" s="873"/>
      <c r="K27" s="873"/>
      <c r="L27" s="873"/>
      <c r="M27" s="873"/>
      <c r="N27" s="873"/>
      <c r="O27" s="873"/>
      <c r="P27" s="873"/>
      <c r="Q27" s="873"/>
    </row>
    <row r="28" spans="1:17">
      <c r="A28" s="678"/>
      <c r="B28" s="678"/>
      <c r="C28" s="1078"/>
      <c r="D28" s="1078"/>
      <c r="E28" s="1078"/>
      <c r="F28" s="1078"/>
      <c r="G28" s="1078"/>
      <c r="H28" s="1078"/>
      <c r="I28" s="1078"/>
      <c r="J28" s="1078"/>
      <c r="K28" s="1078"/>
      <c r="L28" s="1078"/>
      <c r="M28" s="1078"/>
      <c r="N28" s="1078"/>
      <c r="O28" s="1078"/>
      <c r="P28" s="1078"/>
      <c r="Q28" s="1078"/>
    </row>
    <row r="29" spans="1:17">
      <c r="A29" s="678"/>
      <c r="B29" s="678"/>
      <c r="C29" s="873"/>
      <c r="D29" s="873"/>
      <c r="E29" s="873"/>
      <c r="F29" s="873"/>
      <c r="G29" s="873"/>
      <c r="H29" s="873"/>
      <c r="I29" s="873"/>
      <c r="J29" s="873"/>
      <c r="K29" s="873"/>
      <c r="L29" s="873"/>
      <c r="M29" s="873"/>
      <c r="N29" s="873"/>
      <c r="O29" s="873"/>
      <c r="P29" s="873"/>
      <c r="Q29" s="873"/>
    </row>
    <row r="30" spans="1:17">
      <c r="A30" s="678"/>
      <c r="B30" s="678"/>
      <c r="C30" s="1078"/>
      <c r="D30" s="1078"/>
      <c r="E30" s="1078"/>
      <c r="F30" s="1078"/>
      <c r="G30" s="1078"/>
      <c r="H30" s="1078"/>
      <c r="I30" s="1078"/>
      <c r="J30" s="1078"/>
      <c r="K30" s="1078"/>
      <c r="L30" s="1078"/>
      <c r="M30" s="1078"/>
      <c r="N30" s="1078"/>
      <c r="O30" s="1078"/>
      <c r="P30" s="1078"/>
      <c r="Q30" s="1078"/>
    </row>
    <row r="31" spans="1:17">
      <c r="A31" s="678"/>
      <c r="B31" s="678"/>
      <c r="C31" s="873"/>
      <c r="D31" s="873"/>
      <c r="E31" s="873"/>
      <c r="F31" s="873"/>
      <c r="G31" s="873"/>
      <c r="H31" s="873"/>
      <c r="I31" s="873"/>
      <c r="J31" s="873"/>
      <c r="K31" s="873"/>
      <c r="L31" s="873"/>
      <c r="M31" s="873"/>
      <c r="N31" s="873"/>
      <c r="O31" s="873"/>
      <c r="P31" s="873"/>
      <c r="Q31" s="873"/>
    </row>
    <row r="32" spans="1:17">
      <c r="A32" s="678"/>
      <c r="B32" s="678"/>
      <c r="C32" s="1078"/>
      <c r="D32" s="1078"/>
      <c r="E32" s="1078"/>
      <c r="F32" s="1078"/>
      <c r="G32" s="1078"/>
      <c r="H32" s="1078"/>
      <c r="I32" s="1078"/>
      <c r="J32" s="1078"/>
      <c r="K32" s="1078"/>
      <c r="L32" s="1078"/>
      <c r="M32" s="1078"/>
      <c r="N32" s="1078"/>
      <c r="O32" s="1078"/>
      <c r="P32" s="1078"/>
      <c r="Q32" s="1078"/>
    </row>
    <row r="33" spans="1:17">
      <c r="A33" s="678"/>
      <c r="B33" s="678"/>
      <c r="C33" s="873"/>
      <c r="D33" s="873"/>
      <c r="E33" s="873"/>
      <c r="F33" s="873"/>
      <c r="G33" s="873"/>
      <c r="H33" s="873"/>
      <c r="I33" s="873"/>
      <c r="J33" s="873"/>
      <c r="K33" s="873"/>
      <c r="L33" s="873"/>
      <c r="M33" s="873"/>
      <c r="N33" s="873"/>
      <c r="O33" s="873"/>
      <c r="P33" s="873"/>
      <c r="Q33" s="873"/>
    </row>
    <row r="34" spans="1:17">
      <c r="A34" s="678"/>
      <c r="B34" s="678"/>
      <c r="C34" s="1078"/>
      <c r="D34" s="1078"/>
      <c r="E34" s="1078"/>
      <c r="F34" s="1078"/>
      <c r="G34" s="1078"/>
      <c r="H34" s="1078"/>
      <c r="I34" s="1078"/>
      <c r="J34" s="1078"/>
      <c r="K34" s="1078"/>
      <c r="L34" s="1078"/>
      <c r="M34" s="1078"/>
      <c r="N34" s="1078"/>
      <c r="O34" s="1078"/>
      <c r="P34" s="1078"/>
      <c r="Q34" s="1078"/>
    </row>
    <row r="35" spans="1:17">
      <c r="A35" s="678"/>
      <c r="B35" s="678"/>
      <c r="C35" s="873"/>
      <c r="D35" s="873"/>
      <c r="E35" s="873"/>
      <c r="F35" s="873"/>
      <c r="G35" s="873"/>
      <c r="H35" s="873"/>
      <c r="I35" s="873"/>
      <c r="J35" s="873"/>
      <c r="K35" s="873"/>
      <c r="L35" s="873"/>
      <c r="M35" s="873"/>
      <c r="N35" s="873"/>
      <c r="O35" s="873"/>
      <c r="P35" s="873"/>
      <c r="Q35" s="873"/>
    </row>
    <row r="36" spans="1:17">
      <c r="A36" s="678"/>
      <c r="B36" s="678"/>
      <c r="C36" s="1078"/>
      <c r="D36" s="1078"/>
      <c r="E36" s="1078"/>
      <c r="F36" s="1078"/>
      <c r="G36" s="1078"/>
      <c r="H36" s="1078"/>
      <c r="I36" s="1078"/>
      <c r="J36" s="1078"/>
      <c r="K36" s="1078"/>
      <c r="L36" s="1078"/>
      <c r="M36" s="1078"/>
      <c r="N36" s="1078"/>
      <c r="O36" s="1078"/>
      <c r="P36" s="1078"/>
      <c r="Q36" s="1078"/>
    </row>
    <row r="37" spans="1:17">
      <c r="A37" s="678"/>
      <c r="B37" s="678"/>
      <c r="C37" s="873"/>
      <c r="D37" s="873"/>
      <c r="E37" s="873"/>
      <c r="F37" s="873"/>
      <c r="G37" s="873"/>
      <c r="H37" s="873"/>
      <c r="I37" s="873"/>
      <c r="J37" s="873"/>
      <c r="K37" s="873"/>
      <c r="L37" s="873"/>
      <c r="M37" s="873"/>
      <c r="N37" s="873"/>
      <c r="O37" s="873"/>
      <c r="P37" s="873"/>
      <c r="Q37" s="873"/>
    </row>
    <row r="38" spans="1:17">
      <c r="A38" s="678"/>
      <c r="B38" s="678"/>
      <c r="C38" s="1078"/>
      <c r="D38" s="1078"/>
      <c r="E38" s="1078"/>
      <c r="F38" s="1078"/>
      <c r="G38" s="1078"/>
      <c r="H38" s="1078"/>
      <c r="I38" s="1078"/>
      <c r="J38" s="1078"/>
      <c r="K38" s="1078"/>
      <c r="L38" s="1078"/>
      <c r="M38" s="1078"/>
      <c r="N38" s="1078"/>
      <c r="O38" s="1078"/>
      <c r="P38" s="1078"/>
      <c r="Q38" s="1078"/>
    </row>
    <row r="39" spans="1:17">
      <c r="A39" s="678"/>
      <c r="B39" s="678"/>
      <c r="C39" s="873"/>
      <c r="D39" s="873"/>
      <c r="E39" s="873"/>
      <c r="F39" s="873"/>
      <c r="G39" s="873"/>
      <c r="H39" s="873"/>
      <c r="I39" s="873"/>
      <c r="J39" s="873"/>
      <c r="K39" s="873"/>
      <c r="L39" s="873"/>
      <c r="M39" s="873"/>
      <c r="N39" s="873"/>
      <c r="O39" s="873"/>
      <c r="P39" s="873"/>
      <c r="Q39" s="873"/>
    </row>
    <row r="40" spans="1:17">
      <c r="A40" s="678"/>
      <c r="B40" s="678"/>
      <c r="C40" s="873"/>
      <c r="D40" s="873"/>
      <c r="E40" s="873"/>
      <c r="F40" s="873"/>
      <c r="G40" s="873"/>
      <c r="H40" s="873"/>
      <c r="I40" s="873"/>
      <c r="J40" s="873"/>
      <c r="K40" s="873"/>
      <c r="L40" s="873"/>
      <c r="M40" s="873"/>
      <c r="N40" s="873"/>
      <c r="O40" s="873"/>
      <c r="P40" s="873"/>
      <c r="Q40" s="873"/>
    </row>
    <row r="41" spans="1:17">
      <c r="A41" s="678"/>
      <c r="B41" s="678"/>
      <c r="C41" s="873"/>
      <c r="D41" s="873"/>
      <c r="E41" s="873"/>
      <c r="F41" s="873"/>
      <c r="G41" s="873"/>
      <c r="H41" s="873"/>
      <c r="I41" s="873"/>
      <c r="J41" s="873"/>
      <c r="K41" s="873"/>
      <c r="L41" s="873"/>
      <c r="M41" s="873"/>
      <c r="N41" s="873"/>
      <c r="O41" s="873"/>
      <c r="P41" s="873"/>
      <c r="Q41" s="873"/>
    </row>
    <row r="42" spans="1:17">
      <c r="A42" s="678"/>
      <c r="B42" s="678"/>
      <c r="C42" s="1078"/>
      <c r="D42" s="1078"/>
      <c r="E42" s="1078"/>
      <c r="F42" s="1078"/>
      <c r="G42" s="1078"/>
      <c r="H42" s="1078"/>
      <c r="I42" s="1078"/>
      <c r="J42" s="1078"/>
      <c r="K42" s="1078"/>
      <c r="L42" s="1078"/>
      <c r="M42" s="1078"/>
      <c r="N42" s="1078"/>
      <c r="O42" s="1078"/>
      <c r="P42" s="1078"/>
      <c r="Q42" s="1078"/>
    </row>
    <row r="43" spans="1:17">
      <c r="A43" s="678"/>
      <c r="B43" s="678"/>
      <c r="C43" s="873"/>
      <c r="D43" s="873"/>
      <c r="E43" s="873"/>
      <c r="F43" s="873"/>
      <c r="G43" s="873"/>
      <c r="H43" s="873"/>
      <c r="I43" s="873"/>
      <c r="J43" s="873"/>
      <c r="K43" s="873"/>
      <c r="L43" s="873"/>
      <c r="M43" s="873"/>
      <c r="N43" s="873"/>
      <c r="O43" s="873"/>
      <c r="P43" s="873"/>
      <c r="Q43" s="873"/>
    </row>
    <row r="44" spans="1:17">
      <c r="A44" s="678"/>
      <c r="B44" s="678"/>
      <c r="C44" s="1078"/>
      <c r="D44" s="1078"/>
      <c r="E44" s="1078"/>
      <c r="F44" s="1078"/>
      <c r="G44" s="1078"/>
      <c r="H44" s="1078"/>
      <c r="I44" s="1078"/>
      <c r="J44" s="1078"/>
      <c r="K44" s="1078"/>
      <c r="L44" s="1078"/>
      <c r="M44" s="1078"/>
      <c r="N44" s="1078"/>
      <c r="O44" s="1078"/>
      <c r="P44" s="1078"/>
      <c r="Q44" s="1078"/>
    </row>
    <row r="45" spans="1:17">
      <c r="A45" s="678"/>
      <c r="B45" s="678"/>
      <c r="C45" s="873"/>
      <c r="D45" s="873"/>
      <c r="E45" s="873"/>
      <c r="F45" s="873"/>
      <c r="G45" s="873"/>
      <c r="H45" s="873"/>
      <c r="I45" s="873"/>
      <c r="J45" s="873"/>
      <c r="K45" s="873"/>
      <c r="L45" s="873"/>
      <c r="M45" s="873"/>
      <c r="N45" s="873"/>
      <c r="O45" s="873"/>
      <c r="P45" s="873"/>
      <c r="Q45" s="873"/>
    </row>
    <row r="46" spans="1:17">
      <c r="A46" s="678"/>
      <c r="B46" s="678"/>
      <c r="C46" s="1078"/>
      <c r="D46" s="1078"/>
      <c r="E46" s="1078"/>
      <c r="F46" s="1078"/>
      <c r="G46" s="1078"/>
      <c r="H46" s="1078"/>
      <c r="I46" s="1078"/>
      <c r="J46" s="1078"/>
      <c r="K46" s="1078"/>
      <c r="L46" s="1078"/>
      <c r="M46" s="1078"/>
      <c r="N46" s="1078"/>
      <c r="O46" s="1078"/>
      <c r="P46" s="1078"/>
      <c r="Q46" s="1078"/>
    </row>
    <row r="47" spans="1:17">
      <c r="A47" s="678"/>
      <c r="B47" s="678"/>
      <c r="C47" s="873"/>
      <c r="D47" s="873"/>
      <c r="E47" s="873"/>
      <c r="F47" s="873"/>
      <c r="G47" s="873"/>
      <c r="H47" s="873"/>
      <c r="I47" s="873"/>
      <c r="J47" s="873"/>
      <c r="K47" s="873"/>
      <c r="L47" s="873"/>
      <c r="M47" s="873"/>
      <c r="N47" s="873"/>
      <c r="O47" s="873"/>
      <c r="P47" s="873"/>
      <c r="Q47" s="873"/>
    </row>
    <row r="48" spans="1:17">
      <c r="A48" s="678"/>
      <c r="B48" s="678"/>
      <c r="C48" s="1078"/>
      <c r="D48" s="1078"/>
      <c r="E48" s="1078"/>
      <c r="F48" s="1078"/>
      <c r="G48" s="1078"/>
      <c r="H48" s="1078"/>
      <c r="I48" s="1078"/>
      <c r="J48" s="1078"/>
      <c r="K48" s="1078"/>
      <c r="L48" s="1078"/>
      <c r="M48" s="1078"/>
      <c r="N48" s="1078"/>
      <c r="O48" s="1078"/>
      <c r="P48" s="1078"/>
      <c r="Q48" s="1078"/>
    </row>
    <row r="49" spans="1:17">
      <c r="A49" s="678"/>
      <c r="B49" s="678"/>
      <c r="C49" s="873"/>
      <c r="D49" s="873"/>
      <c r="E49" s="873"/>
      <c r="F49" s="873"/>
      <c r="G49" s="873"/>
      <c r="H49" s="873"/>
      <c r="I49" s="873"/>
      <c r="J49" s="873"/>
      <c r="K49" s="873"/>
      <c r="L49" s="873"/>
      <c r="M49" s="873"/>
      <c r="N49" s="873"/>
      <c r="O49" s="873"/>
      <c r="P49" s="873"/>
      <c r="Q49" s="873"/>
    </row>
    <row r="50" spans="1:17">
      <c r="A50" s="678"/>
      <c r="B50" s="678"/>
      <c r="C50" s="1078"/>
      <c r="D50" s="1078"/>
      <c r="E50" s="1078"/>
      <c r="F50" s="1078"/>
      <c r="G50" s="1078"/>
      <c r="H50" s="1078"/>
      <c r="I50" s="1078"/>
      <c r="J50" s="1078"/>
      <c r="K50" s="1078"/>
      <c r="L50" s="1078"/>
      <c r="M50" s="1078"/>
      <c r="N50" s="1078"/>
      <c r="O50" s="1078"/>
      <c r="P50" s="1078"/>
      <c r="Q50" s="1078"/>
    </row>
    <row r="51" spans="1:17">
      <c r="A51" s="678"/>
      <c r="B51" s="678"/>
      <c r="C51" s="873"/>
      <c r="D51" s="873"/>
      <c r="E51" s="873"/>
      <c r="F51" s="873"/>
      <c r="G51" s="873"/>
      <c r="H51" s="873"/>
      <c r="I51" s="873"/>
      <c r="J51" s="873"/>
      <c r="K51" s="873"/>
      <c r="L51" s="873"/>
      <c r="M51" s="873"/>
      <c r="N51" s="873"/>
      <c r="O51" s="873"/>
      <c r="P51" s="873"/>
      <c r="Q51" s="873"/>
    </row>
    <row r="52" spans="1:17">
      <c r="A52" s="678"/>
      <c r="B52" s="678"/>
      <c r="C52" s="1079"/>
      <c r="D52" s="1079"/>
      <c r="E52" s="1079"/>
      <c r="F52" s="1079"/>
      <c r="G52" s="1079"/>
      <c r="H52" s="1079"/>
      <c r="I52" s="1079"/>
      <c r="J52" s="1079"/>
      <c r="K52" s="1079"/>
      <c r="L52" s="1079"/>
      <c r="M52" s="1079"/>
      <c r="N52" s="1079"/>
      <c r="O52" s="1079"/>
      <c r="P52" s="1079"/>
    </row>
    <row r="53" spans="1:17">
      <c r="A53" s="678"/>
      <c r="B53" s="678"/>
      <c r="C53" s="678"/>
      <c r="D53" s="678"/>
      <c r="E53" s="678"/>
      <c r="F53" s="678"/>
      <c r="G53" s="678"/>
      <c r="H53" s="678"/>
      <c r="I53" s="678"/>
      <c r="J53" s="678"/>
      <c r="K53" s="678"/>
      <c r="L53" s="678"/>
      <c r="M53" s="678"/>
      <c r="N53" s="678"/>
      <c r="O53" s="678"/>
      <c r="P53" s="678"/>
    </row>
    <row r="54" spans="1:17">
      <c r="A54" s="678"/>
      <c r="B54" s="678"/>
      <c r="C54" s="678"/>
      <c r="D54" s="678"/>
      <c r="E54" s="678"/>
      <c r="F54" s="678"/>
      <c r="G54" s="678"/>
      <c r="H54" s="678"/>
      <c r="I54" s="678"/>
      <c r="J54" s="678"/>
      <c r="K54" s="678"/>
      <c r="L54" s="678"/>
      <c r="M54" s="678"/>
      <c r="N54" s="678"/>
      <c r="O54" s="678"/>
      <c r="P54" s="678"/>
    </row>
    <row r="56" spans="1:17" ht="18" customHeight="1">
      <c r="A56" s="3765"/>
      <c r="B56" s="3765"/>
      <c r="C56" s="3765"/>
      <c r="D56" s="3765"/>
      <c r="E56" s="3765"/>
      <c r="F56" s="3765"/>
      <c r="G56" s="3765"/>
      <c r="H56" s="3765"/>
      <c r="I56" s="3765"/>
      <c r="J56" s="3765"/>
      <c r="K56" s="3765"/>
      <c r="L56" s="3765"/>
      <c r="M56" s="3765"/>
      <c r="N56" s="3765"/>
      <c r="O56" s="3765"/>
      <c r="P56" s="3765"/>
    </row>
    <row r="57" spans="1:17" ht="24.75" customHeight="1">
      <c r="A57" s="3739" t="str">
        <f>CONCATENATE("In preparing these calculations we have relied on source information provided to us by ",ClientName,". Although this source information is likely to be based on various assumptions and forecasts made by ",ClientName,", we have relied on this information as being accurate and complete and have not sought to verify or vouch for any of the information provided.")</f>
        <v>In preparing these calculations we have relied on source information provided to us by Example Trust. Although this source information is likely to be based on various assumptions and forecasts made by Example Trust, we have relied on this information as being accurate and complete and have not sought to verify or vouch for any of the information provided.</v>
      </c>
      <c r="B57" s="3739"/>
      <c r="C57" s="3739"/>
      <c r="D57" s="3739"/>
      <c r="E57" s="3739"/>
      <c r="F57" s="3739"/>
      <c r="G57" s="3739"/>
      <c r="H57" s="3739"/>
      <c r="I57" s="3739"/>
      <c r="J57" s="3739"/>
      <c r="K57" s="3739"/>
      <c r="L57" s="3739"/>
      <c r="M57" s="3739"/>
      <c r="N57" s="3739"/>
      <c r="O57" s="3739"/>
      <c r="P57" s="3739"/>
      <c r="Q57" s="3739"/>
    </row>
    <row r="58" spans="1:17" ht="26.25" customHeight="1">
      <c r="A58" s="3739" t="str">
        <f>CONCATENATE("Further, the estimates have been prepared at the request of and for the benefit of the above named client only, and neither ",Input_Firm_Name," or any member or employee of ",Input_Firm_Name," undertakes any responsibility in any way whatsoever to any person or company other than ",ClientName," for any errors or omissions in the calculations or recommendations, however caused.")</f>
        <v>Further, the estimates have been prepared at the request of and for the benefit of the above named client only, and neither FINDEX or any member or employee of FINDEX undertakes any responsibility in any way whatsoever to any person or company other than Example Trust for any errors or omissions in the calculations or recommendations, however caused.</v>
      </c>
      <c r="B58" s="3739"/>
      <c r="C58" s="3739"/>
      <c r="D58" s="3739"/>
      <c r="E58" s="3739"/>
      <c r="F58" s="3739"/>
      <c r="G58" s="3739"/>
      <c r="H58" s="3739"/>
      <c r="I58" s="3739"/>
      <c r="J58" s="3739"/>
      <c r="K58" s="3739"/>
      <c r="L58" s="3739"/>
      <c r="M58" s="3739"/>
      <c r="N58" s="3739"/>
      <c r="O58" s="3739"/>
      <c r="P58" s="3739"/>
      <c r="Q58" s="3739"/>
    </row>
  </sheetData>
  <customSheetViews>
    <customSheetView guid="{BCBE45D4-3C45-4659-992E-5C5D3E9FD81C}" showPageBreaks="1" showGridLines="0" fitToPage="1" printArea="1" hiddenRows="1" topLeftCell="A2">
      <selection activeCell="E15" sqref="E15"/>
      <pageMargins left="0.59055118110236227" right="0.43307086614173229" top="0.6692913385826772" bottom="0.94488188976377963" header="0.51181102362204722" footer="0.39370078740157483"/>
      <printOptions horizontalCentered="1"/>
      <pageSetup paperSize="9" scale="42"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showGridLines="0" fitToPage="1" printArea="1" hiddenRows="1">
      <selection activeCell="A37" sqref="A37:XFD37"/>
      <pageMargins left="0.59055118110236227" right="0.43307086614173229" top="0.6692913385826772" bottom="0.94488188976377963" header="0.51181102362204722" footer="0.39370078740157483"/>
      <printOptions horizontalCentered="1"/>
      <pageSetup paperSize="9" scale="42" fitToHeight="999" orientation="portrait" blackAndWhite="1" r:id="rId2"/>
      <headerFooter alignWithMargins="0">
        <oddFooter>&amp;L&amp;8Copyright Crowe Horwath (Aust) Pty Ltd 2016.  All rights reserved.
&amp;Z&amp;F[&amp;A]&amp;R&amp;8&amp;P/&amp;N</oddFooter>
      </headerFooter>
    </customSheetView>
  </customSheetViews>
  <mergeCells count="10">
    <mergeCell ref="A58:Q58"/>
    <mergeCell ref="A17:B17"/>
    <mergeCell ref="E10:Q10"/>
    <mergeCell ref="E11:Q11"/>
    <mergeCell ref="A3:Q3"/>
    <mergeCell ref="E8:Q8"/>
    <mergeCell ref="E9:Q9"/>
    <mergeCell ref="A4:Q4"/>
    <mergeCell ref="A56:P56"/>
    <mergeCell ref="A57:Q57"/>
  </mergeCells>
  <phoneticPr fontId="26" type="noConversion"/>
  <dataValidations count="1">
    <dataValidation type="list" allowBlank="1" showInputMessage="1" showErrorMessage="1" sqref="E15:O15" xr:uid="{00000000-0002-0000-3A00-000000000000}">
      <formula1>HideShow</formula1>
    </dataValidation>
  </dataValidations>
  <hyperlinks>
    <hyperlink ref="R1" location="'WPIndex'!A1" display="Back to Workpaper Index" xr:uid="{C65A3077-6DBF-4D73-B105-7F4B82623C83}"/>
  </hyperlinks>
  <printOptions horizontalCentered="1"/>
  <pageMargins left="0.59055118110236227" right="0.43307086614173229" top="0.6692913385826772" bottom="0.94488188976377963" header="0.51181102362204722" footer="0.39370078740157483"/>
  <pageSetup paperSize="9" scale="42" fitToHeight="999" orientation="portrait" blackAndWhite="1"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3448" r:id="rId6" name="Button 1720">
              <controlPr defaultSize="0" print="0" autoFill="0" autoPict="0" macro="[0]!ShowAllRecommendations">
                <anchor moveWithCells="1" sizeWithCells="1">
                  <from>
                    <xdr:col>16</xdr:col>
                    <xdr:colOff>0</xdr:colOff>
                    <xdr:row>14</xdr:row>
                    <xdr:rowOff>0</xdr:rowOff>
                  </from>
                  <to>
                    <xdr:col>17</xdr:col>
                    <xdr:colOff>0</xdr:colOff>
                    <xdr:row>15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ning_Checklist_Sheet">
    <tabColor theme="8" tint="0.79998168889431442"/>
    <pageSetUpPr fitToPage="1"/>
  </sheetPr>
  <dimension ref="A1:S166"/>
  <sheetViews>
    <sheetView zoomScaleNormal="100" workbookViewId="0">
      <pane ySplit="11" topLeftCell="A12" activePane="bottomLeft" state="frozenSplit"/>
      <selection activeCell="B62" sqref="B62"/>
      <selection pane="bottomLeft" activeCell="B62" sqref="B62"/>
    </sheetView>
  </sheetViews>
  <sheetFormatPr defaultColWidth="9.140625" defaultRowHeight="15"/>
  <cols>
    <col min="1" max="1" width="14" style="1051" customWidth="1"/>
    <col min="2" max="2" width="71.42578125" style="1011" customWidth="1"/>
    <col min="3" max="5" width="5.5703125" style="1018" customWidth="1"/>
    <col min="6" max="6" width="15.85546875" style="1052" customWidth="1"/>
    <col min="7" max="7" width="18" style="1053" customWidth="1"/>
    <col min="8" max="8" width="2" style="1011" customWidth="1"/>
    <col min="9" max="9" width="12.5703125" style="1014" hidden="1" customWidth="1"/>
    <col min="10" max="16" width="9.28515625" style="1011" hidden="1" customWidth="1"/>
    <col min="17" max="17" width="11.5703125" style="1011" hidden="1" customWidth="1"/>
    <col min="18" max="18" width="9.42578125" style="1011" hidden="1" customWidth="1"/>
    <col min="19" max="19" width="67.42578125" style="1011" customWidth="1"/>
    <col min="20" max="16384" width="9.140625" style="1011"/>
  </cols>
  <sheetData>
    <row r="1" spans="1:17" ht="14.25">
      <c r="A1" s="3109"/>
      <c r="C1" s="1012"/>
      <c r="D1" s="1012"/>
      <c r="E1" s="1012"/>
      <c r="F1" s="2732" t="s">
        <v>2425</v>
      </c>
      <c r="G1" s="3576" t="s">
        <v>2758</v>
      </c>
    </row>
    <row r="2" spans="1:17">
      <c r="A2" s="3109"/>
      <c r="C2" s="1012"/>
      <c r="D2" s="1012"/>
      <c r="E2" s="1012"/>
      <c r="F2" s="1013"/>
      <c r="G2" s="1146"/>
    </row>
    <row r="3" spans="1:17" s="32" customFormat="1" ht="12.75">
      <c r="A3" s="206"/>
      <c r="C3" s="1015"/>
      <c r="D3" s="1015"/>
      <c r="E3" s="1016"/>
      <c r="F3" s="11" t="s">
        <v>1163</v>
      </c>
      <c r="G3" s="709" t="s">
        <v>1262</v>
      </c>
      <c r="I3" s="947"/>
    </row>
    <row r="4" spans="1:17" s="32" customFormat="1" ht="17.25" customHeight="1">
      <c r="A4" s="206"/>
      <c r="C4" s="1015"/>
      <c r="D4" s="1015"/>
      <c r="E4" s="1017" t="s">
        <v>332</v>
      </c>
      <c r="F4" s="2617"/>
      <c r="G4" s="2618"/>
      <c r="I4" s="947"/>
    </row>
    <row r="5" spans="1:17" s="32" customFormat="1" ht="17.25" customHeight="1">
      <c r="A5" s="206"/>
      <c r="C5" s="1015"/>
      <c r="D5" s="1015"/>
      <c r="E5" s="1017" t="s">
        <v>333</v>
      </c>
      <c r="F5" s="2619"/>
      <c r="G5" s="2620"/>
      <c r="I5" s="947"/>
    </row>
    <row r="6" spans="1:17" s="32" customFormat="1" ht="3.95" customHeight="1">
      <c r="A6" s="206"/>
      <c r="B6" s="43"/>
      <c r="C6" s="1015"/>
      <c r="D6" s="1015"/>
      <c r="E6" s="1015"/>
      <c r="I6" s="947"/>
    </row>
    <row r="7" spans="1:17" ht="20.25" customHeight="1">
      <c r="A7" s="3697" t="s">
        <v>673</v>
      </c>
      <c r="B7" s="3698"/>
      <c r="C7" s="3698"/>
      <c r="D7" s="3698"/>
      <c r="E7" s="3698"/>
      <c r="F7" s="3698"/>
      <c r="G7" s="3699"/>
    </row>
    <row r="8" spans="1:17">
      <c r="A8" s="3771" t="s">
        <v>564</v>
      </c>
      <c r="B8" s="3771"/>
      <c r="C8" s="3771"/>
      <c r="D8" s="3771"/>
      <c r="E8" s="3771"/>
      <c r="F8" s="3771"/>
      <c r="G8" s="3247" t="s">
        <v>2526</v>
      </c>
    </row>
    <row r="9" spans="1:17" ht="15.75">
      <c r="A9" s="1167" t="str">
        <f>"CLIENT NAME:   "&amp;IF(ClientName="[ENTER CLIENT NAME]","",ClientName)</f>
        <v>CLIENT NAME:   Example Trust</v>
      </c>
      <c r="F9" s="1019" t="s">
        <v>951</v>
      </c>
      <c r="G9" s="1020">
        <f>Period_End</f>
        <v>45473</v>
      </c>
    </row>
    <row r="10" spans="1:17" ht="60">
      <c r="A10" s="3772"/>
      <c r="B10" s="3773"/>
      <c r="C10" s="3773"/>
      <c r="D10" s="3773"/>
      <c r="E10" s="3773"/>
      <c r="F10" s="3773"/>
      <c r="G10" s="3773"/>
      <c r="I10" s="1021" t="s">
        <v>565</v>
      </c>
      <c r="J10" s="1022" t="s">
        <v>1198</v>
      </c>
      <c r="K10" s="1022" t="s">
        <v>1199</v>
      </c>
      <c r="L10" s="1022" t="s">
        <v>1200</v>
      </c>
      <c r="M10" s="1022" t="s">
        <v>1201</v>
      </c>
      <c r="N10" s="1022" t="s">
        <v>230</v>
      </c>
      <c r="O10" s="1022" t="s">
        <v>566</v>
      </c>
      <c r="P10" s="1022" t="s">
        <v>567</v>
      </c>
      <c r="Q10" s="1022" t="s">
        <v>568</v>
      </c>
    </row>
    <row r="11" spans="1:17" s="1028" customFormat="1">
      <c r="A11" s="1023"/>
      <c r="B11" s="1024"/>
      <c r="C11" s="1025" t="s">
        <v>440</v>
      </c>
      <c r="D11" s="1025" t="s">
        <v>441</v>
      </c>
      <c r="E11" s="1026" t="s">
        <v>176</v>
      </c>
      <c r="F11" s="3768" t="s">
        <v>172</v>
      </c>
      <c r="G11" s="3768"/>
      <c r="I11" s="1029"/>
      <c r="J11" s="3766" t="s">
        <v>569</v>
      </c>
      <c r="K11" s="3766"/>
      <c r="L11" s="3766"/>
      <c r="M11" s="3766"/>
      <c r="N11" s="3766"/>
    </row>
    <row r="12" spans="1:17" ht="20.100000000000001" customHeight="1">
      <c r="A12" s="1023">
        <v>1</v>
      </c>
      <c r="B12" s="1030" t="s">
        <v>570</v>
      </c>
      <c r="C12" s="1031"/>
      <c r="D12" s="1031"/>
      <c r="E12" s="1032"/>
      <c r="F12" s="3767"/>
      <c r="G12" s="3767"/>
      <c r="J12" s="1033"/>
      <c r="K12" s="1033"/>
      <c r="L12" s="1033"/>
      <c r="M12" s="1033"/>
      <c r="N12" s="1033"/>
      <c r="O12" s="1033"/>
      <c r="P12" s="1033"/>
      <c r="Q12" s="1033"/>
    </row>
    <row r="13" spans="1:17" ht="33" customHeight="1">
      <c r="A13" s="1034">
        <v>1.1000000000000001</v>
      </c>
      <c r="B13" s="1035" t="s">
        <v>571</v>
      </c>
      <c r="C13" s="1031"/>
      <c r="D13" s="1031"/>
      <c r="E13" s="1032"/>
      <c r="F13" s="3767"/>
      <c r="G13" s="3767"/>
      <c r="J13" s="1033"/>
      <c r="K13" s="1033"/>
      <c r="L13" s="1033"/>
      <c r="M13" s="1033"/>
      <c r="N13" s="1033"/>
      <c r="O13" s="1033"/>
      <c r="P13" s="1033"/>
      <c r="Q13" s="1033"/>
    </row>
    <row r="14" spans="1:17" ht="19.350000000000001" customHeight="1">
      <c r="A14" s="1034">
        <v>1.2</v>
      </c>
      <c r="B14" s="1035" t="s">
        <v>572</v>
      </c>
      <c r="C14" s="1031"/>
      <c r="D14" s="1031"/>
      <c r="E14" s="1032"/>
      <c r="F14" s="3767"/>
      <c r="G14" s="3767"/>
      <c r="J14" s="1033"/>
      <c r="K14" s="1033"/>
      <c r="L14" s="1033"/>
      <c r="M14" s="1033"/>
      <c r="N14" s="1033"/>
      <c r="O14" s="1033"/>
      <c r="P14" s="1033"/>
      <c r="Q14" s="1033"/>
    </row>
    <row r="15" spans="1:17" ht="19.350000000000001" customHeight="1">
      <c r="A15" s="1034">
        <v>1.3</v>
      </c>
      <c r="B15" s="1035" t="s">
        <v>573</v>
      </c>
      <c r="C15" s="1031"/>
      <c r="D15" s="1031"/>
      <c r="E15" s="1032"/>
      <c r="F15" s="3112"/>
      <c r="G15" s="3111"/>
      <c r="J15" s="1033"/>
      <c r="K15" s="1033"/>
      <c r="L15" s="1033"/>
      <c r="M15" s="1033"/>
      <c r="N15" s="1033"/>
      <c r="O15" s="1033"/>
      <c r="P15" s="1033"/>
      <c r="Q15" s="1033"/>
    </row>
    <row r="16" spans="1:17" ht="32.25" customHeight="1">
      <c r="A16" s="1034">
        <v>1.4</v>
      </c>
      <c r="B16" s="1035" t="str">
        <f>"Do you have the year to date financials (ie. 9 months ending 31 March " &amp; YEAR(Period_End) &amp; ")?"</f>
        <v>Do you have the year to date financials (ie. 9 months ending 31 March 2024)?</v>
      </c>
      <c r="C16" s="1031"/>
      <c r="D16" s="1031"/>
      <c r="E16" s="1032"/>
      <c r="F16" s="3112"/>
      <c r="G16" s="3111"/>
      <c r="J16" s="1033"/>
      <c r="K16" s="1033"/>
      <c r="L16" s="1033"/>
      <c r="M16" s="1033"/>
      <c r="N16" s="1033"/>
      <c r="O16" s="1033"/>
      <c r="P16" s="1033"/>
      <c r="Q16" s="1033"/>
    </row>
    <row r="17" spans="1:17" ht="30.75" customHeight="1">
      <c r="A17" s="1034">
        <v>1.5</v>
      </c>
      <c r="B17" s="1035" t="str">
        <f>"Do you have the client's estimates of income expenses for June " &amp; YEAR(Period_End) &amp; " quarter?"</f>
        <v>Do you have the client's estimates of income expenses for June 2024 quarter?</v>
      </c>
      <c r="C17" s="1031"/>
      <c r="D17" s="1031"/>
      <c r="E17" s="1032"/>
      <c r="F17" s="3112"/>
      <c r="G17" s="3111"/>
      <c r="J17" s="1033"/>
      <c r="K17" s="1033"/>
      <c r="L17" s="1033"/>
      <c r="M17" s="1033"/>
      <c r="N17" s="1033"/>
      <c r="O17" s="1033"/>
      <c r="P17" s="1033"/>
      <c r="Q17" s="1033"/>
    </row>
    <row r="18" spans="1:17" ht="19.350000000000001" hidden="1" customHeight="1">
      <c r="A18" s="1034">
        <v>1.6</v>
      </c>
      <c r="B18" s="1035" t="s">
        <v>574</v>
      </c>
      <c r="C18" s="1031"/>
      <c r="D18" s="1031"/>
      <c r="E18" s="1032"/>
      <c r="F18" s="3112"/>
      <c r="G18" s="3111"/>
      <c r="J18" s="1033"/>
      <c r="K18" s="3110" t="s">
        <v>575</v>
      </c>
      <c r="L18" s="3110" t="s">
        <v>575</v>
      </c>
      <c r="M18" s="3110" t="s">
        <v>575</v>
      </c>
      <c r="N18" s="3110" t="s">
        <v>575</v>
      </c>
      <c r="O18" s="1033"/>
      <c r="P18" s="1033"/>
      <c r="Q18" s="1033"/>
    </row>
    <row r="19" spans="1:17" ht="20.100000000000001" customHeight="1">
      <c r="A19" s="1023">
        <v>2</v>
      </c>
      <c r="B19" s="1027" t="s">
        <v>576</v>
      </c>
      <c r="C19" s="1031"/>
      <c r="D19" s="1031"/>
      <c r="E19" s="1032"/>
      <c r="F19" s="3767"/>
      <c r="G19" s="3767"/>
      <c r="J19" s="1033"/>
      <c r="K19" s="1033"/>
      <c r="L19" s="1033"/>
      <c r="M19" s="1033"/>
      <c r="N19" s="1033"/>
      <c r="O19" s="1033"/>
      <c r="P19" s="1033"/>
      <c r="Q19" s="1033"/>
    </row>
    <row r="20" spans="1:17" ht="19.350000000000001" customHeight="1">
      <c r="A20" s="1034">
        <v>2.1</v>
      </c>
      <c r="B20" s="1035" t="s">
        <v>577</v>
      </c>
      <c r="C20" s="1031"/>
      <c r="D20" s="1031"/>
      <c r="E20" s="1031"/>
      <c r="F20" s="3767"/>
      <c r="G20" s="3767"/>
      <c r="I20" s="1014" t="s">
        <v>578</v>
      </c>
      <c r="J20" s="1033"/>
      <c r="K20" s="1033"/>
      <c r="L20" s="1033"/>
      <c r="M20" s="1033"/>
      <c r="N20" s="1033"/>
      <c r="O20" s="1033"/>
      <c r="P20" s="1033"/>
      <c r="Q20" s="1033"/>
    </row>
    <row r="21" spans="1:17" ht="18.75" customHeight="1">
      <c r="A21" s="1034">
        <v>2.2000000000000002</v>
      </c>
      <c r="B21" s="1035" t="s">
        <v>579</v>
      </c>
      <c r="C21" s="1036"/>
      <c r="D21" s="1036"/>
      <c r="E21" s="1036"/>
      <c r="F21" s="3767"/>
      <c r="G21" s="3767"/>
      <c r="J21" s="1033"/>
      <c r="K21" s="1033"/>
      <c r="L21" s="1033"/>
      <c r="M21" s="1033"/>
      <c r="N21" s="1033"/>
      <c r="O21" s="1033"/>
      <c r="P21" s="1033"/>
      <c r="Q21" s="1033"/>
    </row>
    <row r="22" spans="1:17" ht="19.350000000000001" hidden="1" customHeight="1">
      <c r="A22" s="1037" t="s">
        <v>580</v>
      </c>
      <c r="B22" s="1038" t="s">
        <v>581</v>
      </c>
      <c r="C22" s="1031"/>
      <c r="D22" s="1031"/>
      <c r="E22" s="1031"/>
      <c r="F22" s="3767"/>
      <c r="G22" s="3767"/>
      <c r="I22" s="1014" t="s">
        <v>578</v>
      </c>
      <c r="J22" s="1033"/>
      <c r="K22" s="1033"/>
      <c r="L22" s="1033"/>
      <c r="M22" s="1033"/>
      <c r="N22" s="1033"/>
      <c r="O22" s="1033"/>
      <c r="P22" s="1033"/>
      <c r="Q22" s="1033"/>
    </row>
    <row r="23" spans="1:17" ht="19.350000000000001" hidden="1" customHeight="1">
      <c r="A23" s="1037" t="s">
        <v>582</v>
      </c>
      <c r="B23" s="1038" t="s">
        <v>583</v>
      </c>
      <c r="C23" s="1031"/>
      <c r="D23" s="1031"/>
      <c r="E23" s="1031"/>
      <c r="F23" s="3767"/>
      <c r="G23" s="3767"/>
      <c r="I23" s="1014" t="s">
        <v>578</v>
      </c>
      <c r="J23" s="1033"/>
      <c r="K23" s="1033"/>
      <c r="L23" s="1033"/>
      <c r="M23" s="1033"/>
      <c r="N23" s="1033"/>
      <c r="O23" s="1033"/>
      <c r="P23" s="1033"/>
      <c r="Q23" s="1033"/>
    </row>
    <row r="24" spans="1:17" ht="19.350000000000001" hidden="1" customHeight="1">
      <c r="A24" s="1037" t="s">
        <v>584</v>
      </c>
      <c r="B24" s="1038" t="s">
        <v>585</v>
      </c>
      <c r="C24" s="1031"/>
      <c r="D24" s="1031"/>
      <c r="E24" s="1031"/>
      <c r="F24" s="3767"/>
      <c r="G24" s="3767"/>
      <c r="I24" s="1014" t="s">
        <v>578</v>
      </c>
      <c r="J24" s="1033"/>
      <c r="K24" s="1033"/>
      <c r="L24" s="1033"/>
      <c r="M24" s="1033"/>
      <c r="N24" s="1033"/>
      <c r="O24" s="1033"/>
      <c r="P24" s="1033"/>
      <c r="Q24" s="1033"/>
    </row>
    <row r="25" spans="1:17" ht="19.350000000000001" hidden="1" customHeight="1">
      <c r="A25" s="1037" t="s">
        <v>586</v>
      </c>
      <c r="B25" s="1038" t="s">
        <v>587</v>
      </c>
      <c r="C25" s="1031"/>
      <c r="D25" s="1031"/>
      <c r="E25" s="1031"/>
      <c r="F25" s="3767"/>
      <c r="G25" s="3767"/>
      <c r="I25" s="1014" t="s">
        <v>578</v>
      </c>
      <c r="J25" s="1033"/>
      <c r="K25" s="1033"/>
      <c r="L25" s="1033"/>
      <c r="M25" s="1033"/>
      <c r="N25" s="1033"/>
      <c r="O25" s="1033"/>
      <c r="P25" s="1033"/>
      <c r="Q25" s="1033"/>
    </row>
    <row r="26" spans="1:17" ht="19.350000000000001" customHeight="1">
      <c r="A26" s="1034" t="s">
        <v>166</v>
      </c>
      <c r="B26" s="1035" t="s">
        <v>588</v>
      </c>
      <c r="C26" s="1031"/>
      <c r="D26" s="1031"/>
      <c r="E26" s="1032"/>
      <c r="F26" s="3767"/>
      <c r="G26" s="3767"/>
      <c r="I26" s="1014" t="s">
        <v>589</v>
      </c>
      <c r="J26" s="1033"/>
      <c r="K26" s="1033"/>
      <c r="L26" s="1033"/>
      <c r="M26" s="1033"/>
      <c r="N26" s="1033"/>
      <c r="O26" s="1033"/>
      <c r="P26" s="1033"/>
      <c r="Q26" s="1033"/>
    </row>
    <row r="27" spans="1:17" ht="33" hidden="1" customHeight="1">
      <c r="A27" s="1037" t="s">
        <v>590</v>
      </c>
      <c r="B27" s="1038" t="s">
        <v>591</v>
      </c>
      <c r="C27" s="1031"/>
      <c r="D27" s="1031"/>
      <c r="E27" s="1031"/>
      <c r="F27" s="3767"/>
      <c r="G27" s="3767"/>
      <c r="I27" s="1014" t="s">
        <v>589</v>
      </c>
      <c r="J27" s="1033"/>
      <c r="K27" s="1033"/>
      <c r="L27" s="1033"/>
      <c r="M27" s="1033"/>
      <c r="N27" s="1033"/>
      <c r="O27" s="1033"/>
      <c r="P27" s="1033"/>
      <c r="Q27" s="1033"/>
    </row>
    <row r="28" spans="1:17" ht="19.350000000000001" hidden="1" customHeight="1">
      <c r="A28" s="1037" t="s">
        <v>592</v>
      </c>
      <c r="B28" s="1038" t="s">
        <v>593</v>
      </c>
      <c r="C28" s="1031"/>
      <c r="D28" s="1031"/>
      <c r="E28" s="1031"/>
      <c r="F28" s="3767"/>
      <c r="G28" s="3767"/>
      <c r="I28" s="1014" t="s">
        <v>589</v>
      </c>
      <c r="J28" s="1033"/>
      <c r="K28" s="1033"/>
      <c r="L28" s="1033"/>
      <c r="M28" s="1033"/>
      <c r="N28" s="1033"/>
      <c r="O28" s="1033"/>
      <c r="P28" s="1033"/>
      <c r="Q28" s="1033"/>
    </row>
    <row r="29" spans="1:17" ht="19.350000000000001" hidden="1" customHeight="1">
      <c r="A29" s="1037" t="s">
        <v>594</v>
      </c>
      <c r="B29" s="1038" t="s">
        <v>878</v>
      </c>
      <c r="C29" s="1031"/>
      <c r="D29" s="1031"/>
      <c r="E29" s="1031"/>
      <c r="F29" s="3767"/>
      <c r="G29" s="3767"/>
      <c r="I29" s="1014" t="s">
        <v>589</v>
      </c>
      <c r="J29" s="1033"/>
      <c r="K29" s="1033"/>
      <c r="L29" s="1033"/>
      <c r="M29" s="1033"/>
      <c r="N29" s="1033"/>
      <c r="O29" s="1033"/>
      <c r="P29" s="1033"/>
      <c r="Q29" s="1033"/>
    </row>
    <row r="30" spans="1:17" ht="19.350000000000001" hidden="1" customHeight="1">
      <c r="A30" s="1034">
        <v>2.4</v>
      </c>
      <c r="B30" s="1035" t="s">
        <v>595</v>
      </c>
      <c r="C30" s="1031"/>
      <c r="D30" s="1031"/>
      <c r="E30" s="1032"/>
      <c r="F30" s="3767"/>
      <c r="G30" s="3767"/>
      <c r="I30" s="1014" t="s">
        <v>596</v>
      </c>
      <c r="J30" s="1033"/>
      <c r="K30" s="1033" t="s">
        <v>575</v>
      </c>
      <c r="L30" s="1033" t="s">
        <v>575</v>
      </c>
      <c r="M30" s="1033" t="s">
        <v>575</v>
      </c>
      <c r="N30" s="1033" t="s">
        <v>575</v>
      </c>
      <c r="O30" s="1033"/>
      <c r="P30" s="1033"/>
      <c r="Q30" s="1033"/>
    </row>
    <row r="31" spans="1:17" ht="33" hidden="1" customHeight="1">
      <c r="A31" s="1037" t="s">
        <v>597</v>
      </c>
      <c r="B31" s="1038" t="s">
        <v>598</v>
      </c>
      <c r="C31" s="1031"/>
      <c r="D31" s="1031"/>
      <c r="E31" s="1031"/>
      <c r="F31" s="3767"/>
      <c r="G31" s="3767"/>
      <c r="I31" s="1014" t="s">
        <v>596</v>
      </c>
      <c r="J31" s="1033"/>
      <c r="K31" s="1033" t="s">
        <v>575</v>
      </c>
      <c r="L31" s="1033" t="s">
        <v>575</v>
      </c>
      <c r="M31" s="1033" t="s">
        <v>575</v>
      </c>
      <c r="N31" s="1033" t="s">
        <v>575</v>
      </c>
      <c r="O31" s="1033"/>
      <c r="P31" s="1033"/>
      <c r="Q31" s="1033"/>
    </row>
    <row r="32" spans="1:17" ht="33" hidden="1" customHeight="1">
      <c r="A32" s="1037" t="s">
        <v>599</v>
      </c>
      <c r="B32" s="1038" t="s">
        <v>600</v>
      </c>
      <c r="C32" s="1031"/>
      <c r="D32" s="1031"/>
      <c r="E32" s="1031"/>
      <c r="F32" s="3767"/>
      <c r="G32" s="3767"/>
      <c r="I32" s="1014" t="s">
        <v>596</v>
      </c>
      <c r="J32" s="1033"/>
      <c r="K32" s="1033" t="s">
        <v>575</v>
      </c>
      <c r="L32" s="1033" t="s">
        <v>575</v>
      </c>
      <c r="M32" s="1033" t="s">
        <v>575</v>
      </c>
      <c r="N32" s="1033" t="s">
        <v>575</v>
      </c>
      <c r="O32" s="1033"/>
      <c r="P32" s="1033"/>
      <c r="Q32" s="1033"/>
    </row>
    <row r="33" spans="1:17" ht="19.350000000000001" hidden="1" customHeight="1">
      <c r="A33" s="1037" t="s">
        <v>601</v>
      </c>
      <c r="B33" s="1038" t="s">
        <v>602</v>
      </c>
      <c r="C33" s="1031"/>
      <c r="D33" s="1031"/>
      <c r="E33" s="1031"/>
      <c r="F33" s="3767"/>
      <c r="G33" s="3767"/>
      <c r="I33" s="1014" t="s">
        <v>596</v>
      </c>
      <c r="J33" s="1033"/>
      <c r="K33" s="1033" t="s">
        <v>575</v>
      </c>
      <c r="L33" s="1033" t="s">
        <v>575</v>
      </c>
      <c r="M33" s="1033" t="s">
        <v>575</v>
      </c>
      <c r="N33" s="1033" t="s">
        <v>575</v>
      </c>
      <c r="O33" s="1033"/>
      <c r="P33" s="1033"/>
      <c r="Q33" s="1033"/>
    </row>
    <row r="34" spans="1:17" ht="20.100000000000001" customHeight="1">
      <c r="A34" s="1023">
        <v>3</v>
      </c>
      <c r="B34" s="1027" t="s">
        <v>603</v>
      </c>
      <c r="C34" s="1036"/>
      <c r="D34" s="1036"/>
      <c r="E34" s="1036"/>
      <c r="F34" s="3767"/>
      <c r="G34" s="3767"/>
      <c r="J34" s="1033"/>
      <c r="K34" s="1033"/>
      <c r="L34" s="1033"/>
      <c r="M34" s="1033"/>
      <c r="N34" s="1033"/>
      <c r="O34" s="1033"/>
      <c r="P34" s="1033"/>
      <c r="Q34" s="1033"/>
    </row>
    <row r="35" spans="1:17" ht="19.350000000000001" customHeight="1">
      <c r="A35" s="1034">
        <v>3.1</v>
      </c>
      <c r="B35" s="1035" t="s">
        <v>604</v>
      </c>
      <c r="C35" s="1036"/>
      <c r="D35" s="1036"/>
      <c r="E35" s="1036"/>
      <c r="F35" s="3767"/>
      <c r="G35" s="3767"/>
      <c r="J35" s="1033"/>
      <c r="K35" s="1033"/>
      <c r="L35" s="1033"/>
      <c r="M35" s="1033"/>
      <c r="N35" s="1033"/>
      <c r="O35" s="1033"/>
      <c r="P35" s="1033"/>
      <c r="Q35" s="1033"/>
    </row>
    <row r="36" spans="1:17" ht="33" hidden="1" customHeight="1">
      <c r="A36" s="1037" t="s">
        <v>605</v>
      </c>
      <c r="B36" s="1038" t="s">
        <v>606</v>
      </c>
      <c r="C36" s="1031"/>
      <c r="D36" s="1031"/>
      <c r="E36" s="1036"/>
      <c r="F36" s="3767"/>
      <c r="G36" s="3767"/>
      <c r="I36" s="1014" t="s">
        <v>607</v>
      </c>
      <c r="J36" s="1033"/>
      <c r="K36" s="1033"/>
      <c r="L36" s="1033"/>
      <c r="M36" s="1033"/>
      <c r="N36" s="1033"/>
      <c r="O36" s="1033"/>
      <c r="P36" s="1033"/>
      <c r="Q36" s="1033"/>
    </row>
    <row r="37" spans="1:17" ht="33.75" hidden="1" customHeight="1">
      <c r="A37" s="1037" t="s">
        <v>608</v>
      </c>
      <c r="B37" s="1038" t="s">
        <v>609</v>
      </c>
      <c r="C37" s="1031"/>
      <c r="D37" s="1031"/>
      <c r="E37" s="1031"/>
      <c r="F37" s="3767"/>
      <c r="G37" s="3767"/>
      <c r="I37" s="1014" t="s">
        <v>610</v>
      </c>
      <c r="J37" s="1033"/>
      <c r="K37" s="1033"/>
      <c r="L37" s="1033"/>
      <c r="M37" s="1033"/>
      <c r="N37" s="1033"/>
      <c r="O37" s="1033"/>
      <c r="P37" s="1033"/>
      <c r="Q37" s="1033"/>
    </row>
    <row r="38" spans="1:17" ht="19.350000000000001" hidden="1" customHeight="1">
      <c r="A38" s="1037" t="s">
        <v>611</v>
      </c>
      <c r="B38" s="1038" t="s">
        <v>613</v>
      </c>
      <c r="C38" s="1031"/>
      <c r="D38" s="1031"/>
      <c r="E38" s="1031"/>
      <c r="F38" s="3767"/>
      <c r="G38" s="3767"/>
      <c r="I38" s="1014" t="s">
        <v>607</v>
      </c>
      <c r="J38" s="1033"/>
      <c r="K38" s="1033"/>
      <c r="L38" s="1033"/>
      <c r="M38" s="1033"/>
      <c r="N38" s="1033"/>
      <c r="O38" s="1033"/>
      <c r="P38" s="1033"/>
      <c r="Q38" s="1033"/>
    </row>
    <row r="39" spans="1:17" ht="19.350000000000001" hidden="1" customHeight="1">
      <c r="A39" s="1037" t="s">
        <v>614</v>
      </c>
      <c r="B39" s="1038" t="s">
        <v>615</v>
      </c>
      <c r="C39" s="1031"/>
      <c r="D39" s="1031"/>
      <c r="E39" s="1031"/>
      <c r="F39" s="3112"/>
      <c r="G39" s="3111"/>
      <c r="J39" s="1033"/>
      <c r="K39" s="1033"/>
      <c r="L39" s="1033"/>
      <c r="M39" s="1033"/>
      <c r="N39" s="1033"/>
      <c r="O39" s="1033"/>
      <c r="P39" s="1033"/>
      <c r="Q39" s="1033"/>
    </row>
    <row r="40" spans="1:17" ht="19.350000000000001" hidden="1" customHeight="1">
      <c r="A40" s="1037" t="s">
        <v>616</v>
      </c>
      <c r="B40" s="1038" t="s">
        <v>617</v>
      </c>
      <c r="C40" s="1031"/>
      <c r="D40" s="1031"/>
      <c r="E40" s="1031"/>
      <c r="F40" s="3112"/>
      <c r="G40" s="3111"/>
      <c r="J40" s="1033"/>
      <c r="K40" s="1033"/>
      <c r="L40" s="1033"/>
      <c r="M40" s="1033"/>
      <c r="N40" s="1033"/>
      <c r="O40" s="1033"/>
      <c r="P40" s="1033"/>
      <c r="Q40" s="1033"/>
    </row>
    <row r="41" spans="1:17" ht="18" customHeight="1">
      <c r="A41" s="1035">
        <v>3.2</v>
      </c>
      <c r="B41" s="1035" t="s">
        <v>618</v>
      </c>
      <c r="C41" s="1031"/>
      <c r="D41" s="1031"/>
      <c r="E41" s="1036"/>
      <c r="F41" s="3767"/>
      <c r="G41" s="3767"/>
      <c r="J41" s="1033"/>
      <c r="K41" s="1033"/>
      <c r="L41" s="1033"/>
      <c r="M41" s="1033"/>
      <c r="N41" s="1033"/>
      <c r="O41" s="1033"/>
      <c r="P41" s="1033"/>
      <c r="Q41" s="1033"/>
    </row>
    <row r="42" spans="1:17" ht="19.350000000000001" hidden="1" customHeight="1">
      <c r="A42" s="1037" t="s">
        <v>619</v>
      </c>
      <c r="B42" s="1038" t="s">
        <v>620</v>
      </c>
      <c r="C42" s="1031"/>
      <c r="D42" s="1031"/>
      <c r="E42" s="1031"/>
      <c r="F42" s="3767"/>
      <c r="G42" s="3767"/>
      <c r="I42" s="1014" t="s">
        <v>621</v>
      </c>
      <c r="J42" s="1033"/>
      <c r="K42" s="1033"/>
      <c r="L42" s="1033"/>
      <c r="M42" s="1033"/>
      <c r="N42" s="1033"/>
      <c r="O42" s="1033"/>
      <c r="P42" s="1033"/>
      <c r="Q42" s="1033"/>
    </row>
    <row r="43" spans="1:17" ht="19.350000000000001" hidden="1" customHeight="1">
      <c r="A43" s="1037" t="s">
        <v>622</v>
      </c>
      <c r="B43" s="1038" t="s">
        <v>623</v>
      </c>
      <c r="C43" s="1031"/>
      <c r="D43" s="1031"/>
      <c r="E43" s="1031"/>
      <c r="F43" s="3767"/>
      <c r="G43" s="3767"/>
      <c r="I43" s="1014" t="s">
        <v>621</v>
      </c>
      <c r="J43" s="1033"/>
      <c r="K43" s="1033"/>
      <c r="L43" s="1033"/>
      <c r="M43" s="1033"/>
      <c r="N43" s="1033"/>
      <c r="O43" s="1033"/>
      <c r="P43" s="1033"/>
      <c r="Q43" s="1033"/>
    </row>
    <row r="44" spans="1:17" ht="30.75" hidden="1" customHeight="1">
      <c r="A44" s="1037" t="s">
        <v>624</v>
      </c>
      <c r="B44" s="1038" t="s">
        <v>625</v>
      </c>
      <c r="C44" s="1031"/>
      <c r="D44" s="1031"/>
      <c r="E44" s="1031"/>
      <c r="F44" s="3767"/>
      <c r="G44" s="3767"/>
      <c r="I44" s="1014" t="s">
        <v>621</v>
      </c>
      <c r="J44" s="1033"/>
      <c r="K44" s="1033"/>
      <c r="L44" s="1033"/>
      <c r="M44" s="1033"/>
      <c r="N44" s="1033"/>
      <c r="O44" s="1033"/>
      <c r="P44" s="1033"/>
      <c r="Q44" s="1033"/>
    </row>
    <row r="45" spans="1:17" ht="19.350000000000001" customHeight="1">
      <c r="A45" s="1034">
        <v>3.3</v>
      </c>
      <c r="B45" s="1035" t="s">
        <v>626</v>
      </c>
      <c r="C45" s="1031"/>
      <c r="D45" s="1031"/>
      <c r="E45" s="1032"/>
      <c r="F45" s="3767"/>
      <c r="G45" s="3767"/>
      <c r="I45" s="1014" t="s">
        <v>627</v>
      </c>
      <c r="J45" s="1033"/>
      <c r="K45" s="1033"/>
      <c r="L45" s="1033"/>
      <c r="M45" s="1033"/>
      <c r="N45" s="1033"/>
      <c r="O45" s="1033"/>
      <c r="P45" s="1033"/>
      <c r="Q45" s="1033"/>
    </row>
    <row r="46" spans="1:17" ht="19.350000000000001" hidden="1" customHeight="1">
      <c r="A46" s="1037" t="s">
        <v>628</v>
      </c>
      <c r="B46" s="1038" t="s">
        <v>629</v>
      </c>
      <c r="C46" s="1031"/>
      <c r="D46" s="1031"/>
      <c r="E46" s="1031"/>
      <c r="F46" s="3767"/>
      <c r="G46" s="3767"/>
      <c r="I46" s="1014" t="s">
        <v>627</v>
      </c>
      <c r="J46" s="1033"/>
      <c r="K46" s="1033"/>
      <c r="L46" s="1033"/>
      <c r="M46" s="1033"/>
      <c r="N46" s="1033"/>
      <c r="O46" s="1033"/>
      <c r="P46" s="1033"/>
      <c r="Q46" s="1033"/>
    </row>
    <row r="47" spans="1:17" ht="19.350000000000001" hidden="1" customHeight="1">
      <c r="A47" s="1037" t="s">
        <v>630</v>
      </c>
      <c r="B47" s="1039" t="s">
        <v>631</v>
      </c>
      <c r="C47" s="1031"/>
      <c r="D47" s="1031"/>
      <c r="E47" s="1032"/>
      <c r="F47" s="3767"/>
      <c r="G47" s="3767"/>
      <c r="I47" s="1014" t="s">
        <v>627</v>
      </c>
      <c r="J47" s="1033"/>
      <c r="K47" s="1033"/>
      <c r="L47" s="1033"/>
      <c r="M47" s="1033"/>
      <c r="N47" s="1033"/>
      <c r="O47" s="1033"/>
      <c r="P47" s="1033"/>
      <c r="Q47" s="1033"/>
    </row>
    <row r="48" spans="1:17" ht="30.75" customHeight="1">
      <c r="A48" s="1034">
        <v>3.4</v>
      </c>
      <c r="B48" s="1035" t="s">
        <v>632</v>
      </c>
      <c r="C48" s="1031"/>
      <c r="D48" s="1031"/>
      <c r="E48" s="1036"/>
      <c r="F48" s="3767"/>
      <c r="G48" s="3767"/>
      <c r="J48" s="1033"/>
      <c r="K48" s="1033"/>
      <c r="L48" s="1033"/>
      <c r="M48" s="1033"/>
      <c r="N48" s="1033"/>
      <c r="O48" s="1033"/>
      <c r="P48" s="1033"/>
      <c r="Q48" s="1033"/>
    </row>
    <row r="49" spans="1:19" ht="33" hidden="1" customHeight="1">
      <c r="A49" s="1037" t="s">
        <v>633</v>
      </c>
      <c r="B49" s="1038" t="str">
        <f>"Contributions - have you advised the client that June contributions must be paid before 30 June " &amp; YEAR(Period_End) &amp; " to claim a deduction in " &amp; YEAR(Period_End) &amp; ")?"</f>
        <v>Contributions - have you advised the client that June contributions must be paid before 30 June 2024 to claim a deduction in 2024)?</v>
      </c>
      <c r="C49" s="1031"/>
      <c r="D49" s="1031"/>
      <c r="E49" s="1032"/>
      <c r="F49" s="3767"/>
      <c r="G49" s="3767"/>
      <c r="I49" s="1014">
        <f>4.241</f>
        <v>4.2409999999999997</v>
      </c>
      <c r="J49" s="1033"/>
      <c r="K49" s="1033"/>
      <c r="L49" s="1033"/>
      <c r="M49" s="1033"/>
      <c r="N49" s="1033"/>
      <c r="O49" s="1033"/>
      <c r="P49" s="1033"/>
      <c r="Q49" s="1033"/>
    </row>
    <row r="50" spans="1:19" ht="19.350000000000001" hidden="1" customHeight="1">
      <c r="A50" s="1037" t="s">
        <v>634</v>
      </c>
      <c r="B50" s="1038" t="s">
        <v>635</v>
      </c>
      <c r="C50" s="1031"/>
      <c r="D50" s="1031"/>
      <c r="E50" s="1032"/>
      <c r="F50" s="3767"/>
      <c r="G50" s="3767"/>
      <c r="I50" s="1014">
        <f>4.241</f>
        <v>4.2409999999999997</v>
      </c>
      <c r="J50" s="1033"/>
      <c r="K50" s="1033"/>
      <c r="L50" s="1033"/>
      <c r="M50" s="1033"/>
      <c r="N50" s="1033"/>
      <c r="O50" s="1033"/>
      <c r="P50" s="1033"/>
      <c r="Q50" s="1033"/>
    </row>
    <row r="51" spans="1:19" ht="30.75" hidden="1" customHeight="1">
      <c r="A51" s="1037" t="s">
        <v>636</v>
      </c>
      <c r="B51" s="1039" t="s">
        <v>637</v>
      </c>
      <c r="C51" s="1031"/>
      <c r="D51" s="1031"/>
      <c r="E51" s="1032"/>
      <c r="F51" s="3767"/>
      <c r="G51" s="3767"/>
      <c r="I51" s="1014">
        <f>4.241</f>
        <v>4.2409999999999997</v>
      </c>
      <c r="J51" s="1033"/>
      <c r="K51" s="1033"/>
      <c r="L51" s="1033"/>
      <c r="M51" s="1033"/>
      <c r="N51" s="1033"/>
      <c r="O51" s="1033"/>
      <c r="P51" s="1033"/>
      <c r="Q51" s="1033"/>
    </row>
    <row r="52" spans="1:19" ht="19.350000000000001" hidden="1" customHeight="1">
      <c r="A52" s="1037" t="s">
        <v>638</v>
      </c>
      <c r="B52" s="1038" t="s">
        <v>639</v>
      </c>
      <c r="C52" s="1031"/>
      <c r="D52" s="1031"/>
      <c r="E52" s="1032"/>
      <c r="F52" s="3767"/>
      <c r="G52" s="3767"/>
      <c r="I52" s="1014">
        <f>4.241</f>
        <v>4.2409999999999997</v>
      </c>
      <c r="J52" s="1033"/>
      <c r="K52" s="1033"/>
      <c r="L52" s="1033"/>
      <c r="M52" s="1033"/>
      <c r="N52" s="1033"/>
      <c r="O52" s="1033"/>
      <c r="P52" s="1033"/>
      <c r="Q52" s="1033"/>
    </row>
    <row r="53" spans="1:19" ht="30.75" hidden="1" customHeight="1">
      <c r="A53" s="1037" t="s">
        <v>640</v>
      </c>
      <c r="B53" s="1038" t="str">
        <f>"Do concessional (employment income &amp; salary sacrificed super) exceed the relevant caps? (" &amp; DOLLAR('Standard Thresholds'!B181,0) &amp; ")"</f>
        <v>Do concessional (employment income &amp; salary sacrificed super) exceed the relevant caps? ($27,500)</v>
      </c>
      <c r="C53" s="1031"/>
      <c r="D53" s="1031"/>
      <c r="E53" s="1032"/>
      <c r="F53" s="3767"/>
      <c r="G53" s="3767"/>
      <c r="J53" s="1033"/>
      <c r="K53" s="1033"/>
      <c r="L53" s="1033"/>
      <c r="M53" s="1033"/>
      <c r="N53" s="1033"/>
      <c r="O53" s="1033"/>
      <c r="P53" s="1033"/>
      <c r="Q53" s="1033"/>
    </row>
    <row r="54" spans="1:19" ht="45" hidden="1" customHeight="1">
      <c r="A54" s="1037" t="s">
        <v>641</v>
      </c>
      <c r="B54" s="1038" t="str">
        <f>"Do concessional (employment income &amp; salary sacrificed super) exceed the relevant caps? " &amp; DOLLAR('Standard Thresholds'!B184,0) &amp; " additional CGT cap for non-concessional contributions?"</f>
        <v>Do concessional (employment income &amp; salary sacrificed super) exceed the relevant caps? $1,705,000 additional CGT cap for non-concessional contributions?</v>
      </c>
      <c r="C54" s="1031"/>
      <c r="D54" s="1031"/>
      <c r="E54" s="1032"/>
      <c r="F54" s="3767"/>
      <c r="G54" s="3767"/>
      <c r="J54" s="1033"/>
      <c r="K54" s="1033"/>
      <c r="L54" s="1033"/>
      <c r="M54" s="1033"/>
      <c r="N54" s="1033"/>
      <c r="O54" s="1033"/>
      <c r="P54" s="1033"/>
      <c r="Q54" s="1033"/>
    </row>
    <row r="55" spans="1:19" ht="31.5" hidden="1" customHeight="1">
      <c r="A55" s="1037" t="s">
        <v>643</v>
      </c>
      <c r="B55" s="1038" t="str">
        <f>"If any non-concessional contributions were made during the year, were they within the "&amp;DOLLAR('Standard Thresholds'!B182,0)&amp;" cap (or "&amp;DOLLAR('Standard Thresholds'!B183,0)&amp;" bring forward rule)?"</f>
        <v>If any non-concessional contributions were made during the year, were they within the $110,000 cap (or $330,000 bring forward rule)?</v>
      </c>
      <c r="C55" s="1031"/>
      <c r="D55" s="1031"/>
      <c r="E55" s="1032"/>
      <c r="F55" s="3767"/>
      <c r="G55" s="3767"/>
      <c r="I55" s="1014" t="s">
        <v>642</v>
      </c>
      <c r="J55" s="1033"/>
      <c r="K55" s="1033"/>
      <c r="L55" s="1033"/>
      <c r="M55" s="1033"/>
      <c r="N55" s="1033"/>
      <c r="O55" s="1033"/>
      <c r="P55" s="1033"/>
      <c r="Q55" s="1033"/>
      <c r="S55" s="2085"/>
    </row>
    <row r="56" spans="1:19" ht="19.350000000000001" hidden="1" customHeight="1">
      <c r="A56" s="1037" t="s">
        <v>646</v>
      </c>
      <c r="B56" s="1038" t="s">
        <v>644</v>
      </c>
      <c r="C56" s="1031"/>
      <c r="D56" s="1031"/>
      <c r="E56" s="1032"/>
      <c r="F56" s="3767"/>
      <c r="G56" s="3767"/>
      <c r="I56" s="1014" t="s">
        <v>645</v>
      </c>
      <c r="J56" s="1033"/>
      <c r="K56" s="1033"/>
      <c r="L56" s="1033"/>
      <c r="M56" s="1033"/>
      <c r="N56" s="1033"/>
      <c r="O56" s="1033"/>
      <c r="P56" s="1033"/>
      <c r="Q56" s="1033"/>
    </row>
    <row r="57" spans="1:19" ht="19.350000000000001" hidden="1" customHeight="1">
      <c r="A57" s="1037" t="s">
        <v>649</v>
      </c>
      <c r="B57" s="1039" t="s">
        <v>647</v>
      </c>
      <c r="C57" s="1031"/>
      <c r="D57" s="1031"/>
      <c r="E57" s="1032"/>
      <c r="F57" s="3767"/>
      <c r="G57" s="3767"/>
      <c r="I57" s="1014" t="s">
        <v>648</v>
      </c>
      <c r="J57" s="1033"/>
      <c r="K57" s="1033"/>
      <c r="L57" s="1033"/>
      <c r="M57" s="1033"/>
      <c r="N57" s="1033"/>
      <c r="O57" s="1033"/>
      <c r="P57" s="1033"/>
      <c r="Q57" s="1033"/>
    </row>
    <row r="58" spans="1:19" ht="34.5" hidden="1" customHeight="1">
      <c r="A58" s="1037" t="s">
        <v>652</v>
      </c>
      <c r="B58" s="1038" t="s">
        <v>650</v>
      </c>
      <c r="C58" s="1031"/>
      <c r="D58" s="1031"/>
      <c r="E58" s="1032"/>
      <c r="F58" s="3767"/>
      <c r="G58" s="3767"/>
      <c r="I58" s="1040" t="s">
        <v>651</v>
      </c>
      <c r="J58" s="1033"/>
      <c r="K58" s="1033"/>
      <c r="L58" s="1033"/>
      <c r="M58" s="1033"/>
      <c r="N58" s="1033"/>
      <c r="O58" s="1033"/>
      <c r="P58" s="1033"/>
      <c r="Q58" s="1033"/>
    </row>
    <row r="59" spans="1:19" ht="14.25" hidden="1" customHeight="1">
      <c r="A59" s="1037" t="s">
        <v>655</v>
      </c>
      <c r="B59" s="1038" t="s">
        <v>653</v>
      </c>
      <c r="C59" s="1031"/>
      <c r="D59" s="1031"/>
      <c r="E59" s="1032"/>
      <c r="F59" s="3767"/>
      <c r="G59" s="3767"/>
      <c r="I59" s="1014" t="s">
        <v>654</v>
      </c>
      <c r="J59" s="1033"/>
      <c r="K59" s="1033"/>
      <c r="L59" s="1033"/>
      <c r="M59" s="1033"/>
      <c r="N59" s="1033"/>
      <c r="O59" s="1033"/>
      <c r="P59" s="1033"/>
      <c r="Q59" s="1033"/>
    </row>
    <row r="60" spans="1:19" ht="14.25" hidden="1" customHeight="1">
      <c r="A60" s="1037" t="s">
        <v>657</v>
      </c>
      <c r="B60" s="1038" t="s">
        <v>656</v>
      </c>
      <c r="C60" s="1031"/>
      <c r="D60" s="1031"/>
      <c r="E60" s="1032"/>
      <c r="F60" s="3767"/>
      <c r="G60" s="3767"/>
      <c r="J60" s="1033"/>
      <c r="K60" s="1033"/>
      <c r="L60" s="1033"/>
      <c r="M60" s="1033"/>
      <c r="N60" s="1033"/>
      <c r="O60" s="1033"/>
      <c r="P60" s="1033"/>
      <c r="Q60" s="1033"/>
    </row>
    <row r="61" spans="1:19" ht="28.5" hidden="1" customHeight="1">
      <c r="A61" s="1037" t="s">
        <v>661</v>
      </c>
      <c r="B61" s="1038" t="s">
        <v>658</v>
      </c>
      <c r="C61" s="1031"/>
      <c r="D61" s="1031"/>
      <c r="E61" s="1032"/>
      <c r="F61" s="3767"/>
      <c r="G61" s="3767"/>
      <c r="J61" s="1033"/>
      <c r="K61" s="1033"/>
      <c r="L61" s="1033"/>
      <c r="M61" s="1033"/>
      <c r="N61" s="1033"/>
      <c r="O61" s="1033"/>
      <c r="P61" s="1033"/>
      <c r="Q61" s="1033"/>
    </row>
    <row r="62" spans="1:19" ht="28.5" hidden="1" customHeight="1">
      <c r="A62" s="1041" t="s">
        <v>1188</v>
      </c>
      <c r="B62" s="1041" t="s">
        <v>659</v>
      </c>
      <c r="C62" s="1031"/>
      <c r="D62" s="1031"/>
      <c r="E62" s="1031"/>
      <c r="F62" s="3767"/>
      <c r="G62" s="3767"/>
      <c r="J62" s="1033"/>
      <c r="K62" s="1033"/>
      <c r="L62" s="1033"/>
      <c r="M62" s="1033"/>
      <c r="N62" s="1033"/>
      <c r="O62" s="1033"/>
      <c r="P62" s="1033"/>
      <c r="Q62" s="1033"/>
    </row>
    <row r="63" spans="1:19" ht="28.5" hidden="1" customHeight="1">
      <c r="A63" s="1041" t="s">
        <v>1189</v>
      </c>
      <c r="B63" s="1041" t="s">
        <v>660</v>
      </c>
      <c r="C63" s="1031"/>
      <c r="D63" s="1031"/>
      <c r="E63" s="1031"/>
      <c r="F63" s="3767"/>
      <c r="G63" s="3767"/>
      <c r="J63" s="1033"/>
      <c r="K63" s="1033"/>
      <c r="L63" s="1033"/>
      <c r="M63" s="1033"/>
      <c r="N63" s="1033"/>
      <c r="O63" s="1033"/>
      <c r="P63" s="1033"/>
      <c r="Q63" s="1033"/>
    </row>
    <row r="64" spans="1:19" ht="42.75" hidden="1" customHeight="1">
      <c r="A64" s="1037" t="s">
        <v>1190</v>
      </c>
      <c r="B64" s="1041" t="s">
        <v>684</v>
      </c>
      <c r="C64" s="1031"/>
      <c r="D64" s="1031"/>
      <c r="E64" s="1031"/>
      <c r="F64" s="3112"/>
      <c r="G64" s="3111"/>
      <c r="J64" s="1033"/>
      <c r="K64" s="1033"/>
      <c r="L64" s="1033"/>
      <c r="M64" s="1033"/>
      <c r="N64" s="1033"/>
      <c r="O64" s="1033"/>
      <c r="P64" s="1033"/>
      <c r="Q64" s="1033"/>
    </row>
    <row r="65" spans="1:17" ht="19.350000000000001" customHeight="1">
      <c r="A65" s="1034">
        <v>3.5</v>
      </c>
      <c r="B65" s="1035" t="s">
        <v>685</v>
      </c>
      <c r="C65" s="1031"/>
      <c r="D65" s="1031"/>
      <c r="E65" s="1032"/>
      <c r="F65" s="3767"/>
      <c r="G65" s="3767"/>
      <c r="J65" s="1033"/>
      <c r="K65" s="1033"/>
      <c r="L65" s="1033"/>
      <c r="M65" s="1033"/>
      <c r="N65" s="1033"/>
      <c r="O65" s="1033"/>
      <c r="P65" s="1033"/>
      <c r="Q65" s="1033"/>
    </row>
    <row r="66" spans="1:17" ht="30.75" hidden="1" customHeight="1">
      <c r="A66" s="1037" t="s">
        <v>686</v>
      </c>
      <c r="B66" s="1038" t="s">
        <v>687</v>
      </c>
      <c r="C66" s="1031"/>
      <c r="D66" s="1031"/>
      <c r="E66" s="1032"/>
      <c r="F66" s="3767"/>
      <c r="G66" s="3767"/>
      <c r="I66" s="1014" t="s">
        <v>688</v>
      </c>
      <c r="J66" s="1033"/>
      <c r="K66" s="1033"/>
      <c r="L66" s="1033"/>
      <c r="M66" s="1033"/>
      <c r="N66" s="1033"/>
      <c r="O66" s="1033"/>
      <c r="P66" s="1033"/>
      <c r="Q66" s="1033"/>
    </row>
    <row r="67" spans="1:17" ht="30.75" hidden="1" customHeight="1">
      <c r="A67" s="1037" t="s">
        <v>689</v>
      </c>
      <c r="B67" s="1038" t="s">
        <v>690</v>
      </c>
      <c r="C67" s="1031"/>
      <c r="D67" s="1031"/>
      <c r="E67" s="1032"/>
      <c r="F67" s="3767"/>
      <c r="G67" s="3767"/>
      <c r="J67" s="1033"/>
      <c r="K67" s="1033"/>
      <c r="L67" s="1033"/>
      <c r="M67" s="1033"/>
      <c r="N67" s="1033"/>
      <c r="O67" s="1033"/>
      <c r="P67" s="1033"/>
      <c r="Q67" s="1033"/>
    </row>
    <row r="68" spans="1:17" ht="19.350000000000001" hidden="1" customHeight="1">
      <c r="A68" s="1037" t="s">
        <v>691</v>
      </c>
      <c r="B68" s="1039" t="s">
        <v>692</v>
      </c>
      <c r="C68" s="1031"/>
      <c r="D68" s="1031"/>
      <c r="E68" s="1032"/>
      <c r="F68" s="3767"/>
      <c r="G68" s="3767"/>
      <c r="I68" s="1014" t="s">
        <v>693</v>
      </c>
      <c r="J68" s="1033"/>
      <c r="K68" s="1033"/>
      <c r="L68" s="1033"/>
      <c r="M68" s="1033"/>
      <c r="N68" s="1033"/>
      <c r="O68" s="1033"/>
      <c r="P68" s="1033"/>
      <c r="Q68" s="1033"/>
    </row>
    <row r="69" spans="1:17" ht="19.350000000000001" hidden="1" customHeight="1">
      <c r="A69" s="1034">
        <v>3.6</v>
      </c>
      <c r="B69" s="1035" t="s">
        <v>694</v>
      </c>
      <c r="C69" s="1031"/>
      <c r="D69" s="1031"/>
      <c r="E69" s="1032"/>
      <c r="F69" s="3767"/>
      <c r="G69" s="3767"/>
      <c r="I69" s="1014" t="s">
        <v>695</v>
      </c>
      <c r="J69" s="1033" t="s">
        <v>575</v>
      </c>
      <c r="K69" s="1033" t="s">
        <v>575</v>
      </c>
      <c r="L69" s="1033"/>
      <c r="M69" s="1033" t="s">
        <v>575</v>
      </c>
      <c r="N69" s="1033" t="s">
        <v>575</v>
      </c>
      <c r="O69" s="1033"/>
      <c r="P69" s="1033"/>
      <c r="Q69" s="1033"/>
    </row>
    <row r="70" spans="1:17" ht="19.350000000000001" hidden="1" customHeight="1">
      <c r="A70" s="1037" t="s">
        <v>696</v>
      </c>
      <c r="B70" t="s">
        <v>697</v>
      </c>
      <c r="C70" s="1031"/>
      <c r="D70" s="1031"/>
      <c r="E70" s="1031"/>
      <c r="F70" s="3767"/>
      <c r="G70" s="3767"/>
      <c r="J70" s="1033" t="s">
        <v>575</v>
      </c>
      <c r="K70" s="1033" t="s">
        <v>575</v>
      </c>
      <c r="L70" s="1033"/>
      <c r="M70" s="1033" t="s">
        <v>575</v>
      </c>
      <c r="N70" s="1033" t="s">
        <v>575</v>
      </c>
      <c r="O70" s="1033"/>
      <c r="P70" s="1033"/>
      <c r="Q70" s="1033"/>
    </row>
    <row r="71" spans="1:17" ht="19.350000000000001" customHeight="1">
      <c r="A71" s="1034">
        <v>3.6</v>
      </c>
      <c r="B71" s="1035" t="s">
        <v>698</v>
      </c>
      <c r="C71" s="1031"/>
      <c r="D71" s="1031"/>
      <c r="E71" s="1032"/>
      <c r="F71" s="3767"/>
      <c r="G71" s="3767"/>
      <c r="J71" s="1033"/>
      <c r="K71" s="1033"/>
      <c r="L71" s="1033"/>
      <c r="M71" s="1033"/>
      <c r="N71" s="1033"/>
      <c r="O71" s="1033"/>
      <c r="P71" s="1033"/>
      <c r="Q71" s="1033"/>
    </row>
    <row r="72" spans="1:17" ht="19.350000000000001" hidden="1" customHeight="1">
      <c r="A72" s="1037" t="s">
        <v>699</v>
      </c>
      <c r="B72" s="1038" t="s">
        <v>700</v>
      </c>
      <c r="C72" s="1031"/>
      <c r="D72" s="1031"/>
      <c r="E72" s="1031"/>
      <c r="F72" s="3767"/>
      <c r="G72" s="3767"/>
      <c r="I72" s="1014" t="s">
        <v>701</v>
      </c>
      <c r="J72" s="1033"/>
      <c r="K72" s="1033"/>
      <c r="L72" s="1033"/>
      <c r="M72" s="1033"/>
      <c r="N72" s="1033"/>
      <c r="O72" s="1033" t="s">
        <v>575</v>
      </c>
      <c r="P72" s="1033"/>
      <c r="Q72" s="1033"/>
    </row>
    <row r="73" spans="1:17" ht="19.350000000000001" hidden="1" customHeight="1">
      <c r="A73" s="1037" t="s">
        <v>702</v>
      </c>
      <c r="B73" s="1038" t="s">
        <v>703</v>
      </c>
      <c r="C73" s="1031"/>
      <c r="D73" s="1031"/>
      <c r="E73" s="1032"/>
      <c r="F73" s="3767"/>
      <c r="G73" s="3767"/>
      <c r="I73" s="1014" t="s">
        <v>704</v>
      </c>
      <c r="J73" s="1033"/>
      <c r="K73" s="1033"/>
      <c r="L73" s="1033"/>
      <c r="M73" s="1033"/>
      <c r="N73" s="1033"/>
      <c r="O73" s="1033"/>
      <c r="P73" s="1033"/>
      <c r="Q73" s="1033"/>
    </row>
    <row r="74" spans="1:17" ht="19.350000000000001" hidden="1" customHeight="1">
      <c r="A74" s="1037" t="s">
        <v>705</v>
      </c>
      <c r="B74" s="1038" t="s">
        <v>706</v>
      </c>
      <c r="C74" s="1031"/>
      <c r="D74" s="1031"/>
      <c r="E74" s="1031"/>
      <c r="F74" s="3767"/>
      <c r="G74" s="3767"/>
      <c r="I74" s="1014" t="s">
        <v>707</v>
      </c>
      <c r="J74" s="1033"/>
      <c r="K74" s="1033"/>
      <c r="L74" s="1033"/>
      <c r="M74" s="1033"/>
      <c r="N74" s="1033"/>
      <c r="O74" s="1033"/>
      <c r="P74" s="1033"/>
      <c r="Q74" s="1033"/>
    </row>
    <row r="75" spans="1:17" ht="19.350000000000001" hidden="1" customHeight="1">
      <c r="A75" s="1037" t="s">
        <v>708</v>
      </c>
      <c r="B75" s="1039" t="s">
        <v>709</v>
      </c>
      <c r="C75" s="1031"/>
      <c r="D75" s="1031"/>
      <c r="E75" s="1032"/>
      <c r="F75" s="3767"/>
      <c r="G75" s="3767"/>
      <c r="I75" s="1014" t="s">
        <v>707</v>
      </c>
      <c r="J75" s="1033"/>
      <c r="K75" s="1033"/>
      <c r="L75" s="1033"/>
      <c r="M75" s="1033"/>
      <c r="N75" s="1033"/>
      <c r="O75" s="1033"/>
      <c r="P75" s="1033"/>
      <c r="Q75" s="1033"/>
    </row>
    <row r="76" spans="1:17" ht="33.6" hidden="1" customHeight="1">
      <c r="A76" s="1037" t="s">
        <v>710</v>
      </c>
      <c r="B76" s="1038" t="s">
        <v>711</v>
      </c>
      <c r="C76" s="1031"/>
      <c r="D76" s="1031"/>
      <c r="E76" s="1032"/>
      <c r="F76" s="3767"/>
      <c r="G76" s="3767"/>
      <c r="I76" s="1014" t="s">
        <v>707</v>
      </c>
      <c r="J76" s="1033"/>
      <c r="K76" s="1033"/>
      <c r="L76" s="1033"/>
      <c r="M76" s="1033"/>
      <c r="N76" s="1033"/>
      <c r="O76" s="1033"/>
      <c r="P76" s="1033"/>
      <c r="Q76" s="1033"/>
    </row>
    <row r="77" spans="1:17" ht="34.5" customHeight="1">
      <c r="A77" s="1034">
        <v>3.7</v>
      </c>
      <c r="B77" s="1035" t="s">
        <v>712</v>
      </c>
      <c r="C77" s="1031"/>
      <c r="D77" s="1031"/>
      <c r="E77" s="1032"/>
      <c r="F77" s="3767"/>
      <c r="G77" s="3767"/>
      <c r="I77" s="1014">
        <v>4.4000000000000004</v>
      </c>
      <c r="J77" s="1033"/>
      <c r="K77" s="1033"/>
      <c r="L77" s="1033"/>
      <c r="M77" s="1033"/>
      <c r="N77" s="1033"/>
      <c r="O77" s="1033"/>
      <c r="P77" s="1033"/>
      <c r="Q77" s="1033"/>
    </row>
    <row r="78" spans="1:17" ht="23.25" customHeight="1">
      <c r="A78" s="1034">
        <v>3.9</v>
      </c>
      <c r="B78" s="1035" t="s">
        <v>713</v>
      </c>
      <c r="C78" s="1031"/>
      <c r="D78" s="1031"/>
      <c r="E78" s="1036"/>
      <c r="F78" s="3767"/>
      <c r="G78" s="3767"/>
      <c r="J78" s="1033"/>
      <c r="K78" s="1033"/>
      <c r="L78" s="1033"/>
      <c r="M78" s="1033"/>
      <c r="N78" s="1033"/>
      <c r="O78" s="1033"/>
      <c r="P78" s="1033"/>
      <c r="Q78" s="1033"/>
    </row>
    <row r="79" spans="1:17" ht="33" hidden="1" customHeight="1">
      <c r="A79" s="1037" t="s">
        <v>714</v>
      </c>
      <c r="B79" s="1038" t="s">
        <v>715</v>
      </c>
      <c r="C79" s="1031"/>
      <c r="D79" s="1031"/>
      <c r="E79" s="1032"/>
      <c r="F79" s="3767"/>
      <c r="G79" s="3767"/>
      <c r="I79" s="1014">
        <f t="shared" ref="I79:I84" si="0">4.61</f>
        <v>4.6100000000000003</v>
      </c>
      <c r="J79" s="1033"/>
      <c r="K79" s="1033"/>
      <c r="L79" s="1033"/>
      <c r="M79" s="1033"/>
      <c r="N79" s="1033"/>
      <c r="O79" s="1033"/>
      <c r="P79" s="1033"/>
      <c r="Q79" s="1033"/>
    </row>
    <row r="80" spans="1:17" ht="57" hidden="1">
      <c r="A80" s="1037" t="s">
        <v>716</v>
      </c>
      <c r="B80" s="1038" t="s">
        <v>2245</v>
      </c>
      <c r="C80" s="1031"/>
      <c r="D80" s="1031"/>
      <c r="E80" s="1032"/>
      <c r="F80" s="3767"/>
      <c r="G80" s="3767"/>
      <c r="I80" s="1014">
        <f t="shared" si="0"/>
        <v>4.6100000000000003</v>
      </c>
      <c r="J80" s="1033"/>
      <c r="K80" s="1033"/>
      <c r="L80" s="1033"/>
      <c r="M80" s="1033"/>
      <c r="N80" s="1033"/>
      <c r="O80" s="1033" t="s">
        <v>575</v>
      </c>
      <c r="P80" s="1033"/>
      <c r="Q80" s="1033"/>
    </row>
    <row r="81" spans="1:17" ht="18" hidden="1" customHeight="1">
      <c r="A81" s="1037" t="s">
        <v>717</v>
      </c>
      <c r="B81" s="1038" t="s">
        <v>1807</v>
      </c>
      <c r="C81" s="1031"/>
      <c r="D81" s="1031"/>
      <c r="E81" s="1032"/>
      <c r="F81" s="3767"/>
      <c r="G81" s="3767"/>
      <c r="I81" s="1014">
        <f t="shared" si="0"/>
        <v>4.6100000000000003</v>
      </c>
      <c r="J81" s="1033"/>
      <c r="K81" s="1033"/>
      <c r="L81" s="1033"/>
      <c r="M81" s="1033"/>
      <c r="N81" s="1033"/>
      <c r="O81" s="1033"/>
      <c r="P81" s="1033"/>
      <c r="Q81" s="1033"/>
    </row>
    <row r="82" spans="1:17" ht="14.25" hidden="1">
      <c r="A82" s="1037" t="s">
        <v>718</v>
      </c>
      <c r="B82" s="1038" t="s">
        <v>719</v>
      </c>
      <c r="C82" s="1031"/>
      <c r="D82" s="1031"/>
      <c r="E82" s="1031"/>
      <c r="F82" s="3767"/>
      <c r="G82" s="3767"/>
      <c r="I82" s="1014">
        <f t="shared" si="0"/>
        <v>4.6100000000000003</v>
      </c>
      <c r="J82" s="1033"/>
      <c r="K82" s="1033"/>
      <c r="L82" s="1033"/>
      <c r="M82" s="1033"/>
      <c r="N82" s="1033"/>
      <c r="O82" s="1033"/>
      <c r="P82" s="1033"/>
      <c r="Q82" s="1033"/>
    </row>
    <row r="83" spans="1:17" ht="14.25" hidden="1">
      <c r="A83" s="1038" t="s">
        <v>720</v>
      </c>
      <c r="B83" s="1038" t="s">
        <v>721</v>
      </c>
      <c r="C83" s="1031"/>
      <c r="D83" s="1031"/>
      <c r="E83" s="1032"/>
      <c r="F83" s="3767"/>
      <c r="G83" s="3767"/>
      <c r="I83" s="1014">
        <f t="shared" si="0"/>
        <v>4.6100000000000003</v>
      </c>
      <c r="J83" s="1033"/>
      <c r="K83" s="1033"/>
      <c r="L83" s="1033"/>
      <c r="M83" s="1033"/>
      <c r="N83" s="1033"/>
      <c r="O83" s="1033"/>
      <c r="P83" s="1033"/>
      <c r="Q83" s="1033"/>
    </row>
    <row r="84" spans="1:17" ht="28.5" hidden="1">
      <c r="A84" s="1038" t="s">
        <v>722</v>
      </c>
      <c r="B84" s="1038" t="s">
        <v>723</v>
      </c>
      <c r="C84" s="1031"/>
      <c r="D84" s="1031"/>
      <c r="E84" s="1032"/>
      <c r="F84" s="3767"/>
      <c r="G84" s="3767"/>
      <c r="I84" s="1014">
        <f t="shared" si="0"/>
        <v>4.6100000000000003</v>
      </c>
      <c r="J84" s="1033"/>
      <c r="K84" s="1033"/>
      <c r="L84" s="1033"/>
      <c r="M84" s="1033"/>
      <c r="N84" s="1033"/>
      <c r="O84" s="1033"/>
      <c r="P84" s="1033"/>
      <c r="Q84" s="1033"/>
    </row>
    <row r="85" spans="1:17" ht="28.5" hidden="1">
      <c r="A85" s="1042">
        <v>3.1</v>
      </c>
      <c r="B85" s="1035" t="s">
        <v>724</v>
      </c>
      <c r="C85" s="1031"/>
      <c r="D85" s="1031"/>
      <c r="E85" s="1032"/>
      <c r="F85" s="3769"/>
      <c r="G85" s="3770"/>
      <c r="I85" s="1014" t="s">
        <v>725</v>
      </c>
      <c r="J85" s="1033"/>
      <c r="K85" s="1033" t="s">
        <v>575</v>
      </c>
      <c r="L85" s="1033" t="s">
        <v>575</v>
      </c>
      <c r="M85" s="1033" t="s">
        <v>575</v>
      </c>
      <c r="N85" s="1033" t="s">
        <v>575</v>
      </c>
      <c r="O85" s="1033"/>
      <c r="P85" s="1033"/>
      <c r="Q85" s="1033"/>
    </row>
    <row r="86" spans="1:17" ht="14.25">
      <c r="A86" s="1042">
        <v>3.11</v>
      </c>
      <c r="B86" s="1035"/>
      <c r="C86" s="1031"/>
      <c r="D86" s="1031"/>
      <c r="E86" s="1032"/>
      <c r="F86" s="3112"/>
      <c r="G86" s="3111"/>
      <c r="J86" s="1033"/>
      <c r="K86" s="1033"/>
      <c r="L86" s="1033"/>
      <c r="M86" s="1033"/>
      <c r="N86" s="1033"/>
      <c r="O86" s="1033"/>
      <c r="P86" s="1033"/>
      <c r="Q86" s="1033"/>
    </row>
    <row r="87" spans="1:17" ht="20.100000000000001" customHeight="1">
      <c r="A87" s="1023">
        <v>4</v>
      </c>
      <c r="B87" s="1030" t="s">
        <v>726</v>
      </c>
      <c r="C87" s="1031"/>
      <c r="D87" s="1032"/>
      <c r="E87" s="1031"/>
      <c r="F87" s="3767"/>
      <c r="G87" s="3767"/>
      <c r="J87" s="1033"/>
      <c r="K87" s="1033"/>
      <c r="L87" s="1033"/>
      <c r="M87" s="1033"/>
      <c r="N87" s="1033"/>
      <c r="O87" s="1033"/>
      <c r="P87" s="1033"/>
      <c r="Q87" s="1033"/>
    </row>
    <row r="88" spans="1:17" ht="19.350000000000001" customHeight="1">
      <c r="A88" s="1034">
        <v>4.0999999999999996</v>
      </c>
      <c r="B88" s="1035" t="s">
        <v>727</v>
      </c>
      <c r="C88" s="1031"/>
      <c r="D88" s="1031"/>
      <c r="E88" s="1032"/>
      <c r="F88" s="3767"/>
      <c r="G88" s="3767"/>
      <c r="I88" s="1014">
        <v>5.0999999999999996</v>
      </c>
      <c r="J88" s="1033"/>
      <c r="K88" s="1033"/>
      <c r="L88" s="1033"/>
      <c r="M88" s="1033"/>
      <c r="N88" s="1033"/>
      <c r="O88" s="1033"/>
      <c r="P88" s="1033"/>
      <c r="Q88" s="1033"/>
    </row>
    <row r="89" spans="1:17" ht="19.350000000000001" customHeight="1">
      <c r="A89" s="1034">
        <v>4.2</v>
      </c>
      <c r="B89" s="1035" t="s">
        <v>728</v>
      </c>
      <c r="C89" s="1031"/>
      <c r="D89" s="1031"/>
      <c r="E89" s="1031"/>
      <c r="F89" s="3767"/>
      <c r="G89" s="3767"/>
      <c r="I89" s="1014">
        <v>5.2</v>
      </c>
      <c r="J89" s="1033"/>
      <c r="K89" s="1033"/>
      <c r="L89" s="1033"/>
      <c r="M89" s="1033"/>
      <c r="N89" s="1033"/>
      <c r="O89" s="1033"/>
      <c r="P89" s="1033"/>
      <c r="Q89" s="1033"/>
    </row>
    <row r="90" spans="1:17" ht="19.350000000000001" hidden="1" customHeight="1">
      <c r="A90" s="1037" t="s">
        <v>607</v>
      </c>
      <c r="B90" s="1038" t="s">
        <v>729</v>
      </c>
      <c r="C90" s="1031"/>
      <c r="D90" s="1031"/>
      <c r="E90" s="1031"/>
      <c r="F90" s="3767"/>
      <c r="G90" s="3767"/>
      <c r="J90" s="1033"/>
      <c r="K90" s="1033"/>
      <c r="L90" s="1033"/>
      <c r="M90" s="1033"/>
      <c r="N90" s="1033"/>
      <c r="O90" s="1033"/>
      <c r="P90" s="1033"/>
      <c r="Q90" s="1033"/>
    </row>
    <row r="91" spans="1:17" ht="19.350000000000001" customHeight="1">
      <c r="A91" s="1034">
        <v>4.3</v>
      </c>
      <c r="B91" s="1043" t="s">
        <v>730</v>
      </c>
      <c r="C91" s="1031"/>
      <c r="D91" s="1031"/>
      <c r="E91" s="1031"/>
      <c r="F91" s="3767"/>
      <c r="G91" s="3767"/>
      <c r="I91" s="1014">
        <v>5.3</v>
      </c>
      <c r="J91" s="1033"/>
      <c r="K91" s="1033"/>
      <c r="L91" s="1033"/>
      <c r="M91" s="1033"/>
      <c r="N91" s="1033"/>
      <c r="O91" s="1033"/>
      <c r="P91" s="1033"/>
      <c r="Q91" s="1033"/>
    </row>
    <row r="92" spans="1:17" ht="20.100000000000001" hidden="1" customHeight="1">
      <c r="A92" s="1023">
        <v>5</v>
      </c>
      <c r="B92" s="1027" t="s">
        <v>731</v>
      </c>
      <c r="C92" s="1031"/>
      <c r="D92" s="1031"/>
      <c r="E92" s="1036"/>
      <c r="F92" s="3767"/>
      <c r="G92" s="3767"/>
      <c r="J92" s="1033"/>
      <c r="K92" s="1033"/>
      <c r="L92" s="1033"/>
      <c r="M92" s="1033"/>
      <c r="N92" s="1033"/>
      <c r="O92" s="1033"/>
      <c r="P92" s="1033" t="s">
        <v>575</v>
      </c>
      <c r="Q92" s="1033"/>
    </row>
    <row r="93" spans="1:17" ht="33" hidden="1" customHeight="1">
      <c r="A93" s="1034">
        <v>5.0999999999999996</v>
      </c>
      <c r="B93" s="1035" t="s">
        <v>732</v>
      </c>
      <c r="C93" s="1031"/>
      <c r="D93" s="1031"/>
      <c r="E93" s="1036"/>
      <c r="F93" s="3767"/>
      <c r="G93" s="3767"/>
      <c r="I93" s="1044" t="s">
        <v>733</v>
      </c>
      <c r="J93" s="1033"/>
      <c r="K93" s="1033"/>
      <c r="L93" s="1033"/>
      <c r="M93" s="1033"/>
      <c r="N93" s="1033"/>
      <c r="O93" s="1033"/>
      <c r="P93" s="1033" t="s">
        <v>575</v>
      </c>
      <c r="Q93" s="1033"/>
    </row>
    <row r="94" spans="1:17" ht="19.350000000000001" hidden="1" customHeight="1">
      <c r="A94" s="1037" t="s">
        <v>734</v>
      </c>
      <c r="B94" s="1038" t="s">
        <v>735</v>
      </c>
      <c r="C94" s="1031"/>
      <c r="D94" s="1031"/>
      <c r="E94" s="1032"/>
      <c r="F94" s="3767"/>
      <c r="G94" s="3767"/>
      <c r="I94" s="1014" t="s">
        <v>733</v>
      </c>
      <c r="J94" s="1033"/>
      <c r="K94" s="1033"/>
      <c r="L94" s="1033"/>
      <c r="M94" s="1033"/>
      <c r="N94" s="1033"/>
      <c r="O94" s="1033"/>
      <c r="P94" s="1033" t="s">
        <v>575</v>
      </c>
      <c r="Q94" s="1033"/>
    </row>
    <row r="95" spans="1:17" ht="19.350000000000001" hidden="1" customHeight="1">
      <c r="A95" s="1037" t="s">
        <v>736</v>
      </c>
      <c r="B95" s="1038" t="s">
        <v>737</v>
      </c>
      <c r="C95" s="1031"/>
      <c r="D95" s="1031"/>
      <c r="E95" s="1032"/>
      <c r="F95" s="3767"/>
      <c r="G95" s="3767"/>
      <c r="I95" s="1014" t="s">
        <v>733</v>
      </c>
      <c r="J95" s="1033"/>
      <c r="K95" s="1033"/>
      <c r="L95" s="1033"/>
      <c r="M95" s="1033"/>
      <c r="N95" s="1033"/>
      <c r="O95" s="1033"/>
      <c r="P95" s="1033" t="s">
        <v>575</v>
      </c>
      <c r="Q95" s="1033"/>
    </row>
    <row r="96" spans="1:17" ht="19.350000000000001" hidden="1" customHeight="1">
      <c r="A96" s="1037" t="s">
        <v>738</v>
      </c>
      <c r="B96" s="1038" t="s">
        <v>739</v>
      </c>
      <c r="C96" s="1031"/>
      <c r="D96" s="1031"/>
      <c r="E96" s="1032"/>
      <c r="F96" s="3767"/>
      <c r="G96" s="3767"/>
      <c r="I96" s="1014" t="s">
        <v>733</v>
      </c>
      <c r="J96" s="1033"/>
      <c r="K96" s="1033"/>
      <c r="L96" s="1033"/>
      <c r="M96" s="1033"/>
      <c r="N96" s="1033"/>
      <c r="O96" s="1033"/>
      <c r="P96" s="1033" t="s">
        <v>575</v>
      </c>
      <c r="Q96" s="1033"/>
    </row>
    <row r="97" spans="1:17" ht="19.350000000000001" hidden="1" customHeight="1">
      <c r="A97" s="1037" t="s">
        <v>740</v>
      </c>
      <c r="B97" s="1038" t="s">
        <v>741</v>
      </c>
      <c r="C97" s="1031"/>
      <c r="D97" s="1031"/>
      <c r="E97" s="1032"/>
      <c r="F97" s="3767"/>
      <c r="G97" s="3767"/>
      <c r="I97" s="1014" t="s">
        <v>733</v>
      </c>
      <c r="J97" s="1033"/>
      <c r="K97" s="1033"/>
      <c r="L97" s="1033"/>
      <c r="M97" s="1033"/>
      <c r="N97" s="1033"/>
      <c r="O97" s="1033"/>
      <c r="P97" s="1033" t="s">
        <v>575</v>
      </c>
      <c r="Q97" s="1033"/>
    </row>
    <row r="98" spans="1:17" ht="19.350000000000001" hidden="1" customHeight="1">
      <c r="A98" s="1037" t="s">
        <v>742</v>
      </c>
      <c r="B98" s="1038" t="s">
        <v>743</v>
      </c>
      <c r="C98" s="1031"/>
      <c r="D98" s="1031"/>
      <c r="E98" s="1032"/>
      <c r="F98" s="3767"/>
      <c r="G98" s="3767"/>
      <c r="I98" s="1014" t="s">
        <v>733</v>
      </c>
      <c r="J98" s="1033"/>
      <c r="K98" s="1033"/>
      <c r="L98" s="1033"/>
      <c r="M98" s="1033"/>
      <c r="N98" s="1033"/>
      <c r="O98" s="1033"/>
      <c r="P98" s="1033" t="s">
        <v>575</v>
      </c>
      <c r="Q98" s="1033"/>
    </row>
    <row r="99" spans="1:17" ht="19.350000000000001" hidden="1" customHeight="1">
      <c r="A99" s="1037" t="s">
        <v>744</v>
      </c>
      <c r="B99" s="1038" t="s">
        <v>745</v>
      </c>
      <c r="C99" s="1031"/>
      <c r="D99" s="1031"/>
      <c r="E99" s="1032"/>
      <c r="F99" s="3767"/>
      <c r="G99" s="3767"/>
      <c r="I99" s="1014" t="s">
        <v>733</v>
      </c>
      <c r="J99" s="1033"/>
      <c r="K99" s="1033"/>
      <c r="L99" s="1033"/>
      <c r="M99" s="1033"/>
      <c r="N99" s="1033"/>
      <c r="O99" s="1033"/>
      <c r="P99" s="1033" t="s">
        <v>575</v>
      </c>
      <c r="Q99" s="1033"/>
    </row>
    <row r="100" spans="1:17" ht="19.350000000000001" hidden="1" customHeight="1">
      <c r="A100" s="1037" t="s">
        <v>746</v>
      </c>
      <c r="B100" s="1038" t="s">
        <v>747</v>
      </c>
      <c r="C100" s="1031"/>
      <c r="D100" s="1031"/>
      <c r="E100" s="1032"/>
      <c r="F100" s="3767"/>
      <c r="G100" s="3767"/>
      <c r="I100" s="1014" t="s">
        <v>733</v>
      </c>
      <c r="J100" s="1033"/>
      <c r="K100" s="1033"/>
      <c r="L100" s="1033"/>
      <c r="M100" s="1033"/>
      <c r="N100" s="1033"/>
      <c r="O100" s="1033"/>
      <c r="P100" s="1033" t="s">
        <v>575</v>
      </c>
      <c r="Q100" s="1033"/>
    </row>
    <row r="101" spans="1:17" ht="19.350000000000001" hidden="1" customHeight="1">
      <c r="A101" s="1038" t="s">
        <v>748</v>
      </c>
      <c r="B101" s="1038" t="s">
        <v>749</v>
      </c>
      <c r="C101" s="1031"/>
      <c r="D101" s="1031"/>
      <c r="E101" s="1032"/>
      <c r="F101" s="3767"/>
      <c r="G101" s="3767"/>
      <c r="I101" s="1014" t="s">
        <v>733</v>
      </c>
      <c r="J101" s="1033"/>
      <c r="K101" s="1033"/>
      <c r="L101" s="1033"/>
      <c r="M101" s="1033"/>
      <c r="N101" s="1033"/>
      <c r="O101" s="1033"/>
      <c r="P101" s="1033" t="s">
        <v>575</v>
      </c>
      <c r="Q101" s="1033"/>
    </row>
    <row r="102" spans="1:17" ht="19.350000000000001" hidden="1" customHeight="1">
      <c r="A102" s="1038" t="s">
        <v>750</v>
      </c>
      <c r="B102" s="1038" t="s">
        <v>751</v>
      </c>
      <c r="C102" s="1031"/>
      <c r="D102" s="1031"/>
      <c r="E102" s="1032"/>
      <c r="F102" s="3767"/>
      <c r="G102" s="3767"/>
      <c r="I102" s="1014" t="s">
        <v>733</v>
      </c>
      <c r="J102" s="1033"/>
      <c r="K102" s="1033"/>
      <c r="L102" s="1033"/>
      <c r="M102" s="1033"/>
      <c r="N102" s="1033"/>
      <c r="O102" s="1033"/>
      <c r="P102" s="1033" t="s">
        <v>575</v>
      </c>
      <c r="Q102" s="1033"/>
    </row>
    <row r="103" spans="1:17" ht="19.350000000000001" hidden="1" customHeight="1">
      <c r="A103" s="1038" t="s">
        <v>752</v>
      </c>
      <c r="B103" s="1038" t="s">
        <v>753</v>
      </c>
      <c r="C103" s="1031"/>
      <c r="D103" s="1031"/>
      <c r="E103" s="1032"/>
      <c r="F103" s="3767"/>
      <c r="G103" s="3767"/>
      <c r="I103" s="1014">
        <v>8</v>
      </c>
      <c r="J103" s="1033"/>
      <c r="K103" s="1033"/>
      <c r="L103" s="1033"/>
      <c r="M103" s="1033"/>
      <c r="N103" s="1033"/>
      <c r="O103" s="1033"/>
      <c r="P103" s="1033" t="s">
        <v>575</v>
      </c>
      <c r="Q103" s="1033"/>
    </row>
    <row r="104" spans="1:17" ht="19.350000000000001" hidden="1" customHeight="1">
      <c r="A104" s="1038" t="s">
        <v>891</v>
      </c>
      <c r="B104" s="1038" t="s">
        <v>892</v>
      </c>
      <c r="C104" s="1031"/>
      <c r="D104" s="1031"/>
      <c r="E104" s="1032"/>
      <c r="F104" s="3767"/>
      <c r="G104" s="3767"/>
      <c r="J104" s="1033"/>
      <c r="K104" s="1033"/>
      <c r="L104" s="1033"/>
      <c r="M104" s="1033"/>
      <c r="N104" s="1033"/>
      <c r="O104" s="1033"/>
      <c r="P104" s="1033" t="s">
        <v>575</v>
      </c>
      <c r="Q104" s="1033"/>
    </row>
    <row r="105" spans="1:17" ht="31.5" hidden="1" customHeight="1">
      <c r="A105" s="1041" t="s">
        <v>893</v>
      </c>
      <c r="B105" s="1038" t="s">
        <v>894</v>
      </c>
      <c r="C105" s="1031"/>
      <c r="D105" s="1031"/>
      <c r="E105" s="1031"/>
      <c r="F105" s="3767"/>
      <c r="G105" s="3767"/>
      <c r="J105" s="1033"/>
      <c r="K105" s="1033"/>
      <c r="L105" s="1033"/>
      <c r="M105" s="1033"/>
      <c r="N105" s="1033"/>
      <c r="O105" s="1033"/>
      <c r="P105" s="1033" t="s">
        <v>575</v>
      </c>
      <c r="Q105" s="1033"/>
    </row>
    <row r="106" spans="1:17" ht="19.350000000000001" customHeight="1">
      <c r="A106" s="1023">
        <v>6</v>
      </c>
      <c r="B106" s="1045" t="s">
        <v>754</v>
      </c>
      <c r="C106" s="1036"/>
      <c r="D106" s="1036"/>
      <c r="E106" s="1036"/>
      <c r="F106" s="3112"/>
      <c r="G106" s="3111"/>
      <c r="J106" s="1033"/>
      <c r="K106" s="1033"/>
      <c r="L106" s="1033"/>
      <c r="M106" s="1033"/>
      <c r="N106" s="1033"/>
      <c r="O106" s="1033"/>
      <c r="P106" s="1033"/>
      <c r="Q106" s="1033"/>
    </row>
    <row r="107" spans="1:17" ht="31.5" customHeight="1">
      <c r="A107" s="1034">
        <v>6.1</v>
      </c>
      <c r="B107" s="1035" t="s">
        <v>755</v>
      </c>
      <c r="C107" s="1031"/>
      <c r="D107" s="1031"/>
      <c r="E107" s="1031"/>
      <c r="F107" s="3767"/>
      <c r="G107" s="3767"/>
      <c r="J107" s="1033"/>
      <c r="K107" s="1033"/>
      <c r="L107" s="1033"/>
      <c r="M107" s="1033"/>
      <c r="N107" s="1033"/>
      <c r="O107" s="1033"/>
      <c r="P107" s="1033"/>
      <c r="Q107" s="1033"/>
    </row>
    <row r="108" spans="1:17" ht="45.75" hidden="1" customHeight="1">
      <c r="A108" s="1037" t="s">
        <v>756</v>
      </c>
      <c r="B108" s="1038" t="s">
        <v>757</v>
      </c>
      <c r="C108" s="1031"/>
      <c r="D108" s="1031"/>
      <c r="E108" s="1032"/>
      <c r="F108" s="3767"/>
      <c r="G108" s="3767"/>
      <c r="J108" s="1033"/>
      <c r="K108" s="1033"/>
      <c r="L108" s="1033"/>
      <c r="M108" s="1033"/>
      <c r="N108" s="1033"/>
      <c r="O108" s="1033"/>
      <c r="P108" s="1033"/>
      <c r="Q108" s="1033"/>
    </row>
    <row r="109" spans="1:17" ht="59.25" hidden="1" customHeight="1">
      <c r="A109" s="1037" t="s">
        <v>758</v>
      </c>
      <c r="B109" s="1038" t="s">
        <v>759</v>
      </c>
      <c r="C109" s="1031"/>
      <c r="D109" s="1031"/>
      <c r="E109" s="1032"/>
      <c r="F109" s="3767"/>
      <c r="G109" s="3767"/>
      <c r="I109" s="1014" t="s">
        <v>760</v>
      </c>
      <c r="J109" s="1033"/>
      <c r="K109" s="1033"/>
      <c r="L109" s="1033"/>
      <c r="M109" s="1033"/>
      <c r="N109" s="1033"/>
      <c r="O109" s="1033"/>
      <c r="P109" s="1033"/>
      <c r="Q109" s="1033"/>
    </row>
    <row r="110" spans="1:17" ht="45.75" hidden="1" customHeight="1">
      <c r="A110" s="1037" t="s">
        <v>761</v>
      </c>
      <c r="B110" s="1038" t="s">
        <v>762</v>
      </c>
      <c r="C110" s="1031"/>
      <c r="D110" s="1031"/>
      <c r="E110" s="1032"/>
      <c r="F110" s="3767"/>
      <c r="G110" s="3767"/>
      <c r="I110" s="1014" t="s">
        <v>760</v>
      </c>
      <c r="J110" s="1033"/>
      <c r="K110" s="1033"/>
      <c r="L110" s="1033"/>
      <c r="M110" s="1033"/>
      <c r="N110" s="1033"/>
      <c r="O110" s="1033"/>
      <c r="P110" s="1033"/>
      <c r="Q110" s="1033"/>
    </row>
    <row r="111" spans="1:17" ht="19.350000000000001" customHeight="1">
      <c r="A111" s="1034">
        <v>6.2</v>
      </c>
      <c r="B111" s="1035" t="s">
        <v>763</v>
      </c>
      <c r="C111" s="1031"/>
      <c r="D111" s="1031"/>
      <c r="E111" s="1032"/>
      <c r="F111" s="3767"/>
      <c r="G111" s="3767"/>
      <c r="I111" s="1014">
        <v>6.3</v>
      </c>
      <c r="J111" s="1033"/>
      <c r="K111" s="1033"/>
      <c r="L111" s="1033"/>
      <c r="M111" s="1033"/>
      <c r="N111" s="1033"/>
      <c r="O111" s="1033"/>
      <c r="P111" s="1033"/>
      <c r="Q111" s="1033"/>
    </row>
    <row r="112" spans="1:17" ht="47.25" customHeight="1">
      <c r="A112" s="1034">
        <v>6.3</v>
      </c>
      <c r="B112" s="1035" t="s">
        <v>764</v>
      </c>
      <c r="C112" s="1031"/>
      <c r="D112" s="1031"/>
      <c r="E112" s="1032"/>
      <c r="F112" s="3767"/>
      <c r="G112" s="3767"/>
      <c r="I112" s="1014">
        <v>6.4</v>
      </c>
      <c r="J112" s="1033"/>
      <c r="K112" s="1033"/>
      <c r="L112" s="3110" t="s">
        <v>575</v>
      </c>
      <c r="M112" s="1033" t="s">
        <v>575</v>
      </c>
      <c r="N112" s="1033" t="s">
        <v>575</v>
      </c>
      <c r="O112" s="1033"/>
      <c r="P112" s="1033"/>
      <c r="Q112" s="1033"/>
    </row>
    <row r="113" spans="1:17" ht="19.350000000000001" customHeight="1">
      <c r="A113" s="1034">
        <v>6.4</v>
      </c>
      <c r="B113" s="1035" t="s">
        <v>765</v>
      </c>
      <c r="C113" s="1031"/>
      <c r="D113" s="1031"/>
      <c r="E113" s="1032"/>
      <c r="F113" s="3767"/>
      <c r="G113" s="3767"/>
      <c r="I113" s="1014" t="s">
        <v>766</v>
      </c>
      <c r="J113" s="1033"/>
      <c r="K113" s="1033"/>
      <c r="L113" s="1033"/>
      <c r="M113" s="1033"/>
      <c r="N113" s="1033"/>
      <c r="O113" s="1033"/>
      <c r="P113" s="1033"/>
      <c r="Q113" s="1033"/>
    </row>
    <row r="114" spans="1:17" ht="30" hidden="1" customHeight="1">
      <c r="A114" s="1037" t="s">
        <v>767</v>
      </c>
      <c r="B114" s="1038" t="s">
        <v>768</v>
      </c>
      <c r="C114" s="1031"/>
      <c r="D114" s="1031"/>
      <c r="E114" s="1032"/>
      <c r="F114" s="3767"/>
      <c r="G114" s="3767"/>
      <c r="I114" s="1014" t="s">
        <v>766</v>
      </c>
      <c r="J114" s="1033"/>
      <c r="K114" s="1033"/>
      <c r="L114" s="1033"/>
      <c r="M114" s="1033"/>
      <c r="N114" s="1033"/>
      <c r="O114" s="1033"/>
      <c r="P114" s="1033"/>
      <c r="Q114" s="1033"/>
    </row>
    <row r="115" spans="1:17" ht="31.5" customHeight="1">
      <c r="A115" s="1034">
        <v>6.5</v>
      </c>
      <c r="B115" s="1035" t="s">
        <v>769</v>
      </c>
      <c r="C115" s="1031"/>
      <c r="D115" s="1031"/>
      <c r="E115" s="1032"/>
      <c r="F115" s="3767"/>
      <c r="G115" s="3767"/>
      <c r="I115" s="1014" t="s">
        <v>770</v>
      </c>
      <c r="J115" s="1033"/>
      <c r="K115" s="1033"/>
      <c r="L115" s="1033"/>
      <c r="M115" s="1033"/>
      <c r="N115" s="1033"/>
      <c r="O115" s="1033"/>
      <c r="P115" s="1033"/>
      <c r="Q115" s="1033"/>
    </row>
    <row r="116" spans="1:17" ht="19.350000000000001" customHeight="1">
      <c r="A116" s="1034">
        <v>6.6</v>
      </c>
      <c r="B116" s="1035" t="s">
        <v>771</v>
      </c>
      <c r="C116" s="1031"/>
      <c r="D116" s="1031"/>
      <c r="E116" s="1032"/>
      <c r="F116" s="3767"/>
      <c r="G116" s="3767"/>
      <c r="I116" s="1014">
        <v>6.6</v>
      </c>
      <c r="J116" s="1033"/>
      <c r="K116" s="1033"/>
      <c r="L116" s="1033" t="s">
        <v>575</v>
      </c>
      <c r="M116" s="1033" t="s">
        <v>575</v>
      </c>
      <c r="N116" s="1033" t="s">
        <v>575</v>
      </c>
      <c r="O116" s="1033"/>
      <c r="P116" s="1033"/>
      <c r="Q116" s="1033"/>
    </row>
    <row r="117" spans="1:17" ht="33.6" hidden="1" customHeight="1">
      <c r="A117" s="1037" t="s">
        <v>772</v>
      </c>
      <c r="B117" s="1038" t="s">
        <v>773</v>
      </c>
      <c r="C117" s="1031"/>
      <c r="D117" s="1031"/>
      <c r="E117" s="1032"/>
      <c r="F117" s="3767"/>
      <c r="G117" s="3767"/>
      <c r="J117" s="1033"/>
      <c r="K117" s="1033"/>
      <c r="L117" s="1033" t="s">
        <v>575</v>
      </c>
      <c r="M117" s="1033" t="s">
        <v>575</v>
      </c>
      <c r="N117" s="1033" t="s">
        <v>575</v>
      </c>
      <c r="O117" s="1033"/>
      <c r="P117" s="1033"/>
      <c r="Q117" s="1033"/>
    </row>
    <row r="118" spans="1:17" ht="33.6" hidden="1" customHeight="1">
      <c r="A118" s="1037" t="s">
        <v>774</v>
      </c>
      <c r="B118" s="1038" t="s">
        <v>775</v>
      </c>
      <c r="C118" s="1031"/>
      <c r="D118" s="1031"/>
      <c r="E118" s="1031"/>
      <c r="F118" s="3767"/>
      <c r="G118" s="3767"/>
      <c r="I118" s="1014">
        <f>6.61</f>
        <v>6.61</v>
      </c>
      <c r="J118" s="1033"/>
      <c r="K118" s="1033"/>
      <c r="L118" s="1033" t="s">
        <v>575</v>
      </c>
      <c r="M118" s="1033" t="s">
        <v>575</v>
      </c>
      <c r="N118" s="1033" t="s">
        <v>575</v>
      </c>
      <c r="O118" s="1033"/>
      <c r="P118" s="1033"/>
      <c r="Q118" s="1033"/>
    </row>
    <row r="119" spans="1:17" ht="19.350000000000001" hidden="1" customHeight="1">
      <c r="A119" s="1037" t="s">
        <v>776</v>
      </c>
      <c r="B119" s="1038" t="s">
        <v>777</v>
      </c>
      <c r="C119" s="1031"/>
      <c r="D119" s="1031"/>
      <c r="E119" s="1031"/>
      <c r="F119" s="3767"/>
      <c r="G119" s="3767"/>
      <c r="I119" s="1014">
        <f>6.61</f>
        <v>6.61</v>
      </c>
      <c r="J119" s="1033"/>
      <c r="K119" s="1033"/>
      <c r="L119" s="1033" t="s">
        <v>575</v>
      </c>
      <c r="M119" s="1033" t="s">
        <v>575</v>
      </c>
      <c r="N119" s="1033" t="s">
        <v>575</v>
      </c>
      <c r="O119" s="1033"/>
      <c r="P119" s="1033"/>
      <c r="Q119" s="1033"/>
    </row>
    <row r="120" spans="1:17" ht="19.350000000000001" hidden="1" customHeight="1">
      <c r="A120" s="1037" t="s">
        <v>778</v>
      </c>
      <c r="B120" s="1038" t="s">
        <v>779</v>
      </c>
      <c r="C120" s="1031"/>
      <c r="D120" s="1031"/>
      <c r="E120" s="1031"/>
      <c r="F120" s="3767"/>
      <c r="G120" s="3767"/>
      <c r="I120" s="1014">
        <f>6.61</f>
        <v>6.61</v>
      </c>
      <c r="J120" s="1033"/>
      <c r="K120" s="1033"/>
      <c r="L120" s="1033" t="s">
        <v>575</v>
      </c>
      <c r="M120" s="1033" t="s">
        <v>575</v>
      </c>
      <c r="N120" s="1033" t="s">
        <v>575</v>
      </c>
      <c r="O120" s="1033"/>
      <c r="P120" s="1033"/>
      <c r="Q120" s="1033"/>
    </row>
    <row r="121" spans="1:17" ht="19.350000000000001" hidden="1" customHeight="1">
      <c r="A121" s="1037" t="s">
        <v>780</v>
      </c>
      <c r="B121" s="1038" t="s">
        <v>781</v>
      </c>
      <c r="C121" s="1031"/>
      <c r="D121" s="1031"/>
      <c r="E121" s="1031"/>
      <c r="F121" s="3767"/>
      <c r="G121" s="3767"/>
      <c r="I121" s="1014">
        <f>6.61</f>
        <v>6.61</v>
      </c>
      <c r="J121" s="1033"/>
      <c r="K121" s="1033"/>
      <c r="L121" s="1033" t="s">
        <v>575</v>
      </c>
      <c r="M121" s="1033" t="s">
        <v>575</v>
      </c>
      <c r="N121" s="1033" t="s">
        <v>575</v>
      </c>
      <c r="O121" s="1033"/>
      <c r="P121" s="1033"/>
      <c r="Q121" s="1033"/>
    </row>
    <row r="122" spans="1:17" ht="33" hidden="1" customHeight="1">
      <c r="A122" s="1034">
        <v>6.7</v>
      </c>
      <c r="B122" s="1035" t="s">
        <v>879</v>
      </c>
      <c r="C122" s="1031"/>
      <c r="D122" s="1031"/>
      <c r="E122" s="1031"/>
      <c r="F122" s="3767"/>
      <c r="G122" s="3767"/>
      <c r="J122" s="1033"/>
      <c r="K122" s="1033" t="s">
        <v>575</v>
      </c>
      <c r="L122" s="1033" t="s">
        <v>575</v>
      </c>
      <c r="M122" s="1033" t="s">
        <v>575</v>
      </c>
      <c r="N122" s="1033" t="s">
        <v>575</v>
      </c>
      <c r="O122" s="1033"/>
      <c r="P122" s="1033"/>
      <c r="Q122" s="1033"/>
    </row>
    <row r="123" spans="1:17" ht="32.25" hidden="1" customHeight="1">
      <c r="A123" s="1037" t="s">
        <v>783</v>
      </c>
      <c r="B123" s="1038" t="s">
        <v>1542</v>
      </c>
      <c r="C123" s="1031"/>
      <c r="D123" s="1031"/>
      <c r="E123" s="1032"/>
      <c r="F123" s="3767"/>
      <c r="G123" s="3767"/>
      <c r="J123" s="1033"/>
      <c r="K123" s="1033" t="s">
        <v>575</v>
      </c>
      <c r="L123" s="1033" t="s">
        <v>575</v>
      </c>
      <c r="M123" s="1033" t="s">
        <v>575</v>
      </c>
      <c r="N123" s="1033" t="s">
        <v>575</v>
      </c>
      <c r="O123" s="1033"/>
      <c r="P123" s="1033"/>
      <c r="Q123" s="1033"/>
    </row>
    <row r="124" spans="1:17" ht="19.350000000000001" hidden="1" customHeight="1">
      <c r="A124" s="1034">
        <v>6.8</v>
      </c>
      <c r="B124" s="1035" t="s">
        <v>782</v>
      </c>
      <c r="C124" s="1031"/>
      <c r="D124" s="1031"/>
      <c r="E124" s="1031"/>
      <c r="F124" s="3767"/>
      <c r="G124" s="3767"/>
      <c r="I124" s="1014" t="s">
        <v>783</v>
      </c>
      <c r="J124" s="1033"/>
      <c r="K124" s="1033" t="s">
        <v>575</v>
      </c>
      <c r="L124" s="1033" t="s">
        <v>575</v>
      </c>
      <c r="M124" s="1033" t="s">
        <v>575</v>
      </c>
      <c r="N124" s="1033" t="s">
        <v>575</v>
      </c>
      <c r="O124" s="1033"/>
      <c r="P124" s="1033"/>
      <c r="Q124" s="1033"/>
    </row>
    <row r="125" spans="1:17" ht="19.350000000000001" hidden="1" customHeight="1">
      <c r="A125" s="1037" t="s">
        <v>791</v>
      </c>
      <c r="B125" s="1038" t="s">
        <v>784</v>
      </c>
      <c r="C125" s="1031"/>
      <c r="D125" s="1031"/>
      <c r="E125" s="1032"/>
      <c r="F125" s="3767"/>
      <c r="G125" s="3767"/>
      <c r="I125" s="1014" t="s">
        <v>785</v>
      </c>
      <c r="J125" s="1033"/>
      <c r="K125" s="1033" t="s">
        <v>575</v>
      </c>
      <c r="L125" s="1033" t="s">
        <v>575</v>
      </c>
      <c r="M125" s="1033" t="s">
        <v>575</v>
      </c>
      <c r="N125" s="1033" t="s">
        <v>575</v>
      </c>
      <c r="O125" s="1033"/>
      <c r="P125" s="1033"/>
      <c r="Q125" s="1033"/>
    </row>
    <row r="126" spans="1:17" ht="33.6" hidden="1" customHeight="1">
      <c r="A126" s="1037" t="s">
        <v>793</v>
      </c>
      <c r="B126" s="1038" t="s">
        <v>786</v>
      </c>
      <c r="C126" s="1031"/>
      <c r="D126" s="1031"/>
      <c r="E126" s="1032"/>
      <c r="F126" s="3767"/>
      <c r="G126" s="3767"/>
      <c r="I126" s="1014" t="s">
        <v>787</v>
      </c>
      <c r="J126" s="1033"/>
      <c r="K126" s="1033" t="s">
        <v>575</v>
      </c>
      <c r="L126" s="1033" t="s">
        <v>575</v>
      </c>
      <c r="M126" s="1033" t="s">
        <v>575</v>
      </c>
      <c r="N126" s="1033" t="s">
        <v>575</v>
      </c>
      <c r="O126" s="1033"/>
      <c r="P126" s="1033"/>
      <c r="Q126" s="1033"/>
    </row>
    <row r="127" spans="1:17" ht="33.6" hidden="1" customHeight="1">
      <c r="A127" s="1037" t="s">
        <v>796</v>
      </c>
      <c r="B127" s="1038" t="s">
        <v>788</v>
      </c>
      <c r="C127" s="1031"/>
      <c r="D127" s="1031"/>
      <c r="E127" s="1031"/>
      <c r="F127" s="3767"/>
      <c r="G127" s="3767"/>
      <c r="I127" s="1014" t="s">
        <v>789</v>
      </c>
      <c r="J127" s="1033"/>
      <c r="K127" s="1033" t="s">
        <v>575</v>
      </c>
      <c r="L127" s="1033" t="s">
        <v>575</v>
      </c>
      <c r="M127" s="1033" t="s">
        <v>575</v>
      </c>
      <c r="N127" s="1033" t="s">
        <v>575</v>
      </c>
      <c r="O127" s="1033"/>
      <c r="P127" s="1033"/>
      <c r="Q127" s="1033"/>
    </row>
    <row r="128" spans="1:17" ht="19.350000000000001" customHeight="1">
      <c r="A128" s="1034">
        <v>6.9</v>
      </c>
      <c r="B128" s="1035" t="s">
        <v>790</v>
      </c>
      <c r="C128" s="1031"/>
      <c r="D128" s="1031"/>
      <c r="E128" s="1031"/>
      <c r="F128" s="3767"/>
      <c r="G128" s="3767"/>
      <c r="J128" s="1033" t="s">
        <v>575</v>
      </c>
      <c r="K128" s="1033"/>
      <c r="L128" s="1033" t="s">
        <v>575</v>
      </c>
      <c r="M128" s="1033" t="s">
        <v>575</v>
      </c>
      <c r="N128" s="1033" t="s">
        <v>575</v>
      </c>
      <c r="O128" s="1033"/>
      <c r="P128" s="1033"/>
      <c r="Q128" s="1033"/>
    </row>
    <row r="129" spans="1:17" ht="19.350000000000001" hidden="1" customHeight="1">
      <c r="A129" s="1037" t="s">
        <v>880</v>
      </c>
      <c r="B129" s="1035" t="s">
        <v>792</v>
      </c>
      <c r="C129" s="1031"/>
      <c r="D129" s="1031"/>
      <c r="E129" s="1032"/>
      <c r="F129" s="3767"/>
      <c r="G129" s="3767"/>
      <c r="J129" s="1033" t="s">
        <v>575</v>
      </c>
      <c r="K129" s="1033"/>
      <c r="L129" s="1033" t="s">
        <v>575</v>
      </c>
      <c r="M129" s="1033" t="s">
        <v>575</v>
      </c>
      <c r="N129" s="1033" t="s">
        <v>575</v>
      </c>
      <c r="O129" s="1033"/>
      <c r="P129" s="1033"/>
      <c r="Q129" s="1033"/>
    </row>
    <row r="130" spans="1:17" ht="19.350000000000001" hidden="1" customHeight="1">
      <c r="A130" s="1037" t="s">
        <v>881</v>
      </c>
      <c r="B130" s="1038" t="s">
        <v>794</v>
      </c>
      <c r="C130" s="1031"/>
      <c r="D130" s="1031"/>
      <c r="E130" s="1032"/>
      <c r="F130" s="3767"/>
      <c r="G130" s="3767"/>
      <c r="I130" s="1014" t="s">
        <v>795</v>
      </c>
      <c r="J130" s="1033" t="s">
        <v>575</v>
      </c>
      <c r="K130" s="1033"/>
      <c r="L130" s="1033" t="s">
        <v>575</v>
      </c>
      <c r="M130" s="1033" t="s">
        <v>575</v>
      </c>
      <c r="N130" s="1033" t="s">
        <v>575</v>
      </c>
      <c r="O130" s="1033"/>
      <c r="P130" s="1033"/>
      <c r="Q130" s="1033"/>
    </row>
    <row r="131" spans="1:17" ht="19.350000000000001" hidden="1" customHeight="1">
      <c r="A131" s="1037" t="s">
        <v>882</v>
      </c>
      <c r="B131" s="1038" t="s">
        <v>797</v>
      </c>
      <c r="C131" s="1031"/>
      <c r="D131" s="1031"/>
      <c r="E131" s="1032"/>
      <c r="F131" s="3767"/>
      <c r="G131" s="3767"/>
      <c r="I131" s="1014" t="s">
        <v>798</v>
      </c>
      <c r="J131" s="1033" t="s">
        <v>575</v>
      </c>
      <c r="K131" s="1033"/>
      <c r="L131" s="1033" t="s">
        <v>575</v>
      </c>
      <c r="M131" s="1033" t="s">
        <v>575</v>
      </c>
      <c r="N131" s="1033" t="s">
        <v>575</v>
      </c>
      <c r="O131" s="1033"/>
      <c r="P131" s="1033"/>
      <c r="Q131" s="1033"/>
    </row>
    <row r="132" spans="1:17" ht="19.350000000000001" hidden="1" customHeight="1">
      <c r="A132" s="1037" t="s">
        <v>883</v>
      </c>
      <c r="B132" s="1038" t="s">
        <v>799</v>
      </c>
      <c r="C132" s="1031"/>
      <c r="D132" s="1031"/>
      <c r="E132" s="1032"/>
      <c r="F132" s="3767"/>
      <c r="G132" s="3767"/>
      <c r="I132" s="1014" t="s">
        <v>800</v>
      </c>
      <c r="J132" s="1033" t="s">
        <v>575</v>
      </c>
      <c r="K132" s="1033"/>
      <c r="L132" s="1033" t="s">
        <v>575</v>
      </c>
      <c r="M132" s="1033" t="s">
        <v>575</v>
      </c>
      <c r="N132" s="1033" t="s">
        <v>575</v>
      </c>
      <c r="O132" s="1033"/>
      <c r="P132" s="1033"/>
      <c r="Q132" s="1033"/>
    </row>
    <row r="133" spans="1:17" ht="19.350000000000001" hidden="1" customHeight="1">
      <c r="A133" s="1037" t="s">
        <v>884</v>
      </c>
      <c r="B133" s="1038" t="s">
        <v>801</v>
      </c>
      <c r="C133" s="1031"/>
      <c r="D133" s="1031"/>
      <c r="E133" s="1032"/>
      <c r="F133" s="3767"/>
      <c r="G133" s="3767"/>
      <c r="I133" s="1014" t="s">
        <v>802</v>
      </c>
      <c r="J133" s="1033" t="s">
        <v>575</v>
      </c>
      <c r="K133" s="1033"/>
      <c r="L133" s="1033" t="s">
        <v>575</v>
      </c>
      <c r="M133" s="1033" t="s">
        <v>575</v>
      </c>
      <c r="N133" s="1033" t="s">
        <v>575</v>
      </c>
      <c r="O133" s="1033"/>
      <c r="P133" s="1033"/>
      <c r="Q133" s="1033"/>
    </row>
    <row r="134" spans="1:17" ht="19.350000000000001" hidden="1" customHeight="1">
      <c r="A134" s="1037" t="s">
        <v>885</v>
      </c>
      <c r="B134" s="1038" t="s">
        <v>803</v>
      </c>
      <c r="C134" s="1031"/>
      <c r="D134" s="1031"/>
      <c r="E134" s="1032"/>
      <c r="F134" s="3767"/>
      <c r="G134" s="3767"/>
      <c r="I134" s="1014" t="s">
        <v>804</v>
      </c>
      <c r="J134" s="1033" t="s">
        <v>575</v>
      </c>
      <c r="K134" s="1033"/>
      <c r="L134" s="1033" t="s">
        <v>575</v>
      </c>
      <c r="M134" s="1033" t="s">
        <v>575</v>
      </c>
      <c r="N134" s="1033" t="s">
        <v>575</v>
      </c>
      <c r="O134" s="1033"/>
      <c r="P134" s="1033"/>
      <c r="Q134" s="1033"/>
    </row>
    <row r="135" spans="1:17" ht="19.350000000000001" hidden="1" customHeight="1">
      <c r="A135" s="1037" t="s">
        <v>886</v>
      </c>
      <c r="B135" s="1038" t="s">
        <v>805</v>
      </c>
      <c r="C135" s="1031"/>
      <c r="D135" s="1031"/>
      <c r="E135" s="1032"/>
      <c r="F135" s="3767"/>
      <c r="G135" s="3767"/>
      <c r="I135" s="1014" t="s">
        <v>806</v>
      </c>
      <c r="J135" s="1033" t="s">
        <v>575</v>
      </c>
      <c r="K135" s="1033"/>
      <c r="L135" s="1033" t="s">
        <v>575</v>
      </c>
      <c r="M135" s="1033" t="s">
        <v>575</v>
      </c>
      <c r="N135" s="1033" t="s">
        <v>575</v>
      </c>
      <c r="O135" s="1033"/>
      <c r="P135" s="1033"/>
      <c r="Q135" s="1033"/>
    </row>
    <row r="136" spans="1:17" ht="19.350000000000001" hidden="1" customHeight="1">
      <c r="A136" s="1037" t="s">
        <v>887</v>
      </c>
      <c r="B136" s="1038" t="s">
        <v>807</v>
      </c>
      <c r="C136" s="1031"/>
      <c r="D136" s="1031"/>
      <c r="E136" s="1032"/>
      <c r="F136" s="3767"/>
      <c r="G136" s="3767"/>
      <c r="I136" s="1014" t="s">
        <v>808</v>
      </c>
      <c r="J136" s="1033" t="s">
        <v>575</v>
      </c>
      <c r="K136" s="1033"/>
      <c r="L136" s="1033" t="s">
        <v>575</v>
      </c>
      <c r="M136" s="1033" t="s">
        <v>575</v>
      </c>
      <c r="N136" s="1033" t="s">
        <v>575</v>
      </c>
      <c r="O136" s="1033"/>
      <c r="P136" s="1033"/>
      <c r="Q136" s="1033"/>
    </row>
    <row r="137" spans="1:17" ht="19.350000000000001" hidden="1" customHeight="1">
      <c r="A137" s="1037" t="s">
        <v>888</v>
      </c>
      <c r="B137" s="1038" t="s">
        <v>809</v>
      </c>
      <c r="C137" s="1031"/>
      <c r="D137" s="1031"/>
      <c r="E137" s="1032"/>
      <c r="F137" s="3767"/>
      <c r="G137" s="3767"/>
      <c r="I137" s="1014" t="s">
        <v>810</v>
      </c>
      <c r="J137" s="1033" t="s">
        <v>575</v>
      </c>
      <c r="K137" s="1033"/>
      <c r="L137" s="1033" t="s">
        <v>575</v>
      </c>
      <c r="M137" s="1033" t="s">
        <v>575</v>
      </c>
      <c r="N137" s="1033" t="s">
        <v>575</v>
      </c>
      <c r="O137" s="1033"/>
      <c r="P137" s="1033"/>
      <c r="Q137" s="1033"/>
    </row>
    <row r="138" spans="1:17" ht="19.350000000000001" hidden="1" customHeight="1">
      <c r="A138" s="1037" t="s">
        <v>889</v>
      </c>
      <c r="B138" s="1038" t="s">
        <v>811</v>
      </c>
      <c r="C138" s="1031"/>
      <c r="D138" s="1031"/>
      <c r="E138" s="1032"/>
      <c r="F138" s="3767"/>
      <c r="G138" s="3767"/>
      <c r="J138" s="1033" t="s">
        <v>575</v>
      </c>
      <c r="K138" s="1033"/>
      <c r="L138" s="1033" t="s">
        <v>575</v>
      </c>
      <c r="M138" s="1033" t="s">
        <v>575</v>
      </c>
      <c r="N138" s="1033" t="s">
        <v>575</v>
      </c>
      <c r="O138" s="1033"/>
      <c r="P138" s="1033"/>
      <c r="Q138" s="1033"/>
    </row>
    <row r="139" spans="1:17" ht="35.25" customHeight="1">
      <c r="A139" s="1046" t="s">
        <v>890</v>
      </c>
      <c r="B139" s="1038" t="s">
        <v>1765</v>
      </c>
      <c r="C139" s="1031"/>
      <c r="D139" s="1031"/>
      <c r="E139" s="1031"/>
      <c r="F139" s="3767"/>
      <c r="G139" s="3767"/>
      <c r="I139" s="1014">
        <v>2.2000000000000002</v>
      </c>
      <c r="J139" s="1033" t="s">
        <v>575</v>
      </c>
      <c r="K139" s="1033"/>
      <c r="L139" s="1033" t="s">
        <v>575</v>
      </c>
      <c r="M139" s="1033" t="s">
        <v>575</v>
      </c>
      <c r="N139" s="1033" t="s">
        <v>575</v>
      </c>
      <c r="O139" s="1033"/>
      <c r="P139" s="1033"/>
      <c r="Q139" s="1033"/>
    </row>
    <row r="140" spans="1:17" ht="20.100000000000001" customHeight="1">
      <c r="A140" s="1023">
        <v>7</v>
      </c>
      <c r="B140" s="1027" t="s">
        <v>812</v>
      </c>
      <c r="C140" s="1036"/>
      <c r="D140" s="1036"/>
      <c r="E140" s="1036"/>
      <c r="F140" s="3767"/>
      <c r="G140" s="3767"/>
      <c r="J140" s="1033"/>
      <c r="K140" s="1033"/>
      <c r="L140" s="1033"/>
      <c r="M140" s="1033"/>
      <c r="N140" s="1033"/>
      <c r="O140" s="1033"/>
      <c r="P140" s="1033"/>
      <c r="Q140" s="1033"/>
    </row>
    <row r="141" spans="1:17" ht="19.350000000000001" customHeight="1">
      <c r="A141" s="1034">
        <v>7.1</v>
      </c>
      <c r="B141" s="1035" t="s">
        <v>813</v>
      </c>
      <c r="C141" s="1031"/>
      <c r="D141" s="1031"/>
      <c r="E141" s="1047"/>
      <c r="F141" s="3767"/>
      <c r="G141" s="3767"/>
      <c r="J141" s="1033"/>
      <c r="K141" s="1033"/>
      <c r="L141" s="1033"/>
      <c r="M141" s="1033"/>
      <c r="N141" s="1033"/>
      <c r="O141" s="1033"/>
      <c r="P141" s="1033"/>
      <c r="Q141" s="1033"/>
    </row>
    <row r="142" spans="1:17" ht="30.75" hidden="1" customHeight="1">
      <c r="A142" s="1037" t="s">
        <v>814</v>
      </c>
      <c r="B142" s="1038" t="s">
        <v>815</v>
      </c>
      <c r="C142" s="1031"/>
      <c r="D142" s="1031"/>
      <c r="E142" s="1032"/>
      <c r="F142" s="3767"/>
      <c r="G142" s="3767"/>
      <c r="J142" s="1033"/>
      <c r="K142" s="1033"/>
      <c r="L142" s="1033"/>
      <c r="M142" s="1033"/>
      <c r="N142" s="1033"/>
      <c r="O142" s="1033"/>
      <c r="P142" s="1033"/>
      <c r="Q142" s="1033"/>
    </row>
    <row r="143" spans="1:17" ht="19.350000000000001" hidden="1" customHeight="1">
      <c r="A143" s="1037" t="s">
        <v>800</v>
      </c>
      <c r="B143" s="1038" t="s">
        <v>816</v>
      </c>
      <c r="C143" s="1031"/>
      <c r="D143" s="1031"/>
      <c r="E143" s="1032"/>
      <c r="F143" s="3767"/>
      <c r="G143" s="3767"/>
      <c r="I143" s="1014" t="s">
        <v>817</v>
      </c>
      <c r="J143" s="1033"/>
      <c r="K143" s="1033"/>
      <c r="L143" s="1033"/>
      <c r="M143" s="1033"/>
      <c r="N143" s="1033"/>
      <c r="O143" s="1033"/>
      <c r="P143" s="1033"/>
      <c r="Q143" s="1033"/>
    </row>
    <row r="144" spans="1:17" ht="30.75" hidden="1" customHeight="1">
      <c r="A144" s="1037" t="s">
        <v>818</v>
      </c>
      <c r="B144" s="1038" t="s">
        <v>819</v>
      </c>
      <c r="C144" s="1031"/>
      <c r="D144" s="1031"/>
      <c r="E144" s="1032"/>
      <c r="F144" s="3767"/>
      <c r="G144" s="3767"/>
      <c r="I144" s="1014" t="s">
        <v>820</v>
      </c>
      <c r="J144" s="1033"/>
      <c r="K144" s="1033"/>
      <c r="L144" s="1033"/>
      <c r="M144" s="1033"/>
      <c r="N144" s="1033"/>
      <c r="O144" s="1033"/>
      <c r="P144" s="1033"/>
      <c r="Q144" s="1033"/>
    </row>
    <row r="145" spans="1:17" ht="19.350000000000001" hidden="1" customHeight="1">
      <c r="A145" s="1037" t="s">
        <v>804</v>
      </c>
      <c r="B145" s="1038" t="s">
        <v>821</v>
      </c>
      <c r="C145" s="1031"/>
      <c r="D145" s="1031"/>
      <c r="E145" s="1032"/>
      <c r="F145" s="3767"/>
      <c r="G145" s="3767"/>
      <c r="I145" s="1014">
        <v>9.6</v>
      </c>
      <c r="J145" s="1033"/>
      <c r="K145" s="1033"/>
      <c r="L145" s="1033"/>
      <c r="M145" s="1033"/>
      <c r="N145" s="1033"/>
      <c r="O145" s="1033"/>
      <c r="P145" s="1033"/>
      <c r="Q145" s="1033"/>
    </row>
    <row r="146" spans="1:17" ht="19.350000000000001" hidden="1" customHeight="1">
      <c r="A146" s="1037" t="s">
        <v>806</v>
      </c>
      <c r="B146" s="1038" t="s">
        <v>822</v>
      </c>
      <c r="C146" s="1031"/>
      <c r="D146" s="1031"/>
      <c r="E146" s="1032"/>
      <c r="F146" s="3767"/>
      <c r="G146" s="3767"/>
      <c r="I146" s="1014" t="s">
        <v>823</v>
      </c>
      <c r="J146" s="1033"/>
      <c r="K146" s="1033" t="s">
        <v>575</v>
      </c>
      <c r="L146" s="1033" t="s">
        <v>575</v>
      </c>
      <c r="M146" s="1033" t="s">
        <v>575</v>
      </c>
      <c r="N146" s="1033" t="s">
        <v>575</v>
      </c>
      <c r="O146" s="1033"/>
      <c r="P146" s="1033"/>
      <c r="Q146" s="1033"/>
    </row>
    <row r="147" spans="1:17" ht="19.350000000000001" hidden="1" customHeight="1">
      <c r="A147" s="1037" t="s">
        <v>824</v>
      </c>
      <c r="B147" s="1038" t="s">
        <v>825</v>
      </c>
      <c r="C147" s="1031"/>
      <c r="D147" s="1031"/>
      <c r="E147" s="1032"/>
      <c r="F147" s="3767"/>
      <c r="G147" s="3767"/>
      <c r="I147" s="1014" t="s">
        <v>826</v>
      </c>
      <c r="J147" s="1033" t="s">
        <v>575</v>
      </c>
      <c r="K147" s="1033" t="s">
        <v>575</v>
      </c>
      <c r="L147" s="1033" t="s">
        <v>575</v>
      </c>
      <c r="M147" s="1033"/>
      <c r="N147" s="1033"/>
      <c r="O147" s="1033"/>
      <c r="P147" s="1033"/>
      <c r="Q147" s="1033"/>
    </row>
    <row r="148" spans="1:17" ht="19.350000000000001" hidden="1" customHeight="1">
      <c r="A148" s="1041" t="s">
        <v>827</v>
      </c>
      <c r="B148" s="1041" t="s">
        <v>828</v>
      </c>
      <c r="C148" s="1031"/>
      <c r="D148" s="1031"/>
      <c r="E148" s="1031"/>
      <c r="F148" s="3767"/>
      <c r="G148" s="3767"/>
      <c r="I148" s="1014" t="s">
        <v>826</v>
      </c>
      <c r="J148" s="1033" t="s">
        <v>575</v>
      </c>
      <c r="K148" s="1033" t="s">
        <v>575</v>
      </c>
      <c r="L148" s="1033" t="s">
        <v>575</v>
      </c>
      <c r="M148" s="1033"/>
      <c r="N148" s="1033"/>
      <c r="O148" s="1033"/>
      <c r="P148" s="1033"/>
      <c r="Q148" s="1033"/>
    </row>
    <row r="149" spans="1:17" ht="20.100000000000001" customHeight="1">
      <c r="A149" s="1023">
        <v>8</v>
      </c>
      <c r="B149" s="1048" t="s">
        <v>829</v>
      </c>
      <c r="C149" s="1031"/>
      <c r="D149" s="1031"/>
      <c r="E149" s="1036"/>
      <c r="F149" s="3767"/>
      <c r="G149" s="3767"/>
      <c r="J149" s="1033"/>
      <c r="K149" s="1033"/>
      <c r="L149" s="1033"/>
      <c r="M149" s="1033"/>
      <c r="N149" s="1033"/>
      <c r="O149" s="1033"/>
      <c r="P149" s="1033"/>
      <c r="Q149" s="1033" t="s">
        <v>575</v>
      </c>
    </row>
    <row r="150" spans="1:17" ht="31.5" customHeight="1">
      <c r="A150" s="1034">
        <v>8.1</v>
      </c>
      <c r="B150" s="1049" t="s">
        <v>830</v>
      </c>
      <c r="C150" s="1031"/>
      <c r="D150" s="1031"/>
      <c r="E150" s="1032"/>
      <c r="F150" s="3767"/>
      <c r="G150" s="3767"/>
      <c r="I150" s="1014">
        <v>10.3</v>
      </c>
      <c r="J150" s="1033"/>
      <c r="K150" s="1033"/>
      <c r="L150" s="1033"/>
      <c r="M150" s="1033"/>
      <c r="N150" s="1033"/>
      <c r="O150" s="1033"/>
      <c r="P150" s="1033"/>
      <c r="Q150" s="1033" t="s">
        <v>575</v>
      </c>
    </row>
    <row r="151" spans="1:17" ht="19.350000000000001" customHeight="1">
      <c r="A151" s="1034">
        <v>8.1999999999999993</v>
      </c>
      <c r="B151" s="1049" t="s">
        <v>831</v>
      </c>
      <c r="C151" s="1031"/>
      <c r="D151" s="1031"/>
      <c r="E151" s="1032"/>
      <c r="F151" s="3767"/>
      <c r="G151" s="3767"/>
      <c r="I151" s="1014">
        <v>10.6</v>
      </c>
      <c r="J151" s="1033"/>
      <c r="K151" s="1033"/>
      <c r="L151" s="1033"/>
      <c r="M151" s="1033"/>
      <c r="N151" s="1033"/>
      <c r="O151" s="1033"/>
      <c r="P151" s="1033"/>
      <c r="Q151" s="1033" t="s">
        <v>575</v>
      </c>
    </row>
    <row r="152" spans="1:17" ht="19.350000000000001" customHeight="1">
      <c r="A152" s="1034">
        <v>8.3000000000000007</v>
      </c>
      <c r="B152" s="1049" t="s">
        <v>832</v>
      </c>
      <c r="C152" s="1031"/>
      <c r="D152" s="1031"/>
      <c r="E152" s="1032"/>
      <c r="F152" s="3767"/>
      <c r="G152" s="3767"/>
      <c r="I152" s="1014">
        <v>10.4</v>
      </c>
      <c r="J152" s="1033"/>
      <c r="K152" s="1033"/>
      <c r="L152" s="1033"/>
      <c r="M152" s="1033"/>
      <c r="N152" s="1033"/>
      <c r="O152" s="1033"/>
      <c r="P152" s="1033"/>
      <c r="Q152" s="1033" t="s">
        <v>575</v>
      </c>
    </row>
    <row r="153" spans="1:17" ht="19.350000000000001" customHeight="1">
      <c r="A153" s="1034">
        <v>8.4</v>
      </c>
      <c r="B153" s="1049" t="s">
        <v>833</v>
      </c>
      <c r="C153" s="1031"/>
      <c r="D153" s="1031"/>
      <c r="E153" s="1032"/>
      <c r="F153" s="3767"/>
      <c r="G153" s="3767"/>
      <c r="I153" s="1014">
        <v>10.7</v>
      </c>
      <c r="J153" s="1033"/>
      <c r="K153" s="1033"/>
      <c r="L153" s="1033"/>
      <c r="M153" s="1033"/>
      <c r="N153" s="1033"/>
      <c r="O153" s="1033"/>
      <c r="P153" s="1033"/>
      <c r="Q153" s="1033" t="s">
        <v>575</v>
      </c>
    </row>
    <row r="154" spans="1:17" ht="20.100000000000001" customHeight="1">
      <c r="A154" s="1023">
        <v>9</v>
      </c>
      <c r="B154" s="1027" t="s">
        <v>834</v>
      </c>
      <c r="C154" s="1036"/>
      <c r="D154" s="1036"/>
      <c r="E154" s="1036"/>
      <c r="F154" s="3767"/>
      <c r="G154" s="3767"/>
      <c r="J154" s="1033"/>
      <c r="K154" s="1033"/>
      <c r="L154" s="1033"/>
      <c r="M154" s="1033"/>
      <c r="N154" s="1033"/>
      <c r="O154" s="1033"/>
      <c r="P154" s="1033"/>
      <c r="Q154" s="1033"/>
    </row>
    <row r="155" spans="1:17" ht="19.350000000000001" customHeight="1">
      <c r="A155" s="1034">
        <v>9.1</v>
      </c>
      <c r="B155" s="1035" t="s">
        <v>835</v>
      </c>
      <c r="C155" s="1031"/>
      <c r="D155" s="1031"/>
      <c r="E155" s="1050"/>
      <c r="F155" s="3767"/>
      <c r="G155" s="3767"/>
      <c r="I155" s="1014">
        <v>11</v>
      </c>
      <c r="J155" s="1033"/>
      <c r="K155" s="1033"/>
      <c r="L155" s="1033"/>
      <c r="M155" s="1033"/>
      <c r="N155" s="1033"/>
      <c r="O155" s="1033"/>
      <c r="P155" s="1033"/>
      <c r="Q155" s="1033"/>
    </row>
    <row r="156" spans="1:17" ht="19.5" hidden="1" customHeight="1">
      <c r="A156" s="1037" t="s">
        <v>836</v>
      </c>
      <c r="B156" s="1038" t="s">
        <v>1808</v>
      </c>
      <c r="C156" s="1031"/>
      <c r="D156" s="1031"/>
      <c r="E156" s="1032"/>
      <c r="F156" s="3767"/>
      <c r="G156" s="3767"/>
      <c r="I156" s="1014">
        <v>11</v>
      </c>
      <c r="J156" s="1033"/>
      <c r="K156" s="1033"/>
      <c r="L156" s="1033"/>
      <c r="M156" s="1033"/>
      <c r="N156" s="1033"/>
      <c r="O156" s="1033"/>
      <c r="P156" s="1033"/>
      <c r="Q156" s="1033"/>
    </row>
    <row r="157" spans="1:17" ht="19.350000000000001" hidden="1" customHeight="1">
      <c r="A157" s="1037" t="s">
        <v>837</v>
      </c>
      <c r="B157" s="1038" t="s">
        <v>838</v>
      </c>
      <c r="C157" s="1031"/>
      <c r="D157" s="1031"/>
      <c r="E157" s="1032"/>
      <c r="F157" s="3767"/>
      <c r="G157" s="3767"/>
      <c r="I157" s="1014">
        <v>11</v>
      </c>
      <c r="J157" s="1033"/>
      <c r="K157" s="1033"/>
      <c r="L157" s="1033"/>
      <c r="M157" s="1033"/>
      <c r="N157" s="1033"/>
      <c r="O157" s="1033"/>
      <c r="P157" s="1033"/>
      <c r="Q157" s="1033"/>
    </row>
    <row r="158" spans="1:17" ht="20.100000000000001" customHeight="1">
      <c r="A158" s="1023">
        <v>10</v>
      </c>
      <c r="B158" s="1512" t="s">
        <v>839</v>
      </c>
      <c r="C158" s="1036"/>
      <c r="D158" s="1036"/>
      <c r="E158" s="1050"/>
      <c r="F158" s="3767"/>
      <c r="G158" s="3767"/>
      <c r="J158" s="1033"/>
      <c r="K158" s="1033"/>
      <c r="L158" s="1033"/>
      <c r="M158" s="1033"/>
      <c r="N158" s="1033"/>
      <c r="O158" s="1033"/>
      <c r="P158" s="1033"/>
      <c r="Q158" s="1033"/>
    </row>
    <row r="159" spans="1:17" ht="20.100000000000001" customHeight="1">
      <c r="A159" s="1034">
        <v>10.1</v>
      </c>
      <c r="B159" s="1035" t="s">
        <v>840</v>
      </c>
      <c r="C159" s="1031"/>
      <c r="D159" s="1031"/>
      <c r="E159" s="1047"/>
      <c r="F159" s="3767"/>
      <c r="G159" s="3767"/>
      <c r="I159" s="1014">
        <v>2</v>
      </c>
      <c r="J159" s="1033"/>
      <c r="K159" s="1033"/>
      <c r="L159" s="1033"/>
      <c r="M159" s="1033"/>
      <c r="N159" s="1033"/>
      <c r="O159" s="1033"/>
      <c r="P159" s="1033"/>
      <c r="Q159" s="1033"/>
    </row>
    <row r="160" spans="1:17" ht="30.75" customHeight="1">
      <c r="A160" s="1034">
        <v>10.199999999999999</v>
      </c>
      <c r="B160" s="1035" t="s">
        <v>153</v>
      </c>
      <c r="C160" s="1031"/>
      <c r="D160" s="1031"/>
      <c r="E160" s="1031"/>
      <c r="F160" s="3767"/>
      <c r="G160" s="3767"/>
      <c r="I160" s="1014">
        <v>2</v>
      </c>
      <c r="J160" s="1033"/>
      <c r="K160" s="1033"/>
      <c r="L160" s="1033"/>
      <c r="M160" s="1033"/>
      <c r="N160" s="1033"/>
      <c r="O160" s="1033"/>
      <c r="P160" s="1033"/>
      <c r="Q160" s="1033"/>
    </row>
    <row r="161" spans="1:10">
      <c r="B161"/>
      <c r="C161"/>
      <c r="D161"/>
    </row>
    <row r="162" spans="1:10" ht="14.25">
      <c r="A162" s="3" t="s">
        <v>841</v>
      </c>
      <c r="B162" s="1"/>
      <c r="C162" s="1"/>
      <c r="D162" s="1"/>
      <c r="E162" s="1"/>
      <c r="F162" s="14"/>
      <c r="G162" s="14"/>
      <c r="H162" s="14"/>
      <c r="I162" s="1054"/>
      <c r="J162" s="14"/>
    </row>
    <row r="163" spans="1:10" ht="67.5" customHeight="1">
      <c r="A163" s="3774"/>
      <c r="B163" s="3775"/>
      <c r="C163" s="3775"/>
      <c r="D163" s="3775"/>
      <c r="E163" s="3775"/>
      <c r="F163" s="3775"/>
      <c r="G163" s="3776"/>
      <c r="H163" s="1055"/>
      <c r="I163" s="1056"/>
      <c r="J163" s="1055"/>
    </row>
    <row r="166" spans="1:10">
      <c r="B166"/>
    </row>
  </sheetData>
  <customSheetViews>
    <customSheetView guid="{BCBE45D4-3C45-4659-992E-5C5D3E9FD81C}" scale="70" showPageBreaks="1" fitToPage="1" hiddenRows="1" hiddenColumns="1">
      <pane ySplit="10" topLeftCell="A20" activePane="bottomLeft" state="frozenSplit"/>
      <selection pane="bottomLeft" activeCell="W84" sqref="W84"/>
      <rowBreaks count="1" manualBreakCount="1">
        <brk id="66" max="16383" man="1"/>
      </rowBreaks>
      <pageMargins left="0.59055118110236227" right="0.43307086614173229" top="0.6692913385826772" bottom="0.94488188976377963" header="0.51181102362204722" footer="0.39370078740157483"/>
      <printOptions horizontalCentered="1"/>
      <pageSetup paperSize="9" scale="61"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70" showPageBreaks="1" fitToPage="1" hiddenRows="1" hiddenColumns="1">
      <pane ySplit="10" topLeftCell="A25" activePane="bottomLeft" state="frozenSplit"/>
      <selection pane="bottomLeft" activeCell="I19" sqref="I19"/>
      <rowBreaks count="1" manualBreakCount="1">
        <brk id="66" max="16383" man="1"/>
      </rowBreaks>
      <pageMargins left="0.59055118110236227" right="0.43307086614173229" top="0.6692913385826772" bottom="0.94488188976377963" header="0.51181102362204722" footer="0.39370078740157483"/>
      <printOptions horizontalCentered="1"/>
      <pageSetup paperSize="9" scale="61" fitToHeight="999" orientation="portrait" blackAndWhite="1" r:id="rId2"/>
      <headerFooter alignWithMargins="0">
        <oddFooter>&amp;L&amp;8Copyright Crowe Horwath (Aust) Pty Ltd 2016.  All rights reserved.
&amp;Z&amp;F[&amp;A]&amp;R&amp;8&amp;P/&amp;N</oddFooter>
      </headerFooter>
    </customSheetView>
  </customSheetViews>
  <mergeCells count="146">
    <mergeCell ref="F155:G155"/>
    <mergeCell ref="F153:G153"/>
    <mergeCell ref="F152:G152"/>
    <mergeCell ref="F136:G136"/>
    <mergeCell ref="F160:G160"/>
    <mergeCell ref="F122:G122"/>
    <mergeCell ref="F104:G104"/>
    <mergeCell ref="F105:G105"/>
    <mergeCell ref="F158:G158"/>
    <mergeCell ref="F114:G114"/>
    <mergeCell ref="F117:G117"/>
    <mergeCell ref="F116:G116"/>
    <mergeCell ref="F157:G157"/>
    <mergeCell ref="F156:G156"/>
    <mergeCell ref="F148:G148"/>
    <mergeCell ref="F146:G146"/>
    <mergeCell ref="F134:G134"/>
    <mergeCell ref="F135:G135"/>
    <mergeCell ref="F151:G151"/>
    <mergeCell ref="F119:G119"/>
    <mergeCell ref="F124:G124"/>
    <mergeCell ref="F130:G130"/>
    <mergeCell ref="F127:G127"/>
    <mergeCell ref="F125:G125"/>
    <mergeCell ref="F132:G132"/>
    <mergeCell ref="F123:G123"/>
    <mergeCell ref="F133:G133"/>
    <mergeCell ref="F128:G128"/>
    <mergeCell ref="F141:G141"/>
    <mergeCell ref="F154:G154"/>
    <mergeCell ref="F147:G147"/>
    <mergeCell ref="F149:G149"/>
    <mergeCell ref="F126:G126"/>
    <mergeCell ref="F129:G129"/>
    <mergeCell ref="F145:G145"/>
    <mergeCell ref="F121:G121"/>
    <mergeCell ref="F62:G62"/>
    <mergeCell ref="F27:G27"/>
    <mergeCell ref="F34:G34"/>
    <mergeCell ref="F28:G28"/>
    <mergeCell ref="F29:G29"/>
    <mergeCell ref="F55:G55"/>
    <mergeCell ref="F59:G59"/>
    <mergeCell ref="F112:G112"/>
    <mergeCell ref="F115:G115"/>
    <mergeCell ref="F36:G36"/>
    <mergeCell ref="F37:G37"/>
    <mergeCell ref="F48:G48"/>
    <mergeCell ref="F50:G50"/>
    <mergeCell ref="F54:G54"/>
    <mergeCell ref="F44:G44"/>
    <mergeCell ref="F41:G41"/>
    <mergeCell ref="F45:G45"/>
    <mergeCell ref="F42:G42"/>
    <mergeCell ref="F51:G51"/>
    <mergeCell ref="F109:G109"/>
    <mergeCell ref="F56:G56"/>
    <mergeCell ref="F80:G80"/>
    <mergeCell ref="A163:G163"/>
    <mergeCell ref="F107:G107"/>
    <mergeCell ref="F103:G103"/>
    <mergeCell ref="F108:G108"/>
    <mergeCell ref="F110:G110"/>
    <mergeCell ref="F52:G52"/>
    <mergeCell ref="F58:G58"/>
    <mergeCell ref="F53:G53"/>
    <mergeCell ref="F57:G57"/>
    <mergeCell ref="F60:G60"/>
    <mergeCell ref="F61:G61"/>
    <mergeCell ref="F120:G120"/>
    <mergeCell ref="F131:G131"/>
    <mergeCell ref="F70:G70"/>
    <mergeCell ref="F67:G67"/>
    <mergeCell ref="F63:G63"/>
    <mergeCell ref="F69:G69"/>
    <mergeCell ref="F68:G68"/>
    <mergeCell ref="F159:G159"/>
    <mergeCell ref="F139:G139"/>
    <mergeCell ref="F142:G142"/>
    <mergeCell ref="F144:G144"/>
    <mergeCell ref="F143:G143"/>
    <mergeCell ref="F140:G140"/>
    <mergeCell ref="A8:F8"/>
    <mergeCell ref="F19:G19"/>
    <mergeCell ref="A10:G10"/>
    <mergeCell ref="F12:G12"/>
    <mergeCell ref="F23:G23"/>
    <mergeCell ref="F24:G24"/>
    <mergeCell ref="F49:G49"/>
    <mergeCell ref="F46:G46"/>
    <mergeCell ref="F26:G26"/>
    <mergeCell ref="F30:G30"/>
    <mergeCell ref="F31:G31"/>
    <mergeCell ref="F33:G33"/>
    <mergeCell ref="F47:G47"/>
    <mergeCell ref="F32:G32"/>
    <mergeCell ref="F38:G38"/>
    <mergeCell ref="F35:G35"/>
    <mergeCell ref="A7:G7"/>
    <mergeCell ref="F11:G11"/>
    <mergeCell ref="F13:G13"/>
    <mergeCell ref="F14:G14"/>
    <mergeCell ref="F20:G20"/>
    <mergeCell ref="F21:G21"/>
    <mergeCell ref="F111:G111"/>
    <mergeCell ref="F118:G118"/>
    <mergeCell ref="F113:G113"/>
    <mergeCell ref="F97:G97"/>
    <mergeCell ref="F92:G92"/>
    <mergeCell ref="F98:G98"/>
    <mergeCell ref="F87:G87"/>
    <mergeCell ref="F85:G85"/>
    <mergeCell ref="F89:G89"/>
    <mergeCell ref="F43:G43"/>
    <mergeCell ref="F22:G22"/>
    <mergeCell ref="F25:G25"/>
    <mergeCell ref="F82:G82"/>
    <mergeCell ref="F81:G81"/>
    <mergeCell ref="F71:G71"/>
    <mergeCell ref="F72:G72"/>
    <mergeCell ref="F74:G74"/>
    <mergeCell ref="F77:G77"/>
    <mergeCell ref="J11:N11"/>
    <mergeCell ref="F150:G150"/>
    <mergeCell ref="F88:G88"/>
    <mergeCell ref="F90:G90"/>
    <mergeCell ref="F138:G138"/>
    <mergeCell ref="F137:G137"/>
    <mergeCell ref="F73:G73"/>
    <mergeCell ref="F84:G84"/>
    <mergeCell ref="F83:G83"/>
    <mergeCell ref="F93:G93"/>
    <mergeCell ref="F101:G101"/>
    <mergeCell ref="F91:G91"/>
    <mergeCell ref="F102:G102"/>
    <mergeCell ref="F65:G65"/>
    <mergeCell ref="F66:G66"/>
    <mergeCell ref="F94:G94"/>
    <mergeCell ref="F96:G96"/>
    <mergeCell ref="F95:G95"/>
    <mergeCell ref="F100:G100"/>
    <mergeCell ref="F75:G75"/>
    <mergeCell ref="F76:G76"/>
    <mergeCell ref="F78:G78"/>
    <mergeCell ref="F79:G79"/>
    <mergeCell ref="F99:G99"/>
  </mergeCells>
  <phoneticPr fontId="26" type="noConversion"/>
  <conditionalFormatting sqref="J12:Q17 J81:Q161 J80:N80 J73:Q79 J72:N72 J34:Q71 J30:J33 O30:Q33 J19:Q29 J18 O18:Q18">
    <cfRule type="expression" dxfId="99" priority="24" stopIfTrue="1">
      <formula>J12&lt;&gt;""</formula>
    </cfRule>
  </conditionalFormatting>
  <conditionalFormatting sqref="Q149 L121:N121 L126:N126 K127">
    <cfRule type="cellIs" dxfId="98" priority="23" operator="equal">
      <formula>$Q$149</formula>
    </cfRule>
  </conditionalFormatting>
  <conditionalFormatting sqref="K146:N146">
    <cfRule type="cellIs" dxfId="97" priority="22" operator="equal">
      <formula>$Q$149</formula>
    </cfRule>
  </conditionalFormatting>
  <conditionalFormatting sqref="Q149:Q153">
    <cfRule type="cellIs" dxfId="96" priority="21" operator="equal">
      <formula>$Q$149</formula>
    </cfRule>
  </conditionalFormatting>
  <conditionalFormatting sqref="L116:N116">
    <cfRule type="cellIs" dxfId="95" priority="20" operator="equal">
      <formula>$Q$149</formula>
    </cfRule>
  </conditionalFormatting>
  <conditionalFormatting sqref="L116:N127">
    <cfRule type="cellIs" dxfId="94" priority="19" operator="equal">
      <formula>$Q$149</formula>
    </cfRule>
  </conditionalFormatting>
  <conditionalFormatting sqref="K122">
    <cfRule type="cellIs" dxfId="93" priority="18" operator="equal">
      <formula>$Q$149</formula>
    </cfRule>
  </conditionalFormatting>
  <conditionalFormatting sqref="K122:K127">
    <cfRule type="cellIs" dxfId="92" priority="17" operator="equal">
      <formula>$Q$149</formula>
    </cfRule>
  </conditionalFormatting>
  <conditionalFormatting sqref="L112:N112">
    <cfRule type="cellIs" dxfId="91" priority="16" operator="equal">
      <formula>$Q$149</formula>
    </cfRule>
  </conditionalFormatting>
  <conditionalFormatting sqref="L112:N112">
    <cfRule type="cellIs" dxfId="90" priority="15" operator="equal">
      <formula>$Q$149</formula>
    </cfRule>
  </conditionalFormatting>
  <conditionalFormatting sqref="K85:N85">
    <cfRule type="cellIs" dxfId="89" priority="14" operator="equal">
      <formula>$Q$149</formula>
    </cfRule>
  </conditionalFormatting>
  <conditionalFormatting sqref="K85:N85">
    <cfRule type="cellIs" dxfId="88" priority="13" operator="equal">
      <formula>$Q$149</formula>
    </cfRule>
  </conditionalFormatting>
  <conditionalFormatting sqref="O80:R80">
    <cfRule type="expression" dxfId="87" priority="12" stopIfTrue="1">
      <formula>O80&lt;&gt;""</formula>
    </cfRule>
  </conditionalFormatting>
  <conditionalFormatting sqref="O80:R80">
    <cfRule type="cellIs" dxfId="86" priority="11" operator="equal">
      <formula>$Q$149</formula>
    </cfRule>
  </conditionalFormatting>
  <conditionalFormatting sqref="O80:R80">
    <cfRule type="cellIs" dxfId="85" priority="10" operator="equal">
      <formula>$Q$149</formula>
    </cfRule>
  </conditionalFormatting>
  <conditionalFormatting sqref="O72:R72">
    <cfRule type="expression" dxfId="84" priority="9" stopIfTrue="1">
      <formula>O72&lt;&gt;""</formula>
    </cfRule>
  </conditionalFormatting>
  <conditionalFormatting sqref="O72:R72">
    <cfRule type="cellIs" dxfId="83" priority="8" operator="equal">
      <formula>$Q$149</formula>
    </cfRule>
  </conditionalFormatting>
  <conditionalFormatting sqref="O72:R72">
    <cfRule type="cellIs" dxfId="82" priority="7" operator="equal">
      <formula>$Q$149</formula>
    </cfRule>
  </conditionalFormatting>
  <conditionalFormatting sqref="K30:N33">
    <cfRule type="expression" dxfId="81" priority="6" stopIfTrue="1">
      <formula>K30&lt;&gt;""</formula>
    </cfRule>
  </conditionalFormatting>
  <conditionalFormatting sqref="K30:N33">
    <cfRule type="cellIs" dxfId="80" priority="5" operator="equal">
      <formula>$Q$149</formula>
    </cfRule>
  </conditionalFormatting>
  <conditionalFormatting sqref="K30:N33">
    <cfRule type="cellIs" dxfId="79" priority="4" operator="equal">
      <formula>$Q$149</formula>
    </cfRule>
  </conditionalFormatting>
  <conditionalFormatting sqref="K18:N18">
    <cfRule type="expression" dxfId="78" priority="3" stopIfTrue="1">
      <formula>K18&lt;&gt;""</formula>
    </cfRule>
  </conditionalFormatting>
  <conditionalFormatting sqref="K18:N18">
    <cfRule type="cellIs" dxfId="77" priority="2" operator="equal">
      <formula>$Q$149</formula>
    </cfRule>
  </conditionalFormatting>
  <conditionalFormatting sqref="K18:N18">
    <cfRule type="cellIs" dxfId="76" priority="1" operator="equal">
      <formula>$Q$149</formula>
    </cfRule>
  </conditionalFormatting>
  <hyperlinks>
    <hyperlink ref="A9" location="ClientName" display="ClientName" xr:uid="{00000000-0004-0000-0400-000001000000}"/>
    <hyperlink ref="G8" location="'WPIndex'!A1" display="Back to Workpaper Index" xr:uid="{57ED356C-C834-4B43-AEC4-3639C825A523}"/>
  </hyperlinks>
  <printOptions horizontalCentered="1"/>
  <pageMargins left="0.59055118110236227" right="0.43307086614173229" top="0.6692913385826772" bottom="0.94488188976377963" header="0.51181102362204722" footer="0.39370078740157483"/>
  <pageSetup paperSize="9" scale="67" fitToHeight="999" orientation="portrait" blackAndWhite="1" r:id="rId3"/>
  <headerFooter alignWithMargins="0">
    <oddFooter>&amp;L&amp;8Findex (Aust) Pty Ltd.  All rights reserved.
&amp;Z&amp;F[&amp;A]&amp;R&amp;8&amp;P/&amp;N</oddFooter>
  </headerFooter>
  <rowBreaks count="1" manualBreakCount="1">
    <brk id="67" max="16383" man="1"/>
  </rowBreaks>
  <drawing r:id="rId4"/>
  <legacy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9304F-C785-47CE-9CB9-502BC1A92FE8}">
  <sheetPr codeName="Sheet13">
    <tabColor theme="8" tint="0.79998168889431442"/>
    <pageSetUpPr fitToPage="1"/>
  </sheetPr>
  <dimension ref="A1:F64"/>
  <sheetViews>
    <sheetView topLeftCell="A4" zoomScaleNormal="100" workbookViewId="0">
      <selection sqref="A1:F1"/>
    </sheetView>
  </sheetViews>
  <sheetFormatPr defaultColWidth="9.140625" defaultRowHeight="15"/>
  <cols>
    <col min="1" max="1" width="30" style="3483" customWidth="1"/>
    <col min="2" max="2" width="11.5703125" style="3483" bestFit="1" customWidth="1"/>
    <col min="3" max="4" width="11.5703125" style="3483" customWidth="1"/>
    <col min="5" max="5" width="12.85546875" style="3483" customWidth="1"/>
    <col min="6" max="6" width="10.5703125" style="3483" bestFit="1" customWidth="1"/>
    <col min="7" max="7" width="9.5703125" style="3483" bestFit="1" customWidth="1"/>
    <col min="8" max="16384" width="9.140625" style="3483"/>
  </cols>
  <sheetData>
    <row r="1" spans="1:6" s="3477" customFormat="1" ht="15.75">
      <c r="A1" s="3473"/>
      <c r="B1" s="3474"/>
      <c r="C1" s="3474"/>
      <c r="D1" s="3475"/>
      <c r="E1" s="3476" t="s">
        <v>2425</v>
      </c>
      <c r="F1" s="3576" t="s">
        <v>2758</v>
      </c>
    </row>
    <row r="2" spans="1:6" s="3477" customFormat="1" ht="15.75">
      <c r="A2" s="3473"/>
      <c r="B2" s="3474"/>
      <c r="C2" s="3474"/>
      <c r="D2" s="3475"/>
      <c r="E2" s="3478"/>
      <c r="F2" s="3478"/>
    </row>
    <row r="3" spans="1:6" s="3479" customFormat="1" ht="12.75">
      <c r="A3" s="3473"/>
      <c r="D3" s="3480"/>
      <c r="E3" s="3480" t="s">
        <v>1163</v>
      </c>
      <c r="F3" s="3481" t="s">
        <v>1262</v>
      </c>
    </row>
    <row r="4" spans="1:6" s="3479" customFormat="1" ht="17.25" customHeight="1">
      <c r="A4" s="3473"/>
      <c r="D4" s="3478" t="s">
        <v>332</v>
      </c>
      <c r="E4" s="2624" t="s">
        <v>208</v>
      </c>
      <c r="F4" s="2638" t="s">
        <v>208</v>
      </c>
    </row>
    <row r="5" spans="1:6" s="3479" customFormat="1" ht="17.25" customHeight="1">
      <c r="A5" s="3473"/>
      <c r="D5" s="3478" t="s">
        <v>333</v>
      </c>
      <c r="E5" s="2639"/>
      <c r="F5" s="2640"/>
    </row>
    <row r="6" spans="1:6" s="3479" customFormat="1" ht="3.95" customHeight="1">
      <c r="A6" s="3473"/>
      <c r="B6" s="3482"/>
      <c r="C6" s="3482"/>
      <c r="D6" s="3482"/>
      <c r="E6" s="3482"/>
    </row>
    <row r="7" spans="1:6" s="3477" customFormat="1" ht="15.75">
      <c r="A7" s="3777" t="s">
        <v>2625</v>
      </c>
      <c r="B7" s="3778"/>
      <c r="C7" s="3778"/>
      <c r="D7" s="3778"/>
      <c r="E7" s="3778"/>
      <c r="F7" s="3779"/>
    </row>
    <row r="8" spans="1:6" s="3477" customFormat="1" ht="12.75">
      <c r="C8" s="3475"/>
      <c r="D8" s="3475"/>
      <c r="E8" s="3475"/>
      <c r="F8" s="3487" t="s">
        <v>1039</v>
      </c>
    </row>
    <row r="10" spans="1:6">
      <c r="A10" s="3488" t="s">
        <v>1837</v>
      </c>
      <c r="B10" s="3489"/>
      <c r="C10" s="3490"/>
      <c r="D10" s="3490"/>
      <c r="E10" s="3490"/>
      <c r="F10" s="3490"/>
    </row>
    <row r="11" spans="1:6">
      <c r="A11" s="3490"/>
      <c r="B11" s="3490"/>
      <c r="C11" s="3490"/>
      <c r="D11" s="3490"/>
      <c r="E11" s="3490"/>
      <c r="F11" s="3490"/>
    </row>
    <row r="12" spans="1:6" ht="30">
      <c r="A12" s="3491"/>
      <c r="B12" s="3492" t="s">
        <v>2626</v>
      </c>
      <c r="C12" s="3492" t="s">
        <v>2627</v>
      </c>
      <c r="D12" s="3492" t="s">
        <v>2628</v>
      </c>
      <c r="E12" s="3492" t="s">
        <v>2633</v>
      </c>
      <c r="F12" s="3490"/>
    </row>
    <row r="13" spans="1:6">
      <c r="A13" s="3488" t="s">
        <v>2629</v>
      </c>
      <c r="B13" s="3493">
        <f>IF($B$10&lt;0,0,VLOOKUP($B$10,$A$43:$C$47,2)*($B$10-VLOOKUP($B$10,$A$43:$C$47,1))+VLOOKUP($B$10,$A$43:$C$47,3))</f>
        <v>0</v>
      </c>
      <c r="C13" s="3493"/>
      <c r="D13" s="3491"/>
      <c r="E13" s="3506" t="str">
        <f>IFERROR(B13/$B$10,"")</f>
        <v/>
      </c>
      <c r="F13" s="3490"/>
    </row>
    <row r="14" spans="1:6">
      <c r="A14" s="3508" t="s">
        <v>2638</v>
      </c>
      <c r="B14" s="3509">
        <f>IF($B$10&lt;0,0,VLOOKUP($B$10,$A$51:$C$55,2)*($B$10-VLOOKUP($B$10,$A$51:$C$55,1))+VLOOKUP($B$10,$A$51:$C$55,3))</f>
        <v>0</v>
      </c>
      <c r="C14" s="3509">
        <f>B13-B14</f>
        <v>0</v>
      </c>
      <c r="D14" s="3510">
        <f>C14/52</f>
        <v>0</v>
      </c>
      <c r="E14" s="3511" t="str">
        <f>IFERROR(B14/$B$10,"")</f>
        <v/>
      </c>
      <c r="F14" s="3490"/>
    </row>
    <row r="15" spans="1:6">
      <c r="A15" s="3488" t="s">
        <v>2639</v>
      </c>
      <c r="B15" s="3493">
        <f>IF($B$10&lt;0,0,VLOOKUP($B$10,$A$59:$C$62,2)*($B$10-VLOOKUP($B$10,$A$59:$C$62,1))+VLOOKUP($B$10,$A$59:$C$62,3))</f>
        <v>0</v>
      </c>
      <c r="C15" s="3493">
        <f>B13-B15</f>
        <v>0</v>
      </c>
      <c r="D15" s="3494">
        <f>C15/52</f>
        <v>0</v>
      </c>
      <c r="E15" s="3506" t="str">
        <f>IFERROR(B15/$B$10,"")</f>
        <v/>
      </c>
      <c r="F15" s="3490"/>
    </row>
    <row r="16" spans="1:6">
      <c r="A16" s="3491"/>
      <c r="B16" s="3493"/>
      <c r="C16" s="3493"/>
      <c r="D16" s="3494"/>
      <c r="E16" s="3505"/>
      <c r="F16" s="3490"/>
    </row>
    <row r="17" spans="1:6" ht="30">
      <c r="A17" s="3495" t="s">
        <v>2640</v>
      </c>
      <c r="B17" s="3496"/>
      <c r="C17" s="3496">
        <f>C14-C15</f>
        <v>0</v>
      </c>
      <c r="D17" s="3496">
        <f>D14-D15</f>
        <v>0</v>
      </c>
      <c r="E17" s="3505"/>
      <c r="F17" s="3490"/>
    </row>
    <row r="18" spans="1:6">
      <c r="A18" s="3490"/>
      <c r="B18" s="3490"/>
      <c r="C18" s="3490"/>
      <c r="D18" s="3490"/>
      <c r="E18" s="3490"/>
      <c r="F18" s="3490"/>
    </row>
    <row r="19" spans="1:6">
      <c r="A19" s="3497" t="s">
        <v>1768</v>
      </c>
      <c r="B19" s="3490"/>
      <c r="C19" s="3490"/>
      <c r="D19" s="3490"/>
      <c r="E19" s="3490"/>
      <c r="F19" s="3490"/>
    </row>
    <row r="20" spans="1:6">
      <c r="A20" s="3498" t="s">
        <v>2630</v>
      </c>
      <c r="B20" s="3490"/>
      <c r="C20" s="3490"/>
      <c r="D20" s="3490"/>
      <c r="E20" s="3490"/>
      <c r="F20" s="3490"/>
    </row>
    <row r="21" spans="1:6">
      <c r="A21" s="3498" t="s">
        <v>2631</v>
      </c>
      <c r="B21" s="3490"/>
      <c r="C21" s="3490"/>
      <c r="D21" s="3490"/>
      <c r="E21" s="3490"/>
      <c r="F21" s="3490"/>
    </row>
    <row r="22" spans="1:6">
      <c r="A22" s="3498"/>
      <c r="B22" s="3490"/>
      <c r="C22" s="3490"/>
      <c r="D22" s="3490"/>
    </row>
    <row r="23" spans="1:6">
      <c r="A23" s="3484"/>
    </row>
    <row r="24" spans="1:6">
      <c r="A24" s="3484"/>
    </row>
    <row r="25" spans="1:6">
      <c r="A25" s="3484"/>
    </row>
    <row r="26" spans="1:6">
      <c r="A26" s="3484"/>
    </row>
    <row r="27" spans="1:6">
      <c r="A27" s="3484"/>
    </row>
    <row r="28" spans="1:6">
      <c r="A28" s="3484"/>
    </row>
    <row r="29" spans="1:6">
      <c r="A29" s="3484"/>
    </row>
    <row r="30" spans="1:6">
      <c r="A30" s="3484"/>
    </row>
    <row r="31" spans="1:6">
      <c r="A31" s="3484"/>
    </row>
    <row r="32" spans="1:6">
      <c r="A32" s="3484"/>
    </row>
    <row r="33" spans="1:6">
      <c r="A33" s="3484"/>
    </row>
    <row r="34" spans="1:6">
      <c r="A34" s="3484"/>
    </row>
    <row r="35" spans="1:6">
      <c r="A35" s="3484"/>
    </row>
    <row r="36" spans="1:6">
      <c r="A36" s="3484"/>
    </row>
    <row r="37" spans="1:6">
      <c r="A37" s="3484"/>
    </row>
    <row r="38" spans="1:6">
      <c r="A38" s="3484"/>
    </row>
    <row r="39" spans="1:6">
      <c r="A39" s="3485"/>
      <c r="B39" s="3486"/>
      <c r="C39" s="3486"/>
      <c r="D39" s="3486"/>
      <c r="E39" s="3486"/>
      <c r="F39" s="3486"/>
    </row>
    <row r="41" spans="1:6">
      <c r="A41" s="3780" t="s">
        <v>2629</v>
      </c>
      <c r="B41" s="3781"/>
      <c r="C41" s="3782"/>
      <c r="D41" s="3490"/>
      <c r="E41" s="3490"/>
    </row>
    <row r="42" spans="1:6">
      <c r="A42" s="3499" t="s">
        <v>1958</v>
      </c>
      <c r="B42" s="3500" t="s">
        <v>379</v>
      </c>
      <c r="C42" s="3500" t="s">
        <v>2246</v>
      </c>
      <c r="D42" s="3490"/>
      <c r="E42" s="3490"/>
    </row>
    <row r="43" spans="1:6">
      <c r="A43" s="3501">
        <v>0</v>
      </c>
      <c r="B43" s="3502">
        <v>0</v>
      </c>
      <c r="C43" s="3501">
        <v>0</v>
      </c>
      <c r="D43" s="3490"/>
      <c r="E43" s="3490"/>
    </row>
    <row r="44" spans="1:6">
      <c r="A44" s="3501">
        <v>18200</v>
      </c>
      <c r="B44" s="3502">
        <v>0.19</v>
      </c>
      <c r="C44" s="3501">
        <v>0</v>
      </c>
      <c r="D44" s="3490"/>
      <c r="E44" s="3490"/>
    </row>
    <row r="45" spans="1:6">
      <c r="A45" s="3501">
        <v>45000</v>
      </c>
      <c r="B45" s="3503">
        <v>0.32500000000000001</v>
      </c>
      <c r="C45" s="3501">
        <v>5092</v>
      </c>
      <c r="D45" s="3490"/>
      <c r="E45" s="3490"/>
    </row>
    <row r="46" spans="1:6">
      <c r="A46" s="3501">
        <v>120000</v>
      </c>
      <c r="B46" s="3502">
        <v>0.37</v>
      </c>
      <c r="C46" s="3501">
        <v>29467</v>
      </c>
      <c r="D46" s="3490"/>
      <c r="E46" s="3490"/>
    </row>
    <row r="47" spans="1:6">
      <c r="A47" s="3501">
        <v>180000</v>
      </c>
      <c r="B47" s="3502">
        <v>0.45</v>
      </c>
      <c r="C47" s="3501">
        <v>51667</v>
      </c>
      <c r="D47" s="3490"/>
      <c r="E47" s="3490"/>
    </row>
    <row r="48" spans="1:6">
      <c r="A48" s="3490"/>
      <c r="B48" s="3490"/>
      <c r="C48" s="3490"/>
      <c r="D48" s="3490"/>
      <c r="E48" s="3490"/>
    </row>
    <row r="49" spans="1:5">
      <c r="A49" s="3783" t="s">
        <v>2641</v>
      </c>
      <c r="B49" s="3784"/>
      <c r="C49" s="3785"/>
      <c r="D49" s="3490"/>
      <c r="E49" s="3490"/>
    </row>
    <row r="50" spans="1:5">
      <c r="A50" s="3512" t="s">
        <v>1958</v>
      </c>
      <c r="B50" s="3513" t="s">
        <v>379</v>
      </c>
      <c r="C50" s="3513" t="s">
        <v>2246</v>
      </c>
      <c r="D50" s="3490"/>
      <c r="E50" s="3490"/>
    </row>
    <row r="51" spans="1:5">
      <c r="A51" s="3514">
        <v>0</v>
      </c>
      <c r="B51" s="3515">
        <v>0</v>
      </c>
      <c r="C51" s="3514">
        <v>0</v>
      </c>
      <c r="D51" s="3490"/>
      <c r="E51" s="3490"/>
    </row>
    <row r="52" spans="1:5">
      <c r="A52" s="3514">
        <v>18200</v>
      </c>
      <c r="B52" s="3515">
        <v>0.16</v>
      </c>
      <c r="C52" s="3514">
        <v>0</v>
      </c>
      <c r="D52" s="3490"/>
      <c r="E52" s="3490"/>
    </row>
    <row r="53" spans="1:5">
      <c r="A53" s="3514">
        <v>45000</v>
      </c>
      <c r="B53" s="3515">
        <v>0.3</v>
      </c>
      <c r="C53" s="3514">
        <f>(45000-18200)*16%</f>
        <v>4288</v>
      </c>
      <c r="D53" s="3490"/>
      <c r="E53" s="3490"/>
    </row>
    <row r="54" spans="1:5">
      <c r="A54" s="3514">
        <v>135000</v>
      </c>
      <c r="B54" s="3515">
        <v>0.37</v>
      </c>
      <c r="C54" s="3514">
        <f>(135000-45000)*30%+C53</f>
        <v>31288</v>
      </c>
      <c r="D54" s="3490"/>
      <c r="E54" s="3490"/>
    </row>
    <row r="55" spans="1:5">
      <c r="A55" s="3514">
        <v>190000</v>
      </c>
      <c r="B55" s="3515">
        <v>0.45</v>
      </c>
      <c r="C55" s="3514">
        <f>(190000-135000)*37%+C54</f>
        <v>51638</v>
      </c>
      <c r="D55" s="3490"/>
      <c r="E55" s="3490"/>
    </row>
    <row r="56" spans="1:5">
      <c r="A56" s="3490"/>
      <c r="B56" s="3490"/>
      <c r="C56" s="3490"/>
      <c r="D56" s="3490"/>
      <c r="E56" s="3490"/>
    </row>
    <row r="57" spans="1:5">
      <c r="A57" s="3780" t="s">
        <v>2642</v>
      </c>
      <c r="B57" s="3781"/>
      <c r="C57" s="3782"/>
      <c r="D57" s="3490"/>
      <c r="E57" s="3490"/>
    </row>
    <row r="58" spans="1:5">
      <c r="A58" s="3499" t="s">
        <v>1958</v>
      </c>
      <c r="B58" s="3500" t="s">
        <v>379</v>
      </c>
      <c r="C58" s="3500" t="s">
        <v>2246</v>
      </c>
      <c r="D58" s="3490"/>
      <c r="E58" s="3490"/>
    </row>
    <row r="59" spans="1:5">
      <c r="A59" s="3501">
        <v>0</v>
      </c>
      <c r="B59" s="3504">
        <v>0</v>
      </c>
      <c r="C59" s="3501">
        <v>0</v>
      </c>
      <c r="D59" s="3490"/>
      <c r="E59" s="3490"/>
    </row>
    <row r="60" spans="1:5">
      <c r="A60" s="3501">
        <v>18200</v>
      </c>
      <c r="B60" s="3504">
        <v>0.19</v>
      </c>
      <c r="C60" s="3501">
        <v>0</v>
      </c>
      <c r="D60" s="3490"/>
      <c r="E60" s="3490"/>
    </row>
    <row r="61" spans="1:5">
      <c r="A61" s="3501">
        <v>45000</v>
      </c>
      <c r="B61" s="3504">
        <v>0.3</v>
      </c>
      <c r="C61" s="3501">
        <f>(45000-18200)*19%</f>
        <v>5092</v>
      </c>
      <c r="D61" s="3490"/>
      <c r="E61" s="3490"/>
    </row>
    <row r="62" spans="1:5">
      <c r="A62" s="3501">
        <v>200000</v>
      </c>
      <c r="B62" s="3504">
        <v>0.45</v>
      </c>
      <c r="C62" s="3501">
        <f>(200000-45000)*30%+C61</f>
        <v>51592</v>
      </c>
      <c r="D62" s="3490"/>
      <c r="E62" s="3490"/>
    </row>
    <row r="63" spans="1:5">
      <c r="A63" s="3490"/>
      <c r="B63" s="3490"/>
      <c r="C63" s="3490"/>
      <c r="D63" s="3490"/>
      <c r="E63" s="3490"/>
    </row>
    <row r="64" spans="1:5">
      <c r="A64" s="3490"/>
      <c r="B64" s="3490"/>
      <c r="C64" s="3490"/>
      <c r="D64" s="3490"/>
      <c r="E64" s="3490"/>
    </row>
  </sheetData>
  <mergeCells count="4">
    <mergeCell ref="A7:F7"/>
    <mergeCell ref="A41:C41"/>
    <mergeCell ref="A49:C49"/>
    <mergeCell ref="A57:C57"/>
  </mergeCells>
  <hyperlinks>
    <hyperlink ref="F8" location="WPIndex!A1" display="Back to Workpaper Index" xr:uid="{3B33C8E5-48B4-4B57-AE7B-ACF507DAA0D3}"/>
  </hyperlinks>
  <pageMargins left="0.70866141732283472" right="0.70866141732283472" top="0.74803149606299213" bottom="0.74803149606299213" header="0.31496062992125984" footer="0.31496062992125984"/>
  <pageSetup paperSize="9" scale="80" orientation="portrait" r:id="rId1"/>
  <headerFooter>
    <oddFooter>&amp;L© Findex (Aust) Pty Ltd.  All rights reserved.</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B61D9-485B-4137-97BE-EBE3ACDC826B}">
  <sheetPr codeName="Template_Sheet2">
    <tabColor theme="8" tint="0.79998168889431442"/>
  </sheetPr>
  <dimension ref="A1:O29"/>
  <sheetViews>
    <sheetView zoomScaleNormal="100" zoomScaleSheetLayoutView="100" workbookViewId="0">
      <selection sqref="A1:F1"/>
    </sheetView>
  </sheetViews>
  <sheetFormatPr defaultColWidth="11.7109375" defaultRowHeight="12.75"/>
  <cols>
    <col min="1" max="1" width="3.7109375" style="2710" customWidth="1"/>
    <col min="2" max="7" width="11.7109375" style="1619" customWidth="1"/>
    <col min="8" max="8" width="23.140625" style="1619" customWidth="1"/>
    <col min="9" max="10" width="21.7109375" style="1619" customWidth="1"/>
    <col min="11" max="11" width="13.42578125" style="1620" customWidth="1"/>
    <col min="12" max="13" width="11.7109375" style="1619" customWidth="1"/>
    <col min="14" max="16384" width="11.7109375" style="2710"/>
  </cols>
  <sheetData>
    <row r="1" spans="1:15">
      <c r="L1" s="2732" t="s">
        <v>2425</v>
      </c>
      <c r="M1" s="3576" t="s">
        <v>2758</v>
      </c>
    </row>
    <row r="2" spans="1:15" ht="18.75" customHeight="1">
      <c r="A2" s="2708"/>
      <c r="B2" s="2709"/>
      <c r="C2" s="2709"/>
      <c r="D2" s="2709"/>
      <c r="E2" s="2709"/>
      <c r="F2" s="2709"/>
      <c r="G2" s="2709"/>
      <c r="H2" s="2709"/>
      <c r="I2" s="2709"/>
      <c r="J2" s="2709"/>
      <c r="K2" s="2709"/>
      <c r="L2" s="2709"/>
      <c r="M2" s="2710"/>
    </row>
    <row r="3" spans="1:15">
      <c r="A3" s="2708"/>
      <c r="B3" s="2710"/>
      <c r="C3" s="2710"/>
      <c r="D3" s="2710"/>
      <c r="E3" s="2710"/>
      <c r="F3" s="2710"/>
      <c r="G3" s="2710"/>
      <c r="H3" s="2710"/>
      <c r="I3" s="2710"/>
      <c r="J3" s="2710"/>
      <c r="K3" s="2711"/>
      <c r="L3" s="2712" t="s">
        <v>1163</v>
      </c>
      <c r="M3" s="2712" t="s">
        <v>1262</v>
      </c>
    </row>
    <row r="4" spans="1:15" ht="17.25" customHeight="1">
      <c r="A4" s="2708"/>
      <c r="B4" s="2710"/>
      <c r="C4" s="2710"/>
      <c r="D4" s="2710"/>
      <c r="E4" s="2710"/>
      <c r="F4" s="2710"/>
      <c r="G4" s="2710"/>
      <c r="H4" s="2710"/>
      <c r="I4" s="2710"/>
      <c r="J4" s="2710"/>
      <c r="K4" s="2712" t="s">
        <v>332</v>
      </c>
      <c r="L4" s="2624" t="str">
        <f>IF(PreparedBy="","",PreparedBy)</f>
        <v/>
      </c>
      <c r="M4" s="2623" t="str">
        <f>IF(DatePrepared="","",DatePrepared)</f>
        <v/>
      </c>
      <c r="O4" s="3247" t="s">
        <v>2526</v>
      </c>
    </row>
    <row r="5" spans="1:15" ht="17.25" customHeight="1">
      <c r="A5" s="2708"/>
      <c r="B5" s="2710"/>
      <c r="C5" s="2710"/>
      <c r="D5" s="2710"/>
      <c r="E5" s="2710"/>
      <c r="F5" s="2710"/>
      <c r="G5" s="2710"/>
      <c r="H5" s="2710"/>
      <c r="I5" s="2710"/>
      <c r="J5" s="2710"/>
      <c r="K5" s="2712" t="s">
        <v>333</v>
      </c>
      <c r="L5" s="2625"/>
      <c r="M5" s="2626"/>
    </row>
    <row r="6" spans="1:15" ht="15.75">
      <c r="A6" s="2708"/>
      <c r="B6" s="2709"/>
      <c r="C6" s="2709"/>
      <c r="D6" s="2709"/>
      <c r="E6" s="2709"/>
      <c r="F6" s="2709"/>
      <c r="G6" s="2709"/>
      <c r="H6" s="2709"/>
      <c r="I6" s="2709"/>
      <c r="J6" s="2709"/>
      <c r="K6" s="2709"/>
      <c r="L6" s="2709"/>
      <c r="M6" s="2709"/>
    </row>
    <row r="7" spans="1:15" ht="15.75">
      <c r="A7" s="3787" t="s">
        <v>2281</v>
      </c>
      <c r="B7" s="3787"/>
      <c r="C7" s="3787"/>
      <c r="D7" s="3787"/>
      <c r="E7" s="3787"/>
      <c r="F7" s="3787"/>
      <c r="G7" s="3787"/>
      <c r="H7" s="3787"/>
      <c r="I7" s="3787"/>
      <c r="J7" s="3787"/>
      <c r="K7" s="2713"/>
      <c r="L7" s="2713"/>
      <c r="M7" s="2714"/>
    </row>
    <row r="8" spans="1:15">
      <c r="A8" s="2715" t="s">
        <v>2282</v>
      </c>
      <c r="B8" s="2716"/>
      <c r="C8" s="3786"/>
      <c r="D8" s="3786"/>
      <c r="E8" s="3786"/>
      <c r="F8" s="3786"/>
      <c r="G8" s="3786"/>
      <c r="H8" s="3786"/>
      <c r="I8" s="3786"/>
      <c r="J8" s="3786"/>
      <c r="M8" s="1621"/>
    </row>
    <row r="9" spans="1:15">
      <c r="A9" s="2715" t="s">
        <v>2283</v>
      </c>
      <c r="B9" s="2716"/>
      <c r="C9" s="3786"/>
      <c r="D9" s="3786"/>
      <c r="E9" s="3786"/>
      <c r="F9" s="3786"/>
      <c r="G9" s="3786"/>
      <c r="H9" s="3786"/>
      <c r="I9" s="3786"/>
      <c r="J9" s="3786"/>
    </row>
    <row r="10" spans="1:15" ht="18.95" customHeight="1">
      <c r="A10" s="2551" t="s">
        <v>1439</v>
      </c>
      <c r="B10" s="3788" t="s">
        <v>2284</v>
      </c>
      <c r="C10" s="3788"/>
      <c r="D10" s="3788"/>
      <c r="E10" s="3788"/>
      <c r="F10" s="3788"/>
      <c r="G10" s="3788"/>
      <c r="H10" s="2552" t="s">
        <v>2285</v>
      </c>
      <c r="I10" s="2552" t="s">
        <v>2286</v>
      </c>
      <c r="J10" s="2552" t="s">
        <v>2287</v>
      </c>
      <c r="L10" s="2712"/>
      <c r="M10" s="1773"/>
    </row>
    <row r="11" spans="1:15" ht="18.95" customHeight="1">
      <c r="A11" s="2553">
        <v>1</v>
      </c>
      <c r="B11" s="3786"/>
      <c r="C11" s="3786"/>
      <c r="D11" s="3786"/>
      <c r="E11" s="3786"/>
      <c r="F11" s="3786"/>
      <c r="G11" s="3786"/>
      <c r="H11" s="2554"/>
      <c r="I11" s="2555"/>
      <c r="J11" s="2555"/>
    </row>
    <row r="12" spans="1:15" ht="18.95" customHeight="1">
      <c r="A12" s="2553">
        <v>1</v>
      </c>
      <c r="B12" s="3786"/>
      <c r="C12" s="3786"/>
      <c r="D12" s="3786"/>
      <c r="E12" s="3786"/>
      <c r="F12" s="3786"/>
      <c r="G12" s="3786"/>
      <c r="H12" s="2554"/>
      <c r="I12" s="2555"/>
      <c r="J12" s="2555"/>
    </row>
    <row r="13" spans="1:15" ht="18.95" customHeight="1">
      <c r="A13" s="2553">
        <v>3</v>
      </c>
      <c r="B13" s="3786"/>
      <c r="C13" s="3786"/>
      <c r="D13" s="3786"/>
      <c r="E13" s="3786"/>
      <c r="F13" s="3786"/>
      <c r="G13" s="3786"/>
      <c r="H13" s="2554"/>
      <c r="I13" s="2555"/>
      <c r="J13" s="2555"/>
    </row>
    <row r="14" spans="1:15" ht="18.95" customHeight="1">
      <c r="A14" s="2553">
        <v>4</v>
      </c>
      <c r="B14" s="3786"/>
      <c r="C14" s="3786"/>
      <c r="D14" s="3786"/>
      <c r="E14" s="3786"/>
      <c r="F14" s="3786"/>
      <c r="G14" s="3786"/>
      <c r="H14" s="2554"/>
      <c r="I14" s="2555"/>
      <c r="J14" s="2555"/>
    </row>
    <row r="15" spans="1:15" ht="18.95" customHeight="1">
      <c r="A15" s="2553">
        <v>5</v>
      </c>
      <c r="B15" s="3786"/>
      <c r="C15" s="3786"/>
      <c r="D15" s="3786"/>
      <c r="E15" s="3786"/>
      <c r="F15" s="3786"/>
      <c r="G15" s="3786"/>
      <c r="H15" s="2554"/>
      <c r="I15" s="2555"/>
      <c r="J15" s="2555"/>
    </row>
    <row r="16" spans="1:15" ht="18.95" customHeight="1">
      <c r="A16" s="2553">
        <v>6</v>
      </c>
      <c r="B16" s="3786"/>
      <c r="C16" s="3786"/>
      <c r="D16" s="3786"/>
      <c r="E16" s="3786"/>
      <c r="F16" s="3786"/>
      <c r="G16" s="3786"/>
      <c r="H16" s="2554"/>
      <c r="I16" s="2555"/>
      <c r="J16" s="2555"/>
    </row>
    <row r="17" spans="1:10" ht="18.95" customHeight="1">
      <c r="A17" s="2553">
        <v>7</v>
      </c>
      <c r="B17" s="3786"/>
      <c r="C17" s="3786"/>
      <c r="D17" s="3786"/>
      <c r="E17" s="3786"/>
      <c r="F17" s="3786"/>
      <c r="G17" s="3786"/>
      <c r="H17" s="2554"/>
      <c r="I17" s="2555"/>
      <c r="J17" s="2555"/>
    </row>
    <row r="18" spans="1:10" ht="18.95" customHeight="1">
      <c r="A18" s="2553">
        <v>8</v>
      </c>
      <c r="B18" s="3786"/>
      <c r="C18" s="3786"/>
      <c r="D18" s="3786"/>
      <c r="E18" s="3786"/>
      <c r="F18" s="3786"/>
      <c r="G18" s="3786"/>
      <c r="H18" s="2554"/>
      <c r="I18" s="2555"/>
      <c r="J18" s="2555"/>
    </row>
    <row r="19" spans="1:10" ht="18.95" customHeight="1">
      <c r="A19" s="2553">
        <v>9</v>
      </c>
      <c r="B19" s="3786"/>
      <c r="C19" s="3786"/>
      <c r="D19" s="3786"/>
      <c r="E19" s="3786"/>
      <c r="F19" s="3786"/>
      <c r="G19" s="3786"/>
      <c r="H19" s="2554"/>
      <c r="I19" s="2555"/>
      <c r="J19" s="2555"/>
    </row>
    <row r="20" spans="1:10" ht="18.95" customHeight="1">
      <c r="A20" s="2553">
        <v>11</v>
      </c>
      <c r="B20" s="3786"/>
      <c r="C20" s="3786"/>
      <c r="D20" s="3786"/>
      <c r="E20" s="3786"/>
      <c r="F20" s="3786"/>
      <c r="G20" s="3786"/>
      <c r="H20" s="2554"/>
      <c r="I20" s="2555"/>
      <c r="J20" s="2555"/>
    </row>
    <row r="21" spans="1:10" ht="18.95" customHeight="1">
      <c r="A21" s="2553">
        <v>12</v>
      </c>
      <c r="B21" s="3786"/>
      <c r="C21" s="3786"/>
      <c r="D21" s="3786"/>
      <c r="E21" s="3786"/>
      <c r="F21" s="3786"/>
      <c r="G21" s="3786"/>
      <c r="H21" s="2554"/>
      <c r="I21" s="2555"/>
      <c r="J21" s="2555"/>
    </row>
    <row r="22" spans="1:10" ht="18.95" customHeight="1">
      <c r="A22" s="2553">
        <v>13</v>
      </c>
      <c r="B22" s="3786"/>
      <c r="C22" s="3786"/>
      <c r="D22" s="3786"/>
      <c r="E22" s="3786"/>
      <c r="F22" s="3786"/>
      <c r="G22" s="3786"/>
      <c r="H22" s="2554"/>
      <c r="I22" s="2555"/>
      <c r="J22" s="2555"/>
    </row>
    <row r="23" spans="1:10" ht="18.95" customHeight="1">
      <c r="A23" s="2553">
        <v>14</v>
      </c>
      <c r="B23" s="3786"/>
      <c r="C23" s="3786"/>
      <c r="D23" s="3786"/>
      <c r="E23" s="3786"/>
      <c r="F23" s="3786"/>
      <c r="G23" s="3786"/>
      <c r="H23" s="2554"/>
      <c r="I23" s="2555"/>
      <c r="J23" s="2555"/>
    </row>
    <row r="24" spans="1:10" ht="18.95" customHeight="1">
      <c r="A24" s="2553">
        <v>15</v>
      </c>
      <c r="B24" s="3786"/>
      <c r="C24" s="3786"/>
      <c r="D24" s="3786"/>
      <c r="E24" s="3786"/>
      <c r="F24" s="3786"/>
      <c r="G24" s="3786"/>
      <c r="H24" s="2554"/>
      <c r="I24" s="2555"/>
      <c r="J24" s="2555"/>
    </row>
    <row r="25" spans="1:10" ht="18.95" customHeight="1">
      <c r="A25" s="2553">
        <v>16</v>
      </c>
      <c r="B25" s="3786"/>
      <c r="C25" s="3786"/>
      <c r="D25" s="3786"/>
      <c r="E25" s="3786"/>
      <c r="F25" s="3786"/>
      <c r="G25" s="3786"/>
      <c r="H25" s="2554"/>
      <c r="I25" s="2555"/>
      <c r="J25" s="2555"/>
    </row>
    <row r="26" spans="1:10" ht="18.95" customHeight="1">
      <c r="A26" s="2553">
        <v>17</v>
      </c>
      <c r="B26" s="3786"/>
      <c r="C26" s="3786"/>
      <c r="D26" s="3786"/>
      <c r="E26" s="3786"/>
      <c r="F26" s="3786"/>
      <c r="G26" s="3786"/>
      <c r="H26" s="2554"/>
      <c r="I26" s="2555"/>
      <c r="J26" s="2555"/>
    </row>
    <row r="27" spans="1:10" ht="18.95" customHeight="1">
      <c r="A27" s="2553">
        <v>18</v>
      </c>
      <c r="B27" s="3786"/>
      <c r="C27" s="3786"/>
      <c r="D27" s="3786"/>
      <c r="E27" s="3786"/>
      <c r="F27" s="3786"/>
      <c r="G27" s="3786"/>
      <c r="H27" s="2554"/>
      <c r="I27" s="2555"/>
      <c r="J27" s="2555"/>
    </row>
    <row r="28" spans="1:10" ht="18.95" customHeight="1">
      <c r="A28" s="2553">
        <v>19</v>
      </c>
      <c r="B28" s="3786"/>
      <c r="C28" s="3786"/>
      <c r="D28" s="3786"/>
      <c r="E28" s="3786"/>
      <c r="F28" s="3786"/>
      <c r="G28" s="3786"/>
      <c r="H28" s="2554"/>
      <c r="I28" s="2555"/>
      <c r="J28" s="2555"/>
    </row>
    <row r="29" spans="1:10" ht="18.95" customHeight="1">
      <c r="A29" s="2553">
        <v>20</v>
      </c>
      <c r="B29" s="3786"/>
      <c r="C29" s="3786"/>
      <c r="D29" s="3786"/>
      <c r="E29" s="3786"/>
      <c r="F29" s="3786"/>
      <c r="G29" s="3786"/>
      <c r="H29" s="2554"/>
      <c r="I29" s="2555"/>
      <c r="J29" s="2555"/>
    </row>
  </sheetData>
  <mergeCells count="23">
    <mergeCell ref="B18:G18"/>
    <mergeCell ref="A7:J7"/>
    <mergeCell ref="C8:J8"/>
    <mergeCell ref="C9:J9"/>
    <mergeCell ref="B10:G10"/>
    <mergeCell ref="B11:G11"/>
    <mergeCell ref="B12:G12"/>
    <mergeCell ref="B13:G13"/>
    <mergeCell ref="B14:G14"/>
    <mergeCell ref="B15:G15"/>
    <mergeCell ref="B16:G16"/>
    <mergeCell ref="B17:G17"/>
    <mergeCell ref="B29:G29"/>
    <mergeCell ref="B19:G19"/>
    <mergeCell ref="B20:G20"/>
    <mergeCell ref="B21:G21"/>
    <mergeCell ref="B22:G22"/>
    <mergeCell ref="B23:G23"/>
    <mergeCell ref="B24:G24"/>
    <mergeCell ref="B25:G25"/>
    <mergeCell ref="B26:G26"/>
    <mergeCell ref="B27:G27"/>
    <mergeCell ref="B28:G28"/>
  </mergeCells>
  <hyperlinks>
    <hyperlink ref="O4" location="'WPIndex'!A1" display="Back to Workpaper Index" xr:uid="{3B2D11A4-CE66-4FC4-BDEA-1A16C8218646}"/>
  </hyperlinks>
  <printOptions horizontalCentered="1"/>
  <pageMargins left="0.59055118110236227" right="0.43307086614173229" top="0.6692913385826772" bottom="0.94488188976377963" header="0.51181102362204722" footer="0.39370078740157483"/>
  <pageSetup paperSize="9" scale="94" fitToHeight="999" orientation="landscape" r:id="rId1"/>
  <headerFooter alignWithMargins="0">
    <oddFooter>&amp;L&amp;8© Findex (Aust) Pty Ltd.  All rights reserved.&amp;R&amp;8&amp;P/&amp;N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Client_Cover_Sheet_Sheet">
    <tabColor theme="8" tint="0.79998168889431442"/>
    <pageSetUpPr autoPageBreaks="0" fitToPage="1"/>
  </sheetPr>
  <dimension ref="A1:J20"/>
  <sheetViews>
    <sheetView topLeftCell="C3" zoomScaleNormal="100" workbookViewId="0">
      <selection activeCell="B62" sqref="B62"/>
    </sheetView>
  </sheetViews>
  <sheetFormatPr defaultColWidth="9.140625" defaultRowHeight="15"/>
  <cols>
    <col min="1" max="2" width="9.140625" style="3031" hidden="1" customWidth="1"/>
    <col min="3" max="3" width="9.7109375" style="3031" customWidth="1"/>
    <col min="4" max="4" width="5.7109375" style="3031" customWidth="1"/>
    <col min="5" max="5" width="18.5703125" style="3031" customWidth="1"/>
    <col min="6" max="6" width="21.85546875" style="3031" customWidth="1"/>
    <col min="7" max="7" width="32" style="3032" customWidth="1"/>
    <col min="8" max="8" width="4.42578125" style="3032" customWidth="1"/>
    <col min="9" max="9" width="12.42578125" style="3031" bestFit="1" customWidth="1"/>
    <col min="10" max="16384" width="9.140625" style="3031"/>
  </cols>
  <sheetData>
    <row r="1" spans="1:10" hidden="1">
      <c r="A1" s="3030"/>
    </row>
    <row r="2" spans="1:10" s="3033" customFormat="1" ht="28.5" hidden="1" customHeight="1">
      <c r="B2" s="3033" t="s">
        <v>915</v>
      </c>
      <c r="C2" s="3034"/>
      <c r="D2" s="3034"/>
      <c r="F2" s="3035"/>
      <c r="G2" s="3036"/>
      <c r="H2" s="3036"/>
    </row>
    <row r="3" spans="1:10" ht="30" customHeight="1">
      <c r="B3" s="3031" t="s">
        <v>916</v>
      </c>
      <c r="C3" s="3037"/>
      <c r="E3" s="3038"/>
      <c r="F3" s="3038"/>
      <c r="I3" s="3247" t="s">
        <v>2526</v>
      </c>
      <c r="J3" s="1603"/>
    </row>
    <row r="4" spans="1:10" s="3033" customFormat="1" ht="20.25">
      <c r="B4" s="3031" t="s">
        <v>917</v>
      </c>
      <c r="D4" s="3031"/>
      <c r="E4" s="3039"/>
      <c r="F4" s="3040" t="s">
        <v>208</v>
      </c>
    </row>
    <row r="5" spans="1:10" s="3033" customFormat="1" ht="20.25">
      <c r="B5" s="3031"/>
      <c r="D5" s="3031"/>
      <c r="E5" s="3039"/>
      <c r="F5" s="3040"/>
    </row>
    <row r="6" spans="1:10" s="3033" customFormat="1" ht="20.25">
      <c r="B6" s="3031"/>
      <c r="C6" s="3789" t="str">
        <f>"Tax Planning for the Year Ended 30 June " &amp; YEAR('Input Info'!$F$8)</f>
        <v>Tax Planning for the Year Ended 30 June 2024</v>
      </c>
      <c r="D6" s="3789"/>
      <c r="E6" s="3789"/>
      <c r="F6" s="3789"/>
      <c r="G6" s="3789"/>
      <c r="H6" s="3789"/>
    </row>
    <row r="7" spans="1:10" s="3033" customFormat="1" ht="20.25">
      <c r="B7" s="3031"/>
      <c r="C7" s="3041"/>
      <c r="D7" s="3041"/>
      <c r="E7" s="3041"/>
      <c r="F7" s="3041"/>
      <c r="G7" s="3041"/>
      <c r="H7" s="3041"/>
    </row>
    <row r="8" spans="1:10" s="3033" customFormat="1" ht="20.25">
      <c r="B8" s="3031"/>
      <c r="C8" s="3041"/>
      <c r="D8" s="3041"/>
      <c r="E8" s="3041"/>
      <c r="F8" s="3041"/>
      <c r="G8" s="3041"/>
      <c r="H8" s="3041"/>
    </row>
    <row r="9" spans="1:10" ht="78.75" customHeight="1">
      <c r="B9" s="3031" t="s">
        <v>916</v>
      </c>
      <c r="C9" s="3790" t="str">
        <f>ClientName</f>
        <v>Example Trust</v>
      </c>
      <c r="D9" s="3790"/>
      <c r="E9" s="3790"/>
      <c r="F9" s="3790"/>
      <c r="G9" s="3790"/>
      <c r="H9" s="3042"/>
    </row>
    <row r="10" spans="1:10" ht="26.25" customHeight="1">
      <c r="B10" s="3031" t="s">
        <v>916</v>
      </c>
      <c r="D10" s="3043"/>
      <c r="E10" s="3044"/>
      <c r="F10" s="3044"/>
      <c r="G10" s="3044"/>
      <c r="H10" s="3044"/>
    </row>
    <row r="11" spans="1:10">
      <c r="B11" s="3031" t="s">
        <v>916</v>
      </c>
      <c r="G11" s="3031"/>
      <c r="H11" s="3031"/>
    </row>
    <row r="12" spans="1:10">
      <c r="B12" s="3031" t="s">
        <v>916</v>
      </c>
    </row>
    <row r="13" spans="1:10" ht="23.25">
      <c r="B13" s="3031" t="s">
        <v>916</v>
      </c>
      <c r="E13" s="3045"/>
      <c r="F13" s="3045"/>
    </row>
    <row r="14" spans="1:10">
      <c r="B14" s="3031" t="s">
        <v>916</v>
      </c>
      <c r="F14" s="3046"/>
    </row>
    <row r="15" spans="1:10" ht="231" customHeight="1">
      <c r="A15" s="3033"/>
      <c r="B15" s="3033"/>
      <c r="C15" s="3033"/>
      <c r="D15" s="3033"/>
      <c r="E15" s="3033"/>
      <c r="F15" s="3033"/>
      <c r="G15" s="3047"/>
      <c r="H15" s="3047"/>
    </row>
    <row r="16" spans="1:10" hidden="1">
      <c r="A16" s="3033"/>
      <c r="B16" s="3033"/>
      <c r="C16" s="3033"/>
      <c r="D16" s="3033"/>
      <c r="E16" s="3033"/>
      <c r="F16" s="3033"/>
      <c r="G16" s="3047"/>
      <c r="H16" s="3047"/>
    </row>
    <row r="17" spans="1:8" hidden="1">
      <c r="A17" s="3033"/>
      <c r="B17" s="3033"/>
      <c r="C17" s="3033"/>
      <c r="D17" s="3033"/>
      <c r="E17" s="3033"/>
      <c r="F17" s="3033"/>
      <c r="G17" s="3047"/>
      <c r="H17" s="3047"/>
    </row>
    <row r="18" spans="1:8" hidden="1">
      <c r="A18" s="3033"/>
      <c r="B18" s="3033"/>
      <c r="C18" s="3033"/>
      <c r="D18" s="3033"/>
      <c r="E18" s="3033"/>
      <c r="F18" s="3033"/>
      <c r="G18" s="3047"/>
      <c r="H18" s="3047"/>
    </row>
    <row r="19" spans="1:8" hidden="1">
      <c r="A19" s="3033"/>
      <c r="B19" s="3033"/>
      <c r="C19" s="3033"/>
      <c r="D19" s="3033"/>
      <c r="E19" s="3033"/>
      <c r="F19" s="3033"/>
      <c r="G19" s="3047"/>
      <c r="H19" s="3047"/>
    </row>
    <row r="20" spans="1:8" s="3033" customFormat="1" ht="28.5" customHeight="1">
      <c r="B20" s="3033" t="s">
        <v>915</v>
      </c>
      <c r="C20" s="3034"/>
      <c r="D20" s="3034"/>
      <c r="F20" s="3035"/>
      <c r="G20" s="3036"/>
      <c r="H20" s="3036"/>
    </row>
  </sheetData>
  <customSheetViews>
    <customSheetView guid="{BCBE45D4-3C45-4659-992E-5C5D3E9FD81C}" scale="70" fitToPage="1" printArea="1" hiddenRows="1" hiddenColumns="1" topLeftCell="C16">
      <selection activeCell="C3" sqref="C3"/>
      <rowBreaks count="1" manualBreakCount="1">
        <brk id="16" max="16383" man="1"/>
      </rowBreaks>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70" fitToPage="1" printArea="1" hiddenRows="1" hiddenColumns="1" topLeftCell="C9">
      <selection activeCell="C3" sqref="C3"/>
      <rowBreaks count="1" manualBreakCount="1">
        <brk id="16" max="16383" man="1"/>
      </rowBreaks>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2">
    <mergeCell ref="C6:H6"/>
    <mergeCell ref="C9:G9"/>
  </mergeCells>
  <phoneticPr fontId="128" type="noConversion"/>
  <hyperlinks>
    <hyperlink ref="I3" location="'WPIndex'!A1" display="Back to Workpaper Index" xr:uid="{BE46D504-848D-431F-A372-069DC8B6EFC8}"/>
  </hyperlinks>
  <printOptions horizontalCentered="1"/>
  <pageMargins left="0.59055118110236227" right="0.43307086614173229" top="0.6692913385826772" bottom="0.94488188976377963" header="0.51181102362204722" footer="0.39370078740157483"/>
  <pageSetup paperSize="9" fitToHeight="999" orientation="portrait" r:id="rId3"/>
  <headerFooter alignWithMargins="0">
    <oddFooter>&amp;L© Findex (Aust) Pty Ltd.  All rights reserved.</oddFooter>
  </headerFooter>
  <rowBreaks count="1" manualBreakCount="1">
    <brk id="20" max="16383" man="1"/>
  </rowBreaks>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8" tint="0.79998168889431442"/>
  </sheetPr>
  <dimension ref="A1:HY92"/>
  <sheetViews>
    <sheetView topLeftCell="C4" zoomScaleNormal="100" workbookViewId="0">
      <selection sqref="A1:F1"/>
    </sheetView>
  </sheetViews>
  <sheetFormatPr defaultColWidth="9.140625" defaultRowHeight="12.75"/>
  <cols>
    <col min="1" max="1" width="44" style="1691" customWidth="1"/>
    <col min="2" max="2" width="62.85546875" style="1691" customWidth="1"/>
    <col min="3" max="3" width="14.140625" style="1691" customWidth="1"/>
    <col min="4" max="11" width="12.28515625" style="1691" customWidth="1"/>
    <col min="12" max="16" width="12.28515625" style="1691" hidden="1" customWidth="1"/>
    <col min="17" max="18" width="12.28515625" style="1691" customWidth="1"/>
    <col min="19" max="20" width="12.28515625" style="1691" hidden="1" customWidth="1"/>
    <col min="21" max="22" width="12.85546875" style="1691" hidden="1" customWidth="1"/>
    <col min="23" max="24" width="12.85546875" style="1691" customWidth="1"/>
    <col min="25" max="25" width="9.140625" style="1691"/>
    <col min="26" max="26" width="13" style="1691" customWidth="1"/>
    <col min="27" max="27" width="8.42578125" style="1691" customWidth="1"/>
    <col min="28" max="233" width="9.140625" style="1691"/>
    <col min="234" max="16384" width="9.140625" style="1690"/>
  </cols>
  <sheetData>
    <row r="1" spans="1:27" s="1691" customFormat="1"/>
    <row r="2" spans="1:27" s="1691" customFormat="1">
      <c r="B2" s="3247" t="s">
        <v>2526</v>
      </c>
    </row>
    <row r="3" spans="1:27" s="1691" customFormat="1"/>
    <row r="4" spans="1:27" s="1691" customFormat="1">
      <c r="Z4" s="3247"/>
    </row>
    <row r="5" spans="1:27" s="1691" customFormat="1"/>
    <row r="6" spans="1:27" s="1691" customFormat="1" ht="31.5" customHeight="1">
      <c r="A6" s="1994" t="str">
        <f>UPPER(ClientName)</f>
        <v>EXAMPLE TRUST</v>
      </c>
      <c r="B6" s="1727"/>
      <c r="C6" s="1727"/>
      <c r="D6" s="1727"/>
      <c r="E6" s="1727"/>
      <c r="F6" s="1727"/>
      <c r="G6" s="1727"/>
    </row>
    <row r="7" spans="1:27" s="1691" customFormat="1" ht="18.75" customHeight="1">
      <c r="A7" s="1995" t="s">
        <v>1986</v>
      </c>
      <c r="B7" s="1726"/>
      <c r="C7" s="1726"/>
      <c r="D7" s="2104"/>
      <c r="E7" s="1726"/>
      <c r="F7" s="1726"/>
      <c r="G7" s="1726"/>
    </row>
    <row r="8" spans="1:27" s="1691" customFormat="1">
      <c r="A8" s="1996" t="str">
        <f>"For The Year Ended " &amp; TEXT(Period_End,"dd mmmm yyyy")</f>
        <v>For The Year Ended 30 June 2024</v>
      </c>
      <c r="B8" s="1725"/>
      <c r="C8" s="1725"/>
      <c r="D8" s="1725"/>
      <c r="E8" s="1725"/>
      <c r="F8" s="1725"/>
      <c r="G8" s="1725"/>
    </row>
    <row r="9" spans="1:27" s="1691" customFormat="1">
      <c r="A9" s="1997"/>
      <c r="B9" s="1725"/>
      <c r="C9" s="1725"/>
      <c r="D9" s="1725"/>
      <c r="E9" s="1725"/>
      <c r="F9" s="1725"/>
      <c r="G9" s="1725"/>
    </row>
    <row r="10" spans="1:27">
      <c r="A10" s="1989"/>
      <c r="B10" s="1989"/>
      <c r="C10" s="1989"/>
      <c r="D10" s="1989"/>
      <c r="E10" s="1989" t="s">
        <v>208</v>
      </c>
      <c r="F10" s="1989"/>
      <c r="G10" s="1989"/>
      <c r="H10" s="1989"/>
      <c r="I10" s="1989"/>
      <c r="J10" s="1989"/>
      <c r="K10" s="1989"/>
      <c r="L10" s="1989"/>
      <c r="M10" s="1989"/>
      <c r="N10" s="1989"/>
      <c r="O10" s="1989"/>
      <c r="P10" s="1989"/>
      <c r="Q10" s="1989"/>
      <c r="R10" s="1989"/>
      <c r="S10" s="1989"/>
      <c r="T10" s="1989"/>
      <c r="U10" s="1989"/>
      <c r="V10" s="1989"/>
      <c r="W10" s="1989"/>
      <c r="X10" s="1989"/>
      <c r="Y10" s="1724"/>
      <c r="Z10" s="1724"/>
      <c r="AA10" s="1724"/>
    </row>
    <row r="11" spans="1:27">
      <c r="A11" s="1989"/>
      <c r="B11" s="1989"/>
      <c r="C11" s="1989"/>
      <c r="D11" s="1989"/>
      <c r="E11" s="1989" t="s">
        <v>208</v>
      </c>
      <c r="F11" s="1989"/>
      <c r="G11" s="1989"/>
      <c r="H11" s="1989"/>
      <c r="I11" s="1989"/>
      <c r="J11" s="1989"/>
      <c r="K11" s="1989"/>
      <c r="L11" s="1989"/>
      <c r="M11" s="1989"/>
      <c r="N11" s="1989"/>
      <c r="O11" s="1989"/>
      <c r="P11" s="1989"/>
      <c r="Q11" s="1989"/>
      <c r="R11" s="1989"/>
      <c r="S11" s="1989"/>
      <c r="T11" s="1989"/>
      <c r="U11" s="1989"/>
      <c r="V11" s="1989"/>
      <c r="W11" s="1989"/>
      <c r="X11" s="1989"/>
      <c r="Y11" s="1724"/>
      <c r="Z11" s="1724"/>
      <c r="AA11" s="1724"/>
    </row>
    <row r="12" spans="1:27" s="1691" customFormat="1" ht="15">
      <c r="A12" s="1724"/>
      <c r="B12" s="1724"/>
      <c r="C12" s="2060" t="s">
        <v>2037</v>
      </c>
      <c r="D12" s="2060" t="s">
        <v>2037</v>
      </c>
      <c r="E12" s="2060" t="s">
        <v>2037</v>
      </c>
      <c r="F12" s="2060" t="s">
        <v>2037</v>
      </c>
      <c r="G12" s="2060" t="s">
        <v>2037</v>
      </c>
      <c r="H12" s="2060" t="s">
        <v>2037</v>
      </c>
      <c r="I12" s="1724"/>
      <c r="J12" s="1724"/>
      <c r="K12" s="1724"/>
      <c r="L12" s="1724"/>
      <c r="M12" s="1724"/>
      <c r="N12" s="1724"/>
      <c r="O12" s="1724"/>
      <c r="P12" s="1724"/>
      <c r="Q12" s="1724"/>
      <c r="R12" s="1724"/>
      <c r="S12" s="1724"/>
      <c r="T12" s="1724"/>
      <c r="U12" s="1724"/>
      <c r="V12" s="1724"/>
      <c r="W12" s="1724"/>
      <c r="X12" s="1724"/>
      <c r="Y12" s="1724"/>
      <c r="Z12" s="1724"/>
      <c r="AA12" s="1724"/>
    </row>
    <row r="13" spans="1:27" s="1698" customFormat="1" ht="25.5">
      <c r="A13" s="1701"/>
      <c r="B13" s="1701"/>
      <c r="C13" s="1697" t="s">
        <v>2471</v>
      </c>
      <c r="D13" s="1697" t="s">
        <v>2472</v>
      </c>
      <c r="E13" s="1697" t="s">
        <v>2473</v>
      </c>
      <c r="F13" s="1697" t="s">
        <v>2474</v>
      </c>
      <c r="G13" s="1697" t="s">
        <v>2475</v>
      </c>
      <c r="H13" s="1697" t="s">
        <v>2476</v>
      </c>
      <c r="I13" s="1697" t="s">
        <v>1900</v>
      </c>
      <c r="J13" s="1697" t="s">
        <v>1878</v>
      </c>
      <c r="K13" s="1697" t="s">
        <v>1877</v>
      </c>
      <c r="L13" s="1697" t="s">
        <v>1877</v>
      </c>
      <c r="M13" s="1697" t="s">
        <v>1877</v>
      </c>
      <c r="N13" s="1697" t="s">
        <v>1877</v>
      </c>
      <c r="O13" s="1697" t="s">
        <v>1877</v>
      </c>
      <c r="P13" s="1697" t="s">
        <v>1877</v>
      </c>
      <c r="Q13" s="1697" t="s">
        <v>1876</v>
      </c>
      <c r="R13" s="1697" t="s">
        <v>1876</v>
      </c>
      <c r="S13" s="1697" t="s">
        <v>1876</v>
      </c>
      <c r="T13" s="1697" t="s">
        <v>1876</v>
      </c>
      <c r="U13" s="1697" t="s">
        <v>1876</v>
      </c>
      <c r="V13" s="1697" t="s">
        <v>1876</v>
      </c>
      <c r="W13" s="1697" t="s">
        <v>1875</v>
      </c>
      <c r="X13" s="1697" t="s">
        <v>1096</v>
      </c>
    </row>
    <row r="14" spans="1:27" s="1698" customFormat="1">
      <c r="A14" s="1701"/>
      <c r="B14" s="1701"/>
      <c r="C14" s="1697"/>
      <c r="D14" s="1697"/>
      <c r="E14" s="1707"/>
      <c r="F14" s="1697"/>
      <c r="G14" s="1707"/>
      <c r="H14" s="1707"/>
      <c r="I14" s="1707"/>
      <c r="J14" s="1707"/>
      <c r="K14" s="1697"/>
      <c r="L14" s="1697"/>
      <c r="M14" s="1697"/>
      <c r="N14" s="1697"/>
      <c r="O14" s="1697"/>
      <c r="P14" s="1697"/>
      <c r="Q14" s="1697"/>
      <c r="R14" s="1697"/>
      <c r="S14" s="1697"/>
      <c r="T14" s="1697"/>
      <c r="U14" s="1697"/>
      <c r="V14" s="1697"/>
      <c r="W14" s="1697"/>
      <c r="X14" s="1697"/>
    </row>
    <row r="15" spans="1:27" s="1698" customFormat="1">
      <c r="A15" s="1701"/>
      <c r="B15" s="1701"/>
      <c r="C15" s="1697"/>
      <c r="D15" s="1697"/>
      <c r="E15" s="1697"/>
      <c r="F15" s="1697"/>
      <c r="G15" s="1697"/>
      <c r="H15" s="1697"/>
      <c r="I15" s="1697"/>
      <c r="J15" s="1697"/>
      <c r="K15" s="1697"/>
      <c r="L15" s="1697"/>
      <c r="M15" s="1697"/>
      <c r="N15" s="1697"/>
      <c r="O15" s="1697"/>
      <c r="P15" s="1697"/>
      <c r="Q15" s="1697"/>
      <c r="R15" s="1697"/>
      <c r="S15" s="1697"/>
      <c r="T15" s="1697"/>
      <c r="U15" s="1697"/>
      <c r="V15" s="1697"/>
      <c r="W15" s="1697"/>
      <c r="X15" s="1697"/>
    </row>
    <row r="16" spans="1:27" s="1698" customFormat="1">
      <c r="A16" s="1701" t="s">
        <v>1899</v>
      </c>
      <c r="B16" s="1701"/>
      <c r="C16" s="1707">
        <v>0</v>
      </c>
      <c r="D16" s="1707">
        <v>0</v>
      </c>
      <c r="E16" s="1707">
        <v>0</v>
      </c>
      <c r="F16" s="1707">
        <v>0</v>
      </c>
      <c r="G16" s="1707">
        <v>0</v>
      </c>
      <c r="H16" s="1707">
        <v>0</v>
      </c>
      <c r="I16" s="1707">
        <v>0</v>
      </c>
      <c r="J16" s="1707">
        <v>0</v>
      </c>
      <c r="K16" s="1707">
        <v>0</v>
      </c>
      <c r="L16" s="1707">
        <v>0</v>
      </c>
      <c r="M16" s="1707">
        <v>0</v>
      </c>
      <c r="N16" s="1707">
        <v>0</v>
      </c>
      <c r="O16" s="1707">
        <v>0</v>
      </c>
      <c r="P16" s="1707">
        <v>0</v>
      </c>
      <c r="Q16" s="1707">
        <v>0</v>
      </c>
      <c r="R16" s="1707">
        <v>0</v>
      </c>
      <c r="S16" s="1707">
        <v>0</v>
      </c>
      <c r="T16" s="1707">
        <v>0</v>
      </c>
      <c r="U16" s="1707">
        <v>0</v>
      </c>
      <c r="V16" s="1707">
        <v>0</v>
      </c>
      <c r="W16" s="1707">
        <v>0</v>
      </c>
      <c r="X16" s="1707">
        <f>SUM(C16:W16)</f>
        <v>0</v>
      </c>
    </row>
    <row r="17" spans="1:24" s="1698" customFormat="1">
      <c r="A17" s="1701" t="s">
        <v>1898</v>
      </c>
      <c r="B17" s="1701" t="str">
        <f>CONCATENATE("Distribution from ",K13)</f>
        <v>Distribution from &lt;Trust&gt;</v>
      </c>
      <c r="C17" s="1707">
        <v>0</v>
      </c>
      <c r="D17" s="1707">
        <v>0</v>
      </c>
      <c r="E17" s="1707">
        <v>0</v>
      </c>
      <c r="F17" s="1707">
        <v>0</v>
      </c>
      <c r="G17" s="1707">
        <v>0</v>
      </c>
      <c r="H17" s="1707">
        <v>0</v>
      </c>
      <c r="I17" s="1707">
        <v>0</v>
      </c>
      <c r="J17" s="1707">
        <v>0</v>
      </c>
      <c r="K17" s="1707">
        <v>0</v>
      </c>
      <c r="L17" s="1707">
        <v>0</v>
      </c>
      <c r="M17" s="1707">
        <v>0</v>
      </c>
      <c r="N17" s="1707">
        <v>0</v>
      </c>
      <c r="O17" s="1707">
        <v>0</v>
      </c>
      <c r="P17" s="1707">
        <v>0</v>
      </c>
      <c r="Q17" s="1707">
        <v>0</v>
      </c>
      <c r="R17" s="1707">
        <v>0</v>
      </c>
      <c r="S17" s="1707">
        <v>0</v>
      </c>
      <c r="T17" s="1707">
        <v>0</v>
      </c>
      <c r="U17" s="1707">
        <v>0</v>
      </c>
      <c r="V17" s="1707">
        <v>0</v>
      </c>
      <c r="W17" s="1707">
        <v>0</v>
      </c>
      <c r="X17" s="1707">
        <f>SUM(C17:W17)</f>
        <v>0</v>
      </c>
    </row>
    <row r="18" spans="1:24" s="1698" customFormat="1">
      <c r="A18" s="1701"/>
      <c r="B18" s="1701" t="str">
        <f>CONCATENATE("Distribution from ",I13)</f>
        <v>Distribution from &lt;P'ship&gt;</v>
      </c>
      <c r="C18" s="1707">
        <v>0</v>
      </c>
      <c r="D18" s="1707">
        <v>0</v>
      </c>
      <c r="E18" s="1707">
        <v>0</v>
      </c>
      <c r="F18" s="1707">
        <v>0</v>
      </c>
      <c r="G18" s="1707">
        <v>0</v>
      </c>
      <c r="H18" s="1707">
        <v>0</v>
      </c>
      <c r="I18" s="1707">
        <v>0</v>
      </c>
      <c r="J18" s="1707">
        <v>0</v>
      </c>
      <c r="K18" s="1707">
        <v>0</v>
      </c>
      <c r="L18" s="1707">
        <v>0</v>
      </c>
      <c r="M18" s="1707">
        <v>0</v>
      </c>
      <c r="N18" s="1707">
        <v>0</v>
      </c>
      <c r="O18" s="1707">
        <v>0</v>
      </c>
      <c r="P18" s="1707">
        <v>0</v>
      </c>
      <c r="Q18" s="1707">
        <v>0</v>
      </c>
      <c r="R18" s="1707">
        <v>0</v>
      </c>
      <c r="S18" s="1707">
        <v>0</v>
      </c>
      <c r="T18" s="1707">
        <v>0</v>
      </c>
      <c r="U18" s="1707">
        <v>0</v>
      </c>
      <c r="V18" s="1707">
        <v>0</v>
      </c>
      <c r="W18" s="1707">
        <v>0</v>
      </c>
      <c r="X18" s="1707">
        <f>SUM(C18:W18)</f>
        <v>0</v>
      </c>
    </row>
    <row r="19" spans="1:24" s="1698" customFormat="1">
      <c r="A19" s="1701"/>
      <c r="B19" s="1715" t="s">
        <v>1897</v>
      </c>
      <c r="C19" s="1720">
        <v>0</v>
      </c>
      <c r="D19" s="1720">
        <v>0</v>
      </c>
      <c r="E19" s="1720">
        <v>0</v>
      </c>
      <c r="F19" s="1720">
        <v>0</v>
      </c>
      <c r="G19" s="1720">
        <v>0</v>
      </c>
      <c r="H19" s="1720">
        <v>0</v>
      </c>
      <c r="I19" s="1720">
        <v>0</v>
      </c>
      <c r="J19" s="1720">
        <v>0</v>
      </c>
      <c r="K19" s="1720">
        <v>0</v>
      </c>
      <c r="L19" s="1720">
        <v>0</v>
      </c>
      <c r="M19" s="1720">
        <v>0</v>
      </c>
      <c r="N19" s="1720">
        <v>0</v>
      </c>
      <c r="O19" s="1720">
        <v>0</v>
      </c>
      <c r="P19" s="1720">
        <v>0</v>
      </c>
      <c r="Q19" s="1720">
        <v>0</v>
      </c>
      <c r="R19" s="1720">
        <v>0</v>
      </c>
      <c r="S19" s="1720">
        <v>0</v>
      </c>
      <c r="T19" s="1720">
        <v>0</v>
      </c>
      <c r="U19" s="1720">
        <v>0</v>
      </c>
      <c r="V19" s="1720">
        <v>0</v>
      </c>
      <c r="W19" s="1720">
        <v>0</v>
      </c>
      <c r="X19" s="1707">
        <f>SUM(C19:W19)</f>
        <v>0</v>
      </c>
    </row>
    <row r="20" spans="1:24" s="1698" customFormat="1">
      <c r="A20" s="1701" t="s">
        <v>2059</v>
      </c>
      <c r="B20" s="1715" t="s">
        <v>2469</v>
      </c>
      <c r="C20" s="1720">
        <v>0</v>
      </c>
      <c r="D20" s="1720">
        <v>0</v>
      </c>
      <c r="E20" s="1720">
        <v>0</v>
      </c>
      <c r="F20" s="1720">
        <v>0</v>
      </c>
      <c r="G20" s="1720">
        <v>0</v>
      </c>
      <c r="H20" s="1720">
        <v>0</v>
      </c>
      <c r="I20" s="1720">
        <v>0</v>
      </c>
      <c r="J20" s="1720">
        <v>0</v>
      </c>
      <c r="K20" s="1720">
        <v>0</v>
      </c>
      <c r="L20" s="1720">
        <v>0</v>
      </c>
      <c r="M20" s="1720">
        <v>0</v>
      </c>
      <c r="N20" s="1720">
        <v>0</v>
      </c>
      <c r="O20" s="1720">
        <v>0</v>
      </c>
      <c r="P20" s="1720">
        <v>0</v>
      </c>
      <c r="Q20" s="1720">
        <v>0</v>
      </c>
      <c r="R20" s="1720">
        <v>0</v>
      </c>
      <c r="S20" s="1720">
        <v>0</v>
      </c>
      <c r="T20" s="1720">
        <v>0</v>
      </c>
      <c r="U20" s="1720">
        <v>0</v>
      </c>
      <c r="V20" s="1720">
        <v>0</v>
      </c>
      <c r="W20" s="1720">
        <v>0</v>
      </c>
      <c r="X20" s="1707">
        <f t="shared" ref="X20:X21" si="0">SUM(C20:W20)</f>
        <v>0</v>
      </c>
    </row>
    <row r="21" spans="1:24" s="1698" customFormat="1">
      <c r="A21" s="1701"/>
      <c r="B21" s="1715" t="s">
        <v>2469</v>
      </c>
      <c r="C21" s="1720">
        <v>0</v>
      </c>
      <c r="D21" s="1720">
        <v>0</v>
      </c>
      <c r="E21" s="1720">
        <v>0</v>
      </c>
      <c r="F21" s="1720">
        <v>0</v>
      </c>
      <c r="G21" s="1720">
        <v>0</v>
      </c>
      <c r="H21" s="1720">
        <v>0</v>
      </c>
      <c r="I21" s="1720">
        <v>0</v>
      </c>
      <c r="J21" s="1720">
        <v>0</v>
      </c>
      <c r="K21" s="1720">
        <v>0</v>
      </c>
      <c r="L21" s="1720">
        <v>0</v>
      </c>
      <c r="M21" s="1720">
        <v>0</v>
      </c>
      <c r="N21" s="1720">
        <v>0</v>
      </c>
      <c r="O21" s="1720">
        <v>0</v>
      </c>
      <c r="P21" s="1720">
        <v>0</v>
      </c>
      <c r="Q21" s="1720">
        <v>0</v>
      </c>
      <c r="R21" s="1720">
        <v>0</v>
      </c>
      <c r="S21" s="1720">
        <v>0</v>
      </c>
      <c r="T21" s="1720">
        <v>0</v>
      </c>
      <c r="U21" s="1720">
        <v>0</v>
      </c>
      <c r="V21" s="1720">
        <v>0</v>
      </c>
      <c r="W21" s="1720">
        <v>0</v>
      </c>
      <c r="X21" s="1707">
        <f t="shared" si="0"/>
        <v>0</v>
      </c>
    </row>
    <row r="22" spans="1:24" s="1698" customFormat="1">
      <c r="A22" s="1701"/>
      <c r="B22" s="1715" t="s">
        <v>2058</v>
      </c>
      <c r="C22" s="1720">
        <v>0</v>
      </c>
      <c r="D22" s="1720">
        <v>0</v>
      </c>
      <c r="E22" s="1720">
        <v>0</v>
      </c>
      <c r="F22" s="1720">
        <v>0</v>
      </c>
      <c r="G22" s="1720">
        <v>0</v>
      </c>
      <c r="H22" s="1720">
        <v>0</v>
      </c>
      <c r="I22" s="1720">
        <v>0</v>
      </c>
      <c r="J22" s="1720">
        <v>0</v>
      </c>
      <c r="K22" s="1720">
        <v>0</v>
      </c>
      <c r="L22" s="1720">
        <v>0</v>
      </c>
      <c r="M22" s="1720">
        <v>0</v>
      </c>
      <c r="N22" s="1720">
        <v>0</v>
      </c>
      <c r="O22" s="1720">
        <v>0</v>
      </c>
      <c r="P22" s="1720">
        <v>0</v>
      </c>
      <c r="Q22" s="1720">
        <v>0</v>
      </c>
      <c r="R22" s="1720">
        <v>0</v>
      </c>
      <c r="S22" s="1720">
        <v>0</v>
      </c>
      <c r="T22" s="1720">
        <v>0</v>
      </c>
      <c r="U22" s="1720">
        <v>0</v>
      </c>
      <c r="V22" s="1720">
        <v>0</v>
      </c>
      <c r="W22" s="1720">
        <v>0</v>
      </c>
      <c r="X22" s="1707">
        <f>SUM(C22:W22)</f>
        <v>0</v>
      </c>
    </row>
    <row r="23" spans="1:24" s="1698" customFormat="1">
      <c r="A23" s="1701"/>
      <c r="B23" s="1715"/>
      <c r="C23" s="1707"/>
      <c r="D23" s="1707"/>
      <c r="E23" s="1707"/>
      <c r="F23" s="1707"/>
      <c r="G23" s="1707"/>
      <c r="H23" s="1707"/>
      <c r="I23" s="1707"/>
      <c r="J23" s="1707"/>
      <c r="K23" s="1707"/>
      <c r="L23" s="1707"/>
      <c r="M23" s="1707"/>
      <c r="N23" s="1707"/>
      <c r="O23" s="1707"/>
      <c r="P23" s="1707"/>
      <c r="Q23" s="1707"/>
      <c r="R23" s="1707"/>
      <c r="S23" s="1707"/>
      <c r="T23" s="1707"/>
      <c r="U23" s="1707"/>
      <c r="V23" s="1707"/>
      <c r="W23" s="1707"/>
      <c r="X23" s="1707"/>
    </row>
    <row r="24" spans="1:24" s="1698" customFormat="1">
      <c r="A24" s="1723" t="s">
        <v>1901</v>
      </c>
      <c r="B24" s="1718"/>
      <c r="C24" s="1722">
        <f>SUM(C16:C22)</f>
        <v>0</v>
      </c>
      <c r="D24" s="1722">
        <f t="shared" ref="D24:W24" si="1">SUM(D16:D22)</f>
        <v>0</v>
      </c>
      <c r="E24" s="1722">
        <f t="shared" si="1"/>
        <v>0</v>
      </c>
      <c r="F24" s="1722">
        <f t="shared" si="1"/>
        <v>0</v>
      </c>
      <c r="G24" s="1722">
        <f t="shared" si="1"/>
        <v>0</v>
      </c>
      <c r="H24" s="1722">
        <f t="shared" si="1"/>
        <v>0</v>
      </c>
      <c r="I24" s="1722">
        <f t="shared" si="1"/>
        <v>0</v>
      </c>
      <c r="J24" s="1722">
        <f t="shared" si="1"/>
        <v>0</v>
      </c>
      <c r="K24" s="1722">
        <f t="shared" si="1"/>
        <v>0</v>
      </c>
      <c r="L24" s="1722">
        <f t="shared" si="1"/>
        <v>0</v>
      </c>
      <c r="M24" s="1722">
        <f t="shared" si="1"/>
        <v>0</v>
      </c>
      <c r="N24" s="1722">
        <f t="shared" si="1"/>
        <v>0</v>
      </c>
      <c r="O24" s="1722">
        <f t="shared" si="1"/>
        <v>0</v>
      </c>
      <c r="P24" s="1722">
        <f t="shared" si="1"/>
        <v>0</v>
      </c>
      <c r="Q24" s="1722">
        <f t="shared" si="1"/>
        <v>0</v>
      </c>
      <c r="R24" s="1722">
        <f t="shared" si="1"/>
        <v>0</v>
      </c>
      <c r="S24" s="1722">
        <f t="shared" si="1"/>
        <v>0</v>
      </c>
      <c r="T24" s="1722">
        <f t="shared" si="1"/>
        <v>0</v>
      </c>
      <c r="U24" s="1722">
        <f t="shared" si="1"/>
        <v>0</v>
      </c>
      <c r="V24" s="1722">
        <f t="shared" si="1"/>
        <v>0</v>
      </c>
      <c r="W24" s="1722">
        <f t="shared" si="1"/>
        <v>0</v>
      </c>
      <c r="X24" s="1716">
        <f>SUM(X16:X22)</f>
        <v>0</v>
      </c>
    </row>
    <row r="25" spans="1:24" s="1698" customFormat="1">
      <c r="A25" s="1701"/>
      <c r="B25" s="1721"/>
      <c r="C25" s="1707"/>
      <c r="D25" s="1707"/>
      <c r="E25" s="1707"/>
      <c r="F25" s="1707"/>
      <c r="G25" s="1707"/>
      <c r="H25" s="1707"/>
      <c r="I25" s="1707"/>
      <c r="J25" s="1707"/>
      <c r="K25" s="1707"/>
      <c r="L25" s="1707"/>
      <c r="M25" s="1707"/>
      <c r="N25" s="1707"/>
      <c r="O25" s="1707"/>
      <c r="P25" s="1707"/>
      <c r="Q25" s="1707"/>
      <c r="R25" s="1707"/>
      <c r="S25" s="1707"/>
      <c r="T25" s="1707"/>
      <c r="U25" s="1707"/>
      <c r="V25" s="1707"/>
      <c r="W25" s="1707"/>
      <c r="X25" s="1707"/>
    </row>
    <row r="26" spans="1:24" s="1698" customFormat="1">
      <c r="A26" s="1701" t="s">
        <v>1896</v>
      </c>
      <c r="B26" s="1701"/>
      <c r="C26" s="1707">
        <f>IF(C12='Standard Thresholds'!$A$6,IF(C24&lt;'Standard Thresholds'!$A$9,0,IF(C24&lt;('Standard Thresholds'!$A$10+1),((C24-'Standard Thresholds'!$A$9)*'Standard Thresholds'!$D$9),IF(C24&lt;('Standard Thresholds'!$A$11+1),((C24-'Standard Thresholds'!$A$10)*'Standard Thresholds'!$D$10+'Standard Thresholds'!$C$10),IF(C24&lt;('Standard Thresholds'!$A$12+1),((C24-'Standard Thresholds'!$A$11)*'Standard Thresholds'!$D$11+'Standard Thresholds'!$C$11),IF(C24&gt;'Standard Thresholds'!$A$12,((C24-'Standard Thresholds'!$A$12)*'Standard Thresholds'!$D$12+'Standard Thresholds'!$C$12)))))),IF('Standard Thresholds'!$A$18=C12,IF(C24&lt;('Standard Thresholds'!$A$21+1),((C24-'Standard Thresholds'!$A$20)*'Standard Thresholds'!$D$20+'Standard Thresholds'!$C$20),IF(C24&lt;('Standard Thresholds'!$A$22+1),((C24-'Standard Thresholds'!$A$21)*'Standard Thresholds'!$D$21+'Standard Thresholds'!$C$21),IF(C24&gt;'Standard Thresholds'!$A$22,((C24-'Standard Thresholds'!$A$22)*'Standard Thresholds'!$D$22+'Standard Thresholds'!$C$22)))),IF('Standard Thresholds'!$A$24=C12,IF(C24&lt;'Standard Thresholds'!$A$27,0,IF(C24&lt;('Standard Thresholds'!$A$28+1),((C24-'Standard Thresholds'!$A$27)*'Standard Thresholds'!$D$27),IF(C24&lt;('Standard Thresholds'!$A$29+1),((C24-'Standard Thresholds'!$A$28)*'Standard Thresholds'!$D$28+'Standard Thresholds'!$C$28),IF(C24&lt;('Standard Thresholds'!$A$30+1),((C24-'Standard Thresholds'!$A$29)*'Standard Thresholds'!$D$29+'Standard Thresholds'!$C$29),IF(C24&gt;'Standard Thresholds'!$A$30,((C24-'Standard Thresholds'!$A$30)*'Standard Thresholds'!$D$30+'Standard Thresholds'!$C$30)))))),0)))</f>
        <v>0</v>
      </c>
      <c r="D26" s="1707">
        <f>IF(D12='Standard Thresholds'!$A$6,IF(D24&lt;'Standard Thresholds'!$A$9,0,IF(D24&lt;('Standard Thresholds'!$A$10+1),((D24-'Standard Thresholds'!$A$9)*'Standard Thresholds'!$D$9),IF(D24&lt;('Standard Thresholds'!$A$11+1),((D24-'Standard Thresholds'!$A$10)*'Standard Thresholds'!$D$10+'Standard Thresholds'!$C$10),IF(D24&lt;('Standard Thresholds'!$A$12+1),((D24-'Standard Thresholds'!$A$11)*'Standard Thresholds'!$D$11+'Standard Thresholds'!$C$11),IF(D24&gt;'Standard Thresholds'!$A$12,((D24-'Standard Thresholds'!$A$12)*'Standard Thresholds'!$D$12+'Standard Thresholds'!$C$12)))))),IF('Standard Thresholds'!$A$18=D12,IF(D24&lt;('Standard Thresholds'!$A$21+1),((D24-'Standard Thresholds'!$A$20)*'Standard Thresholds'!$D$20+'Standard Thresholds'!$C$20),IF(D24&lt;('Standard Thresholds'!$A$22+1),((D24-'Standard Thresholds'!$A$21)*'Standard Thresholds'!$D$21+'Standard Thresholds'!$C$21),IF(D24&gt;'Standard Thresholds'!$A$22,((D24-'Standard Thresholds'!$A$22)*'Standard Thresholds'!$D$22+'Standard Thresholds'!$C$22)))),IF('Standard Thresholds'!$A$24=D12,IF(D24&lt;'Standard Thresholds'!$A$27,0,IF(D24&lt;('Standard Thresholds'!$A$28+1),((D24-'Standard Thresholds'!$A$27)*'Standard Thresholds'!$D$27),IF(D24&lt;('Standard Thresholds'!$A$29+1),((D24-'Standard Thresholds'!$A$28)*'Standard Thresholds'!$D$28+'Standard Thresholds'!$C$28),IF(D24&lt;('Standard Thresholds'!$A$30+1),((D24-'Standard Thresholds'!$A$29)*'Standard Thresholds'!$D$29+'Standard Thresholds'!$C$29),IF(D24&gt;'Standard Thresholds'!$A$30,((D24-'Standard Thresholds'!$A$30)*'Standard Thresholds'!$D$30+'Standard Thresholds'!$C$30)))))),0)))</f>
        <v>0</v>
      </c>
      <c r="E26" s="1707">
        <f>IF(E12='Standard Thresholds'!$A$6,IF(E24&lt;'Standard Thresholds'!$A$9,0,IF(E24&lt;('Standard Thresholds'!$A$10+1),((E24-'Standard Thresholds'!$A$9)*'Standard Thresholds'!$D$9),IF(E24&lt;('Standard Thresholds'!$A$11+1),((E24-'Standard Thresholds'!$A$10)*'Standard Thresholds'!$D$10+'Standard Thresholds'!$C$10),IF(E24&lt;('Standard Thresholds'!$A$12+1),((E24-'Standard Thresholds'!$A$11)*'Standard Thresholds'!$D$11+'Standard Thresholds'!$C$11),IF(E24&gt;'Standard Thresholds'!$A$12,((E24-'Standard Thresholds'!$A$12)*'Standard Thresholds'!$D$12+'Standard Thresholds'!$C$12)))))),IF('Standard Thresholds'!$A$18=E12,IF(E24&lt;('Standard Thresholds'!$A$21+1),((E24-'Standard Thresholds'!$A$20)*'Standard Thresholds'!$D$20+'Standard Thresholds'!$C$20),IF(E24&lt;('Standard Thresholds'!$A$22+1),((E24-'Standard Thresholds'!$A$21)*'Standard Thresholds'!$D$21+'Standard Thresholds'!$C$21),IF(E24&gt;'Standard Thresholds'!$A$22,((E24-'Standard Thresholds'!$A$22)*'Standard Thresholds'!$D$22+'Standard Thresholds'!$C$22)))),IF('Standard Thresholds'!$A$24=E12,IF(E24&lt;'Standard Thresholds'!$A$27,0,IF(E24&lt;('Standard Thresholds'!$A$28+1),((E24-'Standard Thresholds'!$A$27)*'Standard Thresholds'!$D$27),IF(E24&lt;('Standard Thresholds'!$A$29+1),((E24-'Standard Thresholds'!$A$28)*'Standard Thresholds'!$D$28+'Standard Thresholds'!$C$28),IF(E24&lt;('Standard Thresholds'!$A$30+1),((E24-'Standard Thresholds'!$A$29)*'Standard Thresholds'!$D$29+'Standard Thresholds'!$C$29),IF(E24&gt;'Standard Thresholds'!$A$30,((E24-'Standard Thresholds'!$A$30)*'Standard Thresholds'!$D$30+'Standard Thresholds'!$C$30)))))),0)))</f>
        <v>0</v>
      </c>
      <c r="F26" s="1707">
        <f>IF(F12='Standard Thresholds'!$A$6,IF(F24&lt;'Standard Thresholds'!$A$9,0,IF(F24&lt;('Standard Thresholds'!$A$10+1),((F24-'Standard Thresholds'!$A$9)*'Standard Thresholds'!$D$9),IF(F24&lt;('Standard Thresholds'!$A$11+1),((F24-'Standard Thresholds'!$A$10)*'Standard Thresholds'!$D$10+'Standard Thresholds'!$C$10),IF(F24&lt;('Standard Thresholds'!$A$12+1),((F24-'Standard Thresholds'!$A$11)*'Standard Thresholds'!$D$11+'Standard Thresholds'!$C$11),IF(F24&gt;'Standard Thresholds'!$A$12,((F24-'Standard Thresholds'!$A$12)*'Standard Thresholds'!$D$12+'Standard Thresholds'!$C$12)))))),IF('Standard Thresholds'!$A$18=F12,IF(F24&lt;('Standard Thresholds'!$A$21+1),((F24-'Standard Thresholds'!$A$20)*'Standard Thresholds'!$D$20+'Standard Thresholds'!$C$20),IF(F24&lt;('Standard Thresholds'!$A$22+1),((F24-'Standard Thresholds'!$A$21)*'Standard Thresholds'!$D$21+'Standard Thresholds'!$C$21),IF(F24&gt;'Standard Thresholds'!$A$22,((F24-'Standard Thresholds'!$A$22)*'Standard Thresholds'!$D$22+'Standard Thresholds'!$C$22)))),IF('Standard Thresholds'!$A$24=F12,IF(F24&lt;'Standard Thresholds'!$A$27,0,IF(F24&lt;('Standard Thresholds'!$A$28+1),((F24-'Standard Thresholds'!$A$27)*'Standard Thresholds'!$D$27),IF(F24&lt;('Standard Thresholds'!$A$29+1),((F24-'Standard Thresholds'!$A$28)*'Standard Thresholds'!$D$28+'Standard Thresholds'!$C$28),IF(F24&lt;('Standard Thresholds'!$A$30+1),((F24-'Standard Thresholds'!$A$29)*'Standard Thresholds'!$D$29+'Standard Thresholds'!$C$29),IF(F24&gt;'Standard Thresholds'!$A$30,((F24-'Standard Thresholds'!$A$30)*'Standard Thresholds'!$D$30+'Standard Thresholds'!$C$30)))))),0)))</f>
        <v>0</v>
      </c>
      <c r="G26" s="1707">
        <f>IF(G12='Standard Thresholds'!$A$6,IF(G24&lt;'Standard Thresholds'!$A$9,0,IF(G24&lt;('Standard Thresholds'!$A$10+1),((G24-'Standard Thresholds'!$A$9)*'Standard Thresholds'!$D$9),IF(G24&lt;('Standard Thresholds'!$A$11+1),((G24-'Standard Thresholds'!$A$10)*'Standard Thresholds'!$D$10+'Standard Thresholds'!$C$10),IF(G24&lt;('Standard Thresholds'!$A$12+1),((G24-'Standard Thresholds'!$A$11)*'Standard Thresholds'!$D$11+'Standard Thresholds'!$C$11),IF(G24&gt;'Standard Thresholds'!$A$12,((G24-'Standard Thresholds'!$A$12)*'Standard Thresholds'!$D$12+'Standard Thresholds'!$C$12)))))),IF('Standard Thresholds'!$A$18=G12,IF(G24&lt;('Standard Thresholds'!$A$21+1),((G24-'Standard Thresholds'!$A$20)*'Standard Thresholds'!$D$20+'Standard Thresholds'!$C$20),IF(G24&lt;('Standard Thresholds'!$A$22+1),((G24-'Standard Thresholds'!$A$21)*'Standard Thresholds'!$D$21+'Standard Thresholds'!$C$21),IF(G24&gt;'Standard Thresholds'!$A$22,((G24-'Standard Thresholds'!$A$22)*'Standard Thresholds'!$D$22+'Standard Thresholds'!$C$22)))),IF('Standard Thresholds'!$A$24=G12,IF(G24&lt;'Standard Thresholds'!$A$27,0,IF(G24&lt;('Standard Thresholds'!$A$28+1),((G24-'Standard Thresholds'!$A$27)*'Standard Thresholds'!$D$27),IF(G24&lt;('Standard Thresholds'!$A$29+1),((G24-'Standard Thresholds'!$A$28)*'Standard Thresholds'!$D$28+'Standard Thresholds'!$C$28),IF(G24&lt;('Standard Thresholds'!$A$30+1),((G24-'Standard Thresholds'!$A$29)*'Standard Thresholds'!$D$29+'Standard Thresholds'!$C$29),IF(G24&gt;'Standard Thresholds'!$A$30,((G24-'Standard Thresholds'!$A$30)*'Standard Thresholds'!$D$30+'Standard Thresholds'!$C$30)))))),0)))</f>
        <v>0</v>
      </c>
      <c r="H26" s="1707">
        <f>IF(H12='Standard Thresholds'!$A$6,IF(H24&lt;'Standard Thresholds'!$A$9,0,IF(H24&lt;('Standard Thresholds'!$A$10+1),((H24-'Standard Thresholds'!$A$9)*'Standard Thresholds'!$D$9),IF(H24&lt;('Standard Thresholds'!$A$11+1),((H24-'Standard Thresholds'!$A$10)*'Standard Thresholds'!$D$10+'Standard Thresholds'!$C$10),IF(H24&lt;('Standard Thresholds'!$A$12+1),((H24-'Standard Thresholds'!$A$11)*'Standard Thresholds'!$D$11+'Standard Thresholds'!$C$11),IF(H24&gt;'Standard Thresholds'!$A$12,((H24-'Standard Thresholds'!$A$12)*'Standard Thresholds'!$D$12+'Standard Thresholds'!$C$12)))))),IF('Standard Thresholds'!$A$18=H12,IF(H24&lt;('Standard Thresholds'!$A$21+1),((H24-'Standard Thresholds'!$A$20)*'Standard Thresholds'!$D$20+'Standard Thresholds'!$C$20),IF(H24&lt;('Standard Thresholds'!$A$22+1),((H24-'Standard Thresholds'!$A$21)*'Standard Thresholds'!$D$21+'Standard Thresholds'!$C$21),IF(H24&gt;'Standard Thresholds'!$A$22,((H24-'Standard Thresholds'!$A$22)*'Standard Thresholds'!$D$22+'Standard Thresholds'!$C$22)))),IF('Standard Thresholds'!$A$24=H12,IF(H24&lt;'Standard Thresholds'!$A$27,0,IF(H24&lt;('Standard Thresholds'!$A$28+1),((H24-'Standard Thresholds'!$A$27)*'Standard Thresholds'!$D$27),IF(H24&lt;('Standard Thresholds'!$A$29+1),((H24-'Standard Thresholds'!$A$28)*'Standard Thresholds'!$D$28+'Standard Thresholds'!$C$28),IF(H24&lt;('Standard Thresholds'!$A$30+1),((H24-'Standard Thresholds'!$A$29)*'Standard Thresholds'!$D$29+'Standard Thresholds'!$C$29),IF(H24&gt;'Standard Thresholds'!$A$30,((H24-'Standard Thresholds'!$A$30)*'Standard Thresholds'!$D$30+'Standard Thresholds'!$C$30)))))),0)))</f>
        <v>0</v>
      </c>
      <c r="I26" s="1707">
        <v>0</v>
      </c>
      <c r="J26" s="1707">
        <v>0</v>
      </c>
      <c r="K26" s="1707">
        <v>0</v>
      </c>
      <c r="L26" s="1707">
        <v>0</v>
      </c>
      <c r="M26" s="1707">
        <v>0</v>
      </c>
      <c r="N26" s="1707">
        <v>0</v>
      </c>
      <c r="O26" s="1707">
        <v>0</v>
      </c>
      <c r="P26" s="1707">
        <v>0</v>
      </c>
      <c r="Q26" s="1707">
        <v>0</v>
      </c>
      <c r="R26" s="1707">
        <v>0</v>
      </c>
      <c r="S26" s="1707">
        <v>0</v>
      </c>
      <c r="T26" s="1707">
        <v>0</v>
      </c>
      <c r="U26" s="1707">
        <v>0</v>
      </c>
      <c r="V26" s="1707">
        <v>0</v>
      </c>
      <c r="W26" s="1707">
        <v>0</v>
      </c>
      <c r="X26" s="1711">
        <f>SUM(C26:W26)</f>
        <v>0</v>
      </c>
    </row>
    <row r="27" spans="1:24" s="1698" customFormat="1">
      <c r="A27" s="1701" t="s">
        <v>1793</v>
      </c>
      <c r="B27" s="1701"/>
      <c r="C27" s="1720">
        <f>IF(C12="Resident",IF(C24&lt;'Standard Thresholds'!$B$107,(C24*0),IF(C24&lt;'Standard Thresholds'!$B$108,(C24-'Standard Thresholds'!$B$107)*'Standard Thresholds'!$B$101,C24*'Standard Thresholds'!$B$100)),0)</f>
        <v>0</v>
      </c>
      <c r="D27" s="1720">
        <f>IF(D12="Resident",IF(D24&lt;'Standard Thresholds'!$B$107,(D24*0),IF(D24&lt;'Standard Thresholds'!$B$108,(D24-'Standard Thresholds'!$B$107)*'Standard Thresholds'!$B$101,D24*'Standard Thresholds'!$B$100)),0)</f>
        <v>0</v>
      </c>
      <c r="E27" s="1720">
        <f>IF(E12="Resident",IF(E24&lt;'Standard Thresholds'!$B$107,(E24*0),IF(E24&lt;'Standard Thresholds'!$B$108,(E24-'Standard Thresholds'!$B$107)*'Standard Thresholds'!$B$101,E24*'Standard Thresholds'!$B$100)),0)</f>
        <v>0</v>
      </c>
      <c r="F27" s="1720">
        <f>IF(F12="Resident",IF(F24&lt;'Standard Thresholds'!$B$107,(F24*0),IF(F24&lt;'Standard Thresholds'!$B$108,(F24-'Standard Thresholds'!$B$107)*'Standard Thresholds'!$B$101,F24*'Standard Thresholds'!$B$100)),0)</f>
        <v>0</v>
      </c>
      <c r="G27" s="1720">
        <f>IF(G12="Resident",IF(G24&lt;'Standard Thresholds'!$B$107,(G24*0),IF(G24&lt;'Standard Thresholds'!$B$108,(G24-'Standard Thresholds'!$B$107)*'Standard Thresholds'!$B$101,G24*'Standard Thresholds'!$B$100)),0)</f>
        <v>0</v>
      </c>
      <c r="H27" s="1720">
        <f>IF(H12="Resident",IF(H24&lt;'Standard Thresholds'!$B$107,(H24*0),IF(H24&lt;'Standard Thresholds'!$B$108,(H24-'Standard Thresholds'!$B$107)*'Standard Thresholds'!$B$101,H24*'Standard Thresholds'!$B$100)),0)</f>
        <v>0</v>
      </c>
      <c r="I27" s="1720">
        <v>0</v>
      </c>
      <c r="J27" s="1720">
        <v>0</v>
      </c>
      <c r="K27" s="1720">
        <v>0</v>
      </c>
      <c r="L27" s="1720">
        <v>0</v>
      </c>
      <c r="M27" s="1720">
        <v>0</v>
      </c>
      <c r="N27" s="1720">
        <v>0</v>
      </c>
      <c r="O27" s="1720">
        <v>0</v>
      </c>
      <c r="P27" s="1720">
        <v>0</v>
      </c>
      <c r="Q27" s="1720">
        <v>0</v>
      </c>
      <c r="R27" s="1720">
        <v>0</v>
      </c>
      <c r="S27" s="1720">
        <v>0</v>
      </c>
      <c r="T27" s="1720">
        <v>0</v>
      </c>
      <c r="U27" s="1720">
        <v>0</v>
      </c>
      <c r="V27" s="1720">
        <v>0</v>
      </c>
      <c r="W27" s="1720">
        <v>0</v>
      </c>
      <c r="X27" s="1711">
        <f>SUM(C27:W27)</f>
        <v>0</v>
      </c>
    </row>
    <row r="28" spans="1:24" s="1698" customFormat="1">
      <c r="A28" s="1701" t="s">
        <v>1465</v>
      </c>
      <c r="B28" s="1701"/>
      <c r="C28" s="1707">
        <f>IF(AND(C12="Resident",C69="No",OR(C70="Yes",C71&gt;0)),VLOOKUP(C72,$Z$79:$AA$82,2)*C72,IF(AND(C12="Resident",C69="No",C70="No",OR(C71=0,C71="")),VLOOKUP(C72,'Standard Thresholds'!$A$123:$B$126,2)*C72,0))</f>
        <v>0</v>
      </c>
      <c r="D28" s="1707">
        <f>IF(AND(D12="Resident",OR(D70="Yes",D71&gt;0)),VLOOKUP(D72,$AB$79:$AC$82,2)*D72,IF(AND(D12="Resident",D70="No",OR(D71=0,D71="")),VLOOKUP(D72,'Standard Thresholds'!$A$123:$B$126,2)*D72,0))</f>
        <v>0</v>
      </c>
      <c r="E28" s="1707">
        <f>IF(AND(E12="Resident",OR(E70="Yes",E71&gt;0)),VLOOKUP(E72,$AD$79:$AE$82,2)*E72,IF(AND(E12="Resident",E70="No",OR(E71=0,E71="")),VLOOKUP(E72,'Standard Thresholds'!$A$123:$B$126,2)*E72,0))</f>
        <v>0</v>
      </c>
      <c r="F28" s="1707">
        <f>IF(AND(F12="Resident",OR(F70="Yes",F71&gt;0)),VLOOKUP(F72,$AF$79:$AG$82,2)*F72,IF(AND(F12="Resident",F70="No",OR(F71=0,F71="")),VLOOKUP(F72,'Standard Thresholds'!$A$123:$B$126,2)*F72,0))</f>
        <v>0</v>
      </c>
      <c r="G28" s="1707">
        <f>IF(AND(G12="Resident",OR(G70="Yes",G71&gt;0)),VLOOKUP(G72,$AH$79:$AI$82,2)*G72,IF(AND(G12="Resident",G70="No",OR(G71=0,G71="")),VLOOKUP(G72,'Standard Thresholds'!$A$123:$B$126,2)*G72,0))</f>
        <v>0</v>
      </c>
      <c r="H28" s="1707">
        <f>IF(AND(H12="Resident",OR(H70="Yes",H71&gt;0)),VLOOKUP(H72,$AJ$79:$AK$82,2)*H72,IF(AND(H12="Resident",H70="No",OR(H71=0,H71="")),VLOOKUP(H72,'Standard Thresholds'!$A$123:$B$126,2)*H72,0))</f>
        <v>0</v>
      </c>
      <c r="I28" s="1720">
        <v>0</v>
      </c>
      <c r="J28" s="1720">
        <v>0</v>
      </c>
      <c r="K28" s="1720">
        <v>0</v>
      </c>
      <c r="L28" s="1720">
        <v>0</v>
      </c>
      <c r="M28" s="1720">
        <v>0</v>
      </c>
      <c r="N28" s="1720">
        <v>0</v>
      </c>
      <c r="O28" s="1720">
        <v>0</v>
      </c>
      <c r="P28" s="1720">
        <v>0</v>
      </c>
      <c r="Q28" s="1720">
        <v>0</v>
      </c>
      <c r="R28" s="1720">
        <v>0</v>
      </c>
      <c r="S28" s="1720">
        <v>0</v>
      </c>
      <c r="T28" s="1720">
        <v>0</v>
      </c>
      <c r="U28" s="1720">
        <v>0</v>
      </c>
      <c r="V28" s="1720">
        <v>0</v>
      </c>
      <c r="W28" s="1720">
        <v>0</v>
      </c>
      <c r="X28" s="1711">
        <f>SUM(C28:W28)</f>
        <v>0</v>
      </c>
    </row>
    <row r="29" spans="1:24" s="1698" customFormat="1">
      <c r="A29" s="1715" t="s">
        <v>1895</v>
      </c>
      <c r="B29" s="1701"/>
      <c r="C29" s="1720">
        <v>0</v>
      </c>
      <c r="D29" s="1720">
        <v>0</v>
      </c>
      <c r="E29" s="1720">
        <v>0</v>
      </c>
      <c r="F29" s="1720">
        <v>0</v>
      </c>
      <c r="G29" s="1720">
        <v>0</v>
      </c>
      <c r="H29" s="1720">
        <v>0</v>
      </c>
      <c r="I29" s="1720">
        <v>0</v>
      </c>
      <c r="J29" s="1720">
        <v>0</v>
      </c>
      <c r="K29" s="1720">
        <v>0</v>
      </c>
      <c r="L29" s="1720">
        <v>0</v>
      </c>
      <c r="M29" s="1720">
        <v>0</v>
      </c>
      <c r="N29" s="1720">
        <v>0</v>
      </c>
      <c r="O29" s="1720">
        <v>0</v>
      </c>
      <c r="P29" s="1720">
        <v>0</v>
      </c>
      <c r="Q29" s="1720">
        <v>0</v>
      </c>
      <c r="R29" s="1720">
        <v>0</v>
      </c>
      <c r="S29" s="1720">
        <v>0</v>
      </c>
      <c r="T29" s="1720">
        <v>0</v>
      </c>
      <c r="U29" s="1720">
        <v>0</v>
      </c>
      <c r="V29" s="1720">
        <v>0</v>
      </c>
      <c r="W29" s="1720">
        <v>0</v>
      </c>
      <c r="X29" s="1711">
        <f>SUM(C29:W29)</f>
        <v>0</v>
      </c>
    </row>
    <row r="30" spans="1:24" s="1698" customFormat="1">
      <c r="A30" s="1715" t="s">
        <v>1973</v>
      </c>
      <c r="B30" s="1701"/>
      <c r="C30" s="1720">
        <v>0</v>
      </c>
      <c r="D30" s="1720">
        <v>0</v>
      </c>
      <c r="E30" s="1720">
        <v>0</v>
      </c>
      <c r="F30" s="1720">
        <v>0</v>
      </c>
      <c r="G30" s="1720">
        <v>0</v>
      </c>
      <c r="H30" s="1720">
        <v>0</v>
      </c>
      <c r="I30" s="1720">
        <v>0</v>
      </c>
      <c r="J30" s="1720">
        <v>0</v>
      </c>
      <c r="K30" s="1720">
        <v>0</v>
      </c>
      <c r="L30" s="1720">
        <v>0</v>
      </c>
      <c r="M30" s="1720">
        <v>0</v>
      </c>
      <c r="N30" s="1720">
        <v>0</v>
      </c>
      <c r="O30" s="1720">
        <v>0</v>
      </c>
      <c r="P30" s="1720">
        <v>0</v>
      </c>
      <c r="Q30" s="1720">
        <v>0</v>
      </c>
      <c r="R30" s="1720">
        <v>0</v>
      </c>
      <c r="S30" s="1720">
        <v>0</v>
      </c>
      <c r="T30" s="1720">
        <v>0</v>
      </c>
      <c r="U30" s="1720">
        <v>0</v>
      </c>
      <c r="V30" s="1720">
        <v>0</v>
      </c>
      <c r="W30" s="1720">
        <v>0</v>
      </c>
      <c r="X30" s="1711">
        <f>SUM(C30:W30)</f>
        <v>0</v>
      </c>
    </row>
    <row r="31" spans="1:24" s="1698" customFormat="1">
      <c r="A31" s="1719" t="str">
        <f>"TAX PAYABLE FOR YEAR ENDED " &amp; UPPER(TEXT(Period_End,"dd mmmm yyyy"))</f>
        <v>TAX PAYABLE FOR YEAR ENDED 30 JUNE 2024</v>
      </c>
      <c r="B31" s="1718"/>
      <c r="C31" s="1717">
        <f t="shared" ref="C31:X31" si="2">SUM(C26:C30)</f>
        <v>0</v>
      </c>
      <c r="D31" s="1717">
        <f t="shared" si="2"/>
        <v>0</v>
      </c>
      <c r="E31" s="1717">
        <f t="shared" si="2"/>
        <v>0</v>
      </c>
      <c r="F31" s="1717">
        <f t="shared" si="2"/>
        <v>0</v>
      </c>
      <c r="G31" s="1717">
        <f t="shared" si="2"/>
        <v>0</v>
      </c>
      <c r="H31" s="1717">
        <f t="shared" si="2"/>
        <v>0</v>
      </c>
      <c r="I31" s="1717">
        <f t="shared" si="2"/>
        <v>0</v>
      </c>
      <c r="J31" s="1717">
        <f t="shared" si="2"/>
        <v>0</v>
      </c>
      <c r="K31" s="1717">
        <f t="shared" si="2"/>
        <v>0</v>
      </c>
      <c r="L31" s="1717">
        <f t="shared" si="2"/>
        <v>0</v>
      </c>
      <c r="M31" s="1717">
        <f t="shared" si="2"/>
        <v>0</v>
      </c>
      <c r="N31" s="1717">
        <f t="shared" si="2"/>
        <v>0</v>
      </c>
      <c r="O31" s="1717">
        <f t="shared" si="2"/>
        <v>0</v>
      </c>
      <c r="P31" s="1717">
        <f t="shared" si="2"/>
        <v>0</v>
      </c>
      <c r="Q31" s="1717">
        <f t="shared" si="2"/>
        <v>0</v>
      </c>
      <c r="R31" s="1717">
        <f t="shared" si="2"/>
        <v>0</v>
      </c>
      <c r="S31" s="1717">
        <f t="shared" si="2"/>
        <v>0</v>
      </c>
      <c r="T31" s="1717">
        <f t="shared" si="2"/>
        <v>0</v>
      </c>
      <c r="U31" s="1717">
        <f t="shared" si="2"/>
        <v>0</v>
      </c>
      <c r="V31" s="1717">
        <f t="shared" si="2"/>
        <v>0</v>
      </c>
      <c r="W31" s="1717">
        <f t="shared" si="2"/>
        <v>0</v>
      </c>
      <c r="X31" s="1716">
        <f t="shared" si="2"/>
        <v>0</v>
      </c>
    </row>
    <row r="32" spans="1:24" s="1698" customFormat="1" ht="12.75" customHeight="1">
      <c r="A32" s="1701" t="s">
        <v>1164</v>
      </c>
      <c r="B32" s="1701" t="s">
        <v>1894</v>
      </c>
      <c r="C32" s="1707">
        <v>0</v>
      </c>
      <c r="D32" s="1707">
        <v>0</v>
      </c>
      <c r="E32" s="1707">
        <v>0</v>
      </c>
      <c r="F32" s="1707">
        <v>0</v>
      </c>
      <c r="G32" s="1707">
        <v>0</v>
      </c>
      <c r="H32" s="1707">
        <v>0</v>
      </c>
      <c r="I32" s="1707">
        <v>0</v>
      </c>
      <c r="J32" s="1707">
        <v>0</v>
      </c>
      <c r="K32" s="1707">
        <v>0</v>
      </c>
      <c r="L32" s="1707">
        <v>0</v>
      </c>
      <c r="M32" s="1707">
        <v>0</v>
      </c>
      <c r="N32" s="1707">
        <v>0</v>
      </c>
      <c r="O32" s="1707">
        <v>0</v>
      </c>
      <c r="P32" s="1707">
        <v>0</v>
      </c>
      <c r="Q32" s="1707">
        <v>0</v>
      </c>
      <c r="R32" s="1707">
        <v>0</v>
      </c>
      <c r="S32" s="1707">
        <v>0</v>
      </c>
      <c r="T32" s="1707">
        <v>0</v>
      </c>
      <c r="U32" s="1707">
        <v>0</v>
      </c>
      <c r="V32" s="1707">
        <v>0</v>
      </c>
      <c r="W32" s="1707">
        <v>0</v>
      </c>
      <c r="X32" s="1707">
        <f t="shared" ref="X32:X38" si="3">SUM(C32:W32)</f>
        <v>0</v>
      </c>
    </row>
    <row r="33" spans="1:24" s="1698" customFormat="1">
      <c r="A33" s="1701" t="s">
        <v>1164</v>
      </c>
      <c r="B33" s="1701" t="s">
        <v>1524</v>
      </c>
      <c r="C33" s="1707">
        <v>0</v>
      </c>
      <c r="D33" s="1707">
        <v>0</v>
      </c>
      <c r="E33" s="1707">
        <v>0</v>
      </c>
      <c r="F33" s="1707">
        <v>0</v>
      </c>
      <c r="G33" s="1707">
        <v>0</v>
      </c>
      <c r="H33" s="1707">
        <v>0</v>
      </c>
      <c r="I33" s="1707">
        <v>0</v>
      </c>
      <c r="J33" s="1707">
        <v>0</v>
      </c>
      <c r="K33" s="1707">
        <v>0</v>
      </c>
      <c r="L33" s="1707">
        <v>0</v>
      </c>
      <c r="M33" s="1707">
        <v>0</v>
      </c>
      <c r="N33" s="1707">
        <v>0</v>
      </c>
      <c r="O33" s="1707">
        <v>0</v>
      </c>
      <c r="P33" s="1707">
        <v>0</v>
      </c>
      <c r="Q33" s="1707">
        <v>0</v>
      </c>
      <c r="R33" s="1707">
        <v>0</v>
      </c>
      <c r="S33" s="1707">
        <v>0</v>
      </c>
      <c r="T33" s="1707">
        <v>0</v>
      </c>
      <c r="U33" s="1707">
        <v>0</v>
      </c>
      <c r="V33" s="1707">
        <v>0</v>
      </c>
      <c r="W33" s="1707">
        <v>0</v>
      </c>
      <c r="X33" s="1707">
        <f t="shared" si="3"/>
        <v>0</v>
      </c>
    </row>
    <row r="34" spans="1:24" s="1698" customFormat="1">
      <c r="A34" s="1701" t="s">
        <v>1164</v>
      </c>
      <c r="B34" s="1701" t="s">
        <v>1893</v>
      </c>
      <c r="C34" s="1707">
        <v>0</v>
      </c>
      <c r="D34" s="1707">
        <v>0</v>
      </c>
      <c r="E34" s="1707">
        <v>0</v>
      </c>
      <c r="F34" s="1707">
        <v>0</v>
      </c>
      <c r="G34" s="1707">
        <v>0</v>
      </c>
      <c r="H34" s="1707">
        <v>0</v>
      </c>
      <c r="I34" s="1707">
        <v>0</v>
      </c>
      <c r="J34" s="1707">
        <v>0</v>
      </c>
      <c r="K34" s="1707">
        <v>0</v>
      </c>
      <c r="L34" s="1707">
        <v>0</v>
      </c>
      <c r="M34" s="1707">
        <v>0</v>
      </c>
      <c r="N34" s="1707">
        <v>0</v>
      </c>
      <c r="O34" s="1707">
        <v>0</v>
      </c>
      <c r="P34" s="1707">
        <v>0</v>
      </c>
      <c r="Q34" s="1707">
        <v>0</v>
      </c>
      <c r="R34" s="1707">
        <v>0</v>
      </c>
      <c r="S34" s="1707">
        <v>0</v>
      </c>
      <c r="T34" s="1707">
        <v>0</v>
      </c>
      <c r="U34" s="1707">
        <v>0</v>
      </c>
      <c r="V34" s="1707">
        <v>0</v>
      </c>
      <c r="W34" s="1707">
        <v>0</v>
      </c>
      <c r="X34" s="1707">
        <f t="shared" si="3"/>
        <v>0</v>
      </c>
    </row>
    <row r="35" spans="1:24" s="1698" customFormat="1">
      <c r="A35" s="1701" t="s">
        <v>1164</v>
      </c>
      <c r="B35" s="1701" t="s">
        <v>1892</v>
      </c>
      <c r="C35" s="1707">
        <v>0</v>
      </c>
      <c r="D35" s="1707">
        <v>0</v>
      </c>
      <c r="E35" s="1707">
        <v>0</v>
      </c>
      <c r="F35" s="1707">
        <v>0</v>
      </c>
      <c r="G35" s="1707">
        <v>0</v>
      </c>
      <c r="H35" s="1707">
        <v>0</v>
      </c>
      <c r="I35" s="1707">
        <v>0</v>
      </c>
      <c r="J35" s="1707">
        <v>0</v>
      </c>
      <c r="K35" s="1707">
        <v>0</v>
      </c>
      <c r="L35" s="1707">
        <v>0</v>
      </c>
      <c r="M35" s="1707">
        <v>0</v>
      </c>
      <c r="N35" s="1707">
        <v>0</v>
      </c>
      <c r="O35" s="1707">
        <v>0</v>
      </c>
      <c r="P35" s="1707">
        <v>0</v>
      </c>
      <c r="Q35" s="1707">
        <v>0</v>
      </c>
      <c r="R35" s="1707">
        <v>0</v>
      </c>
      <c r="S35" s="1707">
        <v>0</v>
      </c>
      <c r="T35" s="1707">
        <v>0</v>
      </c>
      <c r="U35" s="1707">
        <v>0</v>
      </c>
      <c r="V35" s="1707">
        <v>0</v>
      </c>
      <c r="W35" s="1707">
        <v>0</v>
      </c>
      <c r="X35" s="1707">
        <f t="shared" si="3"/>
        <v>0</v>
      </c>
    </row>
    <row r="36" spans="1:24" s="1698" customFormat="1">
      <c r="A36" s="1701" t="s">
        <v>1164</v>
      </c>
      <c r="B36" s="1701" t="s">
        <v>1891</v>
      </c>
      <c r="C36" s="1707">
        <v>0</v>
      </c>
      <c r="D36" s="1707">
        <v>0</v>
      </c>
      <c r="E36" s="1707">
        <v>0</v>
      </c>
      <c r="F36" s="1707">
        <v>0</v>
      </c>
      <c r="G36" s="1707">
        <v>0</v>
      </c>
      <c r="H36" s="1707">
        <v>0</v>
      </c>
      <c r="I36" s="1707">
        <v>0</v>
      </c>
      <c r="J36" s="1707">
        <v>0</v>
      </c>
      <c r="K36" s="1707">
        <v>0</v>
      </c>
      <c r="L36" s="1707">
        <v>0</v>
      </c>
      <c r="M36" s="1707">
        <v>0</v>
      </c>
      <c r="N36" s="1707">
        <v>0</v>
      </c>
      <c r="O36" s="1707">
        <v>0</v>
      </c>
      <c r="P36" s="1707">
        <v>0</v>
      </c>
      <c r="Q36" s="1707">
        <v>0</v>
      </c>
      <c r="R36" s="1707">
        <v>0</v>
      </c>
      <c r="S36" s="1707">
        <v>0</v>
      </c>
      <c r="T36" s="1707">
        <v>0</v>
      </c>
      <c r="U36" s="1707">
        <v>0</v>
      </c>
      <c r="V36" s="1707">
        <v>0</v>
      </c>
      <c r="W36" s="1707">
        <v>0</v>
      </c>
      <c r="X36" s="1707">
        <f t="shared" si="3"/>
        <v>0</v>
      </c>
    </row>
    <row r="37" spans="1:24" s="1698" customFormat="1">
      <c r="A37" s="1701" t="s">
        <v>1164</v>
      </c>
      <c r="B37" s="1701" t="s">
        <v>1890</v>
      </c>
      <c r="C37" s="1707">
        <v>0</v>
      </c>
      <c r="D37" s="1707">
        <v>0</v>
      </c>
      <c r="E37" s="1707">
        <v>0</v>
      </c>
      <c r="F37" s="1707">
        <v>0</v>
      </c>
      <c r="G37" s="1707">
        <v>0</v>
      </c>
      <c r="H37" s="1707">
        <v>0</v>
      </c>
      <c r="I37" s="1707">
        <v>0</v>
      </c>
      <c r="J37" s="1707">
        <v>0</v>
      </c>
      <c r="K37" s="1707">
        <v>0</v>
      </c>
      <c r="L37" s="1707">
        <v>0</v>
      </c>
      <c r="M37" s="1707">
        <v>0</v>
      </c>
      <c r="N37" s="1707">
        <v>0</v>
      </c>
      <c r="O37" s="1707">
        <v>0</v>
      </c>
      <c r="P37" s="1707">
        <v>0</v>
      </c>
      <c r="Q37" s="1707">
        <v>0</v>
      </c>
      <c r="R37" s="1707">
        <v>0</v>
      </c>
      <c r="S37" s="1707">
        <v>0</v>
      </c>
      <c r="T37" s="1707">
        <v>0</v>
      </c>
      <c r="U37" s="1707">
        <v>0</v>
      </c>
      <c r="V37" s="1707">
        <v>0</v>
      </c>
      <c r="W37" s="1707">
        <v>0</v>
      </c>
      <c r="X37" s="1707">
        <f t="shared" si="3"/>
        <v>0</v>
      </c>
    </row>
    <row r="38" spans="1:24" s="1698" customFormat="1">
      <c r="A38" s="1701" t="s">
        <v>1164</v>
      </c>
      <c r="B38" s="1701" t="s">
        <v>1996</v>
      </c>
      <c r="C38" s="1707">
        <v>0</v>
      </c>
      <c r="D38" s="1707">
        <v>0</v>
      </c>
      <c r="E38" s="1707">
        <v>0</v>
      </c>
      <c r="F38" s="1707">
        <v>0</v>
      </c>
      <c r="G38" s="1707">
        <v>0</v>
      </c>
      <c r="H38" s="1707">
        <v>0</v>
      </c>
      <c r="I38" s="1707">
        <v>0</v>
      </c>
      <c r="J38" s="1707">
        <v>0</v>
      </c>
      <c r="K38" s="1707">
        <v>0</v>
      </c>
      <c r="L38" s="1707">
        <v>0</v>
      </c>
      <c r="M38" s="1707">
        <v>0</v>
      </c>
      <c r="N38" s="1707">
        <v>0</v>
      </c>
      <c r="O38" s="1707">
        <v>0</v>
      </c>
      <c r="P38" s="1707">
        <v>0</v>
      </c>
      <c r="Q38" s="1707">
        <v>0</v>
      </c>
      <c r="R38" s="1707">
        <v>0</v>
      </c>
      <c r="S38" s="1707">
        <v>0</v>
      </c>
      <c r="T38" s="1707">
        <v>0</v>
      </c>
      <c r="U38" s="1707">
        <v>0</v>
      </c>
      <c r="V38" s="1707">
        <v>0</v>
      </c>
      <c r="W38" s="1707">
        <v>0</v>
      </c>
      <c r="X38" s="1707">
        <f t="shared" si="3"/>
        <v>0</v>
      </c>
    </row>
    <row r="39" spans="1:24" s="1698" customFormat="1">
      <c r="A39" s="1701" t="s">
        <v>1164</v>
      </c>
      <c r="B39" s="1701" t="s">
        <v>1997</v>
      </c>
      <c r="C39" s="1707">
        <v>0</v>
      </c>
      <c r="D39" s="1707">
        <v>0</v>
      </c>
      <c r="E39" s="1707">
        <v>0</v>
      </c>
      <c r="F39" s="1707">
        <v>0</v>
      </c>
      <c r="G39" s="1707">
        <v>0</v>
      </c>
      <c r="H39" s="1707">
        <v>0</v>
      </c>
      <c r="I39" s="1707">
        <v>0</v>
      </c>
      <c r="J39" s="1707">
        <v>0</v>
      </c>
      <c r="K39" s="1707">
        <v>0</v>
      </c>
      <c r="L39" s="1707">
        <v>0</v>
      </c>
      <c r="M39" s="1707">
        <v>0</v>
      </c>
      <c r="N39" s="1707">
        <v>0</v>
      </c>
      <c r="O39" s="1707">
        <v>0</v>
      </c>
      <c r="P39" s="1707">
        <v>0</v>
      </c>
      <c r="Q39" s="1707">
        <v>0</v>
      </c>
      <c r="R39" s="1707">
        <v>0</v>
      </c>
      <c r="S39" s="1707">
        <v>0</v>
      </c>
      <c r="T39" s="1707">
        <v>0</v>
      </c>
      <c r="U39" s="1707">
        <v>0</v>
      </c>
      <c r="V39" s="1707">
        <v>0</v>
      </c>
      <c r="W39" s="1707">
        <v>0</v>
      </c>
      <c r="X39" s="1707">
        <f t="shared" ref="X39:X45" si="4">SUM(C39:W39)</f>
        <v>0</v>
      </c>
    </row>
    <row r="40" spans="1:24" s="1698" customFormat="1">
      <c r="A40" s="1701" t="s">
        <v>1164</v>
      </c>
      <c r="B40" s="1701" t="s">
        <v>1889</v>
      </c>
      <c r="C40" s="1707">
        <v>0</v>
      </c>
      <c r="D40" s="1707">
        <v>0</v>
      </c>
      <c r="E40" s="1707">
        <v>0</v>
      </c>
      <c r="F40" s="1707">
        <v>0</v>
      </c>
      <c r="G40" s="1707">
        <v>0</v>
      </c>
      <c r="H40" s="1707">
        <v>0</v>
      </c>
      <c r="I40" s="1707">
        <v>0</v>
      </c>
      <c r="J40" s="1707">
        <v>0</v>
      </c>
      <c r="K40" s="1707">
        <v>0</v>
      </c>
      <c r="L40" s="1707">
        <v>0</v>
      </c>
      <c r="M40" s="1707">
        <v>0</v>
      </c>
      <c r="N40" s="1707">
        <v>0</v>
      </c>
      <c r="O40" s="1707">
        <v>0</v>
      </c>
      <c r="P40" s="1707">
        <v>0</v>
      </c>
      <c r="Q40" s="1707">
        <v>0</v>
      </c>
      <c r="R40" s="1707">
        <v>0</v>
      </c>
      <c r="S40" s="1707">
        <v>0</v>
      </c>
      <c r="T40" s="1707">
        <v>0</v>
      </c>
      <c r="U40" s="1707">
        <v>0</v>
      </c>
      <c r="V40" s="1707">
        <v>0</v>
      </c>
      <c r="W40" s="1707">
        <v>0</v>
      </c>
      <c r="X40" s="1707">
        <f t="shared" si="4"/>
        <v>0</v>
      </c>
    </row>
    <row r="41" spans="1:24" s="1698" customFormat="1">
      <c r="A41" s="1701" t="s">
        <v>1164</v>
      </c>
      <c r="B41" s="1701" t="s">
        <v>1888</v>
      </c>
      <c r="C41" s="1707">
        <v>0</v>
      </c>
      <c r="D41" s="1707">
        <v>0</v>
      </c>
      <c r="E41" s="1707">
        <v>0</v>
      </c>
      <c r="F41" s="1707">
        <v>0</v>
      </c>
      <c r="G41" s="1707">
        <v>0</v>
      </c>
      <c r="H41" s="1707">
        <v>0</v>
      </c>
      <c r="I41" s="1707">
        <v>0</v>
      </c>
      <c r="J41" s="1707">
        <v>0</v>
      </c>
      <c r="K41" s="1707">
        <v>0</v>
      </c>
      <c r="L41" s="1707">
        <v>0</v>
      </c>
      <c r="M41" s="1707">
        <v>0</v>
      </c>
      <c r="N41" s="1707">
        <v>0</v>
      </c>
      <c r="O41" s="1707">
        <v>0</v>
      </c>
      <c r="P41" s="1707">
        <v>0</v>
      </c>
      <c r="Q41" s="1707">
        <v>0</v>
      </c>
      <c r="R41" s="1707">
        <v>0</v>
      </c>
      <c r="S41" s="1707">
        <v>0</v>
      </c>
      <c r="T41" s="1707">
        <v>0</v>
      </c>
      <c r="U41" s="1707">
        <v>0</v>
      </c>
      <c r="V41" s="1707">
        <v>0</v>
      </c>
      <c r="W41" s="1707">
        <v>0</v>
      </c>
      <c r="X41" s="1707">
        <f t="shared" si="4"/>
        <v>0</v>
      </c>
    </row>
    <row r="42" spans="1:24" s="1698" customFormat="1">
      <c r="A42" s="1701" t="s">
        <v>1164</v>
      </c>
      <c r="B42" s="1715" t="s">
        <v>1887</v>
      </c>
      <c r="C42" s="1707">
        <v>0</v>
      </c>
      <c r="D42" s="1707">
        <v>0</v>
      </c>
      <c r="E42" s="1707">
        <v>0</v>
      </c>
      <c r="F42" s="1707">
        <v>0</v>
      </c>
      <c r="G42" s="1707">
        <v>0</v>
      </c>
      <c r="H42" s="1707">
        <v>0</v>
      </c>
      <c r="I42" s="1707">
        <v>0</v>
      </c>
      <c r="J42" s="1707">
        <v>0</v>
      </c>
      <c r="K42" s="1707">
        <v>0</v>
      </c>
      <c r="L42" s="1707">
        <v>0</v>
      </c>
      <c r="M42" s="1707">
        <v>0</v>
      </c>
      <c r="N42" s="1707">
        <v>0</v>
      </c>
      <c r="O42" s="1707">
        <v>0</v>
      </c>
      <c r="P42" s="1707">
        <v>0</v>
      </c>
      <c r="Q42" s="1707">
        <v>0</v>
      </c>
      <c r="R42" s="1707">
        <v>0</v>
      </c>
      <c r="S42" s="1707">
        <v>0</v>
      </c>
      <c r="T42" s="1707">
        <v>0</v>
      </c>
      <c r="U42" s="1707">
        <v>0</v>
      </c>
      <c r="V42" s="1707">
        <v>0</v>
      </c>
      <c r="W42" s="1707">
        <v>0</v>
      </c>
      <c r="X42" s="1707">
        <f t="shared" si="4"/>
        <v>0</v>
      </c>
    </row>
    <row r="43" spans="1:24" s="1698" customFormat="1">
      <c r="A43" s="1701" t="s">
        <v>1164</v>
      </c>
      <c r="B43" s="1701" t="s">
        <v>1886</v>
      </c>
      <c r="C43" s="1707">
        <v>0</v>
      </c>
      <c r="D43" s="1707">
        <v>0</v>
      </c>
      <c r="E43" s="1707">
        <v>0</v>
      </c>
      <c r="F43" s="1707">
        <v>0</v>
      </c>
      <c r="G43" s="1707">
        <v>0</v>
      </c>
      <c r="H43" s="1707">
        <v>0</v>
      </c>
      <c r="I43" s="1707">
        <v>0</v>
      </c>
      <c r="J43" s="1707">
        <v>0</v>
      </c>
      <c r="K43" s="1707">
        <v>0</v>
      </c>
      <c r="L43" s="1707">
        <v>0</v>
      </c>
      <c r="M43" s="1707">
        <v>0</v>
      </c>
      <c r="N43" s="1707">
        <v>0</v>
      </c>
      <c r="O43" s="1707">
        <v>0</v>
      </c>
      <c r="P43" s="1707">
        <v>0</v>
      </c>
      <c r="Q43" s="1707">
        <v>0</v>
      </c>
      <c r="R43" s="1707">
        <v>0</v>
      </c>
      <c r="S43" s="1707">
        <v>0</v>
      </c>
      <c r="T43" s="1707">
        <v>0</v>
      </c>
      <c r="U43" s="1707">
        <v>0</v>
      </c>
      <c r="V43" s="1707">
        <v>0</v>
      </c>
      <c r="W43" s="1707">
        <v>0</v>
      </c>
      <c r="X43" s="1707">
        <f t="shared" si="4"/>
        <v>0</v>
      </c>
    </row>
    <row r="44" spans="1:24" s="1698" customFormat="1">
      <c r="A44" s="1701" t="s">
        <v>1884</v>
      </c>
      <c r="B44" s="1701" t="s">
        <v>1885</v>
      </c>
      <c r="C44" s="1707">
        <v>0</v>
      </c>
      <c r="D44" s="1707">
        <v>0</v>
      </c>
      <c r="E44" s="1707">
        <v>0</v>
      </c>
      <c r="F44" s="1707">
        <v>0</v>
      </c>
      <c r="G44" s="1707">
        <v>0</v>
      </c>
      <c r="H44" s="1707">
        <v>0</v>
      </c>
      <c r="I44" s="1707">
        <v>0</v>
      </c>
      <c r="J44" s="1707">
        <v>0</v>
      </c>
      <c r="K44" s="1707">
        <v>0</v>
      </c>
      <c r="L44" s="1707">
        <v>0</v>
      </c>
      <c r="M44" s="1707">
        <v>0</v>
      </c>
      <c r="N44" s="1707">
        <v>0</v>
      </c>
      <c r="O44" s="1707">
        <v>0</v>
      </c>
      <c r="P44" s="1707">
        <v>0</v>
      </c>
      <c r="Q44" s="1707">
        <v>0</v>
      </c>
      <c r="R44" s="1707">
        <v>0</v>
      </c>
      <c r="S44" s="1707">
        <v>0</v>
      </c>
      <c r="T44" s="1707">
        <v>0</v>
      </c>
      <c r="U44" s="1707">
        <v>0</v>
      </c>
      <c r="V44" s="1707">
        <v>0</v>
      </c>
      <c r="W44" s="1707">
        <v>0</v>
      </c>
      <c r="X44" s="1707">
        <f t="shared" si="4"/>
        <v>0</v>
      </c>
    </row>
    <row r="45" spans="1:24" s="1698" customFormat="1">
      <c r="A45" s="1701" t="s">
        <v>1884</v>
      </c>
      <c r="B45" s="1701" t="s">
        <v>1883</v>
      </c>
      <c r="C45" s="1714">
        <v>0</v>
      </c>
      <c r="D45" s="1714">
        <v>0</v>
      </c>
      <c r="E45" s="1714">
        <v>0</v>
      </c>
      <c r="F45" s="1714">
        <v>0</v>
      </c>
      <c r="G45" s="1714">
        <v>0</v>
      </c>
      <c r="H45" s="1714">
        <v>0</v>
      </c>
      <c r="I45" s="1714">
        <v>0</v>
      </c>
      <c r="J45" s="1714">
        <v>0</v>
      </c>
      <c r="K45" s="1714">
        <v>0</v>
      </c>
      <c r="L45" s="1714">
        <v>0</v>
      </c>
      <c r="M45" s="1714">
        <v>0</v>
      </c>
      <c r="N45" s="1714">
        <v>0</v>
      </c>
      <c r="O45" s="1714">
        <v>0</v>
      </c>
      <c r="P45" s="1714">
        <v>0</v>
      </c>
      <c r="Q45" s="1714">
        <v>0</v>
      </c>
      <c r="R45" s="1714">
        <v>0</v>
      </c>
      <c r="S45" s="1714">
        <v>0</v>
      </c>
      <c r="T45" s="1714">
        <v>0</v>
      </c>
      <c r="U45" s="1714">
        <v>0</v>
      </c>
      <c r="V45" s="1714">
        <v>0</v>
      </c>
      <c r="W45" s="1714">
        <v>0</v>
      </c>
      <c r="X45" s="1714">
        <f t="shared" si="4"/>
        <v>0</v>
      </c>
    </row>
    <row r="46" spans="1:24" s="1698" customFormat="1" ht="13.5" thickBot="1">
      <c r="A46" s="1728" t="str">
        <f>"BALANCE OF TAX PAYABLE/(REFUNDABLE) FOR THE "  &amp; UPPER(TEXT(Period_End,"dd mmmm yyyy")) &amp; " YEAR"</f>
        <v>BALANCE OF TAX PAYABLE/(REFUNDABLE) FOR THE 30 JUNE 2024 YEAR</v>
      </c>
      <c r="B46" s="1705"/>
      <c r="C46" s="1713">
        <f t="shared" ref="C46:X46" si="5">SUM(C31:C45)</f>
        <v>0</v>
      </c>
      <c r="D46" s="1713">
        <f t="shared" si="5"/>
        <v>0</v>
      </c>
      <c r="E46" s="1713">
        <f t="shared" si="5"/>
        <v>0</v>
      </c>
      <c r="F46" s="1713">
        <f t="shared" si="5"/>
        <v>0</v>
      </c>
      <c r="G46" s="1713">
        <f t="shared" si="5"/>
        <v>0</v>
      </c>
      <c r="H46" s="1713">
        <f t="shared" si="5"/>
        <v>0</v>
      </c>
      <c r="I46" s="1713">
        <f t="shared" si="5"/>
        <v>0</v>
      </c>
      <c r="J46" s="1713">
        <f t="shared" si="5"/>
        <v>0</v>
      </c>
      <c r="K46" s="1713">
        <f t="shared" si="5"/>
        <v>0</v>
      </c>
      <c r="L46" s="1713">
        <f t="shared" si="5"/>
        <v>0</v>
      </c>
      <c r="M46" s="1713">
        <f t="shared" si="5"/>
        <v>0</v>
      </c>
      <c r="N46" s="1713">
        <f t="shared" si="5"/>
        <v>0</v>
      </c>
      <c r="O46" s="1713">
        <f t="shared" si="5"/>
        <v>0</v>
      </c>
      <c r="P46" s="1713">
        <f t="shared" si="5"/>
        <v>0</v>
      </c>
      <c r="Q46" s="1713">
        <f t="shared" si="5"/>
        <v>0</v>
      </c>
      <c r="R46" s="1713">
        <f t="shared" si="5"/>
        <v>0</v>
      </c>
      <c r="S46" s="1713">
        <f t="shared" si="5"/>
        <v>0</v>
      </c>
      <c r="T46" s="1713">
        <f t="shared" si="5"/>
        <v>0</v>
      </c>
      <c r="U46" s="1713">
        <f t="shared" si="5"/>
        <v>0</v>
      </c>
      <c r="V46" s="1713">
        <f t="shared" si="5"/>
        <v>0</v>
      </c>
      <c r="W46" s="1713">
        <f t="shared" si="5"/>
        <v>0</v>
      </c>
      <c r="X46" s="1703">
        <f t="shared" si="5"/>
        <v>0</v>
      </c>
    </row>
    <row r="47" spans="1:24" s="1698" customFormat="1" ht="13.5" thickTop="1">
      <c r="A47" s="1712"/>
      <c r="B47" s="1701"/>
      <c r="C47" s="1707"/>
      <c r="D47" s="1707"/>
      <c r="E47" s="1707"/>
      <c r="F47" s="1707"/>
      <c r="G47" s="1707"/>
      <c r="H47" s="1707"/>
      <c r="I47" s="1707"/>
      <c r="J47" s="1707"/>
      <c r="K47" s="1707"/>
      <c r="L47" s="1707"/>
      <c r="M47" s="1707"/>
      <c r="N47" s="1707"/>
      <c r="O47" s="1707"/>
      <c r="P47" s="1707"/>
      <c r="Q47" s="1707"/>
      <c r="R47" s="1707"/>
      <c r="S47" s="1707"/>
      <c r="T47" s="1707"/>
      <c r="U47" s="1707"/>
      <c r="V47" s="1707"/>
      <c r="W47" s="1707"/>
      <c r="X47" s="1711"/>
    </row>
    <row r="48" spans="1:24" s="1698" customFormat="1">
      <c r="A48" s="1701" t="s">
        <v>1882</v>
      </c>
      <c r="B48" s="1701"/>
      <c r="C48" s="1707"/>
      <c r="D48" s="1707"/>
      <c r="E48" s="1707"/>
      <c r="F48" s="1707"/>
      <c r="G48" s="1707"/>
      <c r="H48" s="1707"/>
      <c r="I48" s="1707"/>
      <c r="J48" s="1707"/>
      <c r="K48" s="1707"/>
      <c r="L48" s="1707"/>
      <c r="M48" s="1707"/>
      <c r="N48" s="1707"/>
      <c r="O48" s="1707"/>
      <c r="P48" s="1707"/>
      <c r="Q48" s="1707"/>
      <c r="R48" s="1707"/>
      <c r="S48" s="1707"/>
      <c r="T48" s="1707"/>
      <c r="U48" s="1707"/>
      <c r="V48" s="1707"/>
      <c r="W48" s="1707"/>
      <c r="X48" s="1707"/>
    </row>
    <row r="49" spans="1:24" s="1698" customFormat="1">
      <c r="A49" s="1701"/>
      <c r="B49" s="1708" t="s">
        <v>1881</v>
      </c>
      <c r="C49" s="1707">
        <v>0</v>
      </c>
      <c r="D49" s="1707">
        <v>0</v>
      </c>
      <c r="E49" s="1707">
        <v>0</v>
      </c>
      <c r="F49" s="1707">
        <v>0</v>
      </c>
      <c r="G49" s="1707">
        <v>0</v>
      </c>
      <c r="H49" s="1707">
        <v>0</v>
      </c>
      <c r="I49" s="1707">
        <v>0</v>
      </c>
      <c r="J49" s="1707">
        <v>0</v>
      </c>
      <c r="K49" s="1707">
        <v>0</v>
      </c>
      <c r="L49" s="1707">
        <v>0</v>
      </c>
      <c r="M49" s="1707">
        <v>0</v>
      </c>
      <c r="N49" s="1707">
        <v>0</v>
      </c>
      <c r="O49" s="1707">
        <v>0</v>
      </c>
      <c r="P49" s="1707">
        <v>0</v>
      </c>
      <c r="Q49" s="1707">
        <v>0</v>
      </c>
      <c r="R49" s="1707">
        <v>0</v>
      </c>
      <c r="S49" s="1707">
        <v>0</v>
      </c>
      <c r="T49" s="1707">
        <v>0</v>
      </c>
      <c r="U49" s="1707">
        <v>0</v>
      </c>
      <c r="V49" s="1707">
        <v>0</v>
      </c>
      <c r="W49" s="1707">
        <v>0</v>
      </c>
      <c r="X49" s="1707">
        <f t="shared" ref="X49:X60" si="6">SUM(C49:W49)</f>
        <v>0</v>
      </c>
    </row>
    <row r="50" spans="1:24" s="1698" customFormat="1">
      <c r="A50" s="1701"/>
      <c r="B50" s="1708" t="s">
        <v>1880</v>
      </c>
      <c r="C50" s="1707">
        <v>0</v>
      </c>
      <c r="D50" s="1707">
        <v>0</v>
      </c>
      <c r="E50" s="1707">
        <v>0</v>
      </c>
      <c r="F50" s="1707">
        <v>0</v>
      </c>
      <c r="G50" s="1707">
        <v>0</v>
      </c>
      <c r="H50" s="1707">
        <v>0</v>
      </c>
      <c r="I50" s="1707">
        <v>0</v>
      </c>
      <c r="J50" s="1707">
        <v>0</v>
      </c>
      <c r="K50" s="1707">
        <v>0</v>
      </c>
      <c r="L50" s="1707">
        <v>0</v>
      </c>
      <c r="M50" s="1707">
        <v>0</v>
      </c>
      <c r="N50" s="1707">
        <v>0</v>
      </c>
      <c r="O50" s="1707">
        <v>0</v>
      </c>
      <c r="P50" s="1707">
        <v>0</v>
      </c>
      <c r="Q50" s="1707">
        <v>0</v>
      </c>
      <c r="R50" s="1707">
        <v>0</v>
      </c>
      <c r="S50" s="1707">
        <v>0</v>
      </c>
      <c r="T50" s="1707">
        <v>0</v>
      </c>
      <c r="U50" s="1707">
        <v>0</v>
      </c>
      <c r="V50" s="1707">
        <v>0</v>
      </c>
      <c r="W50" s="1707">
        <v>0</v>
      </c>
      <c r="X50" s="1707">
        <f t="shared" si="6"/>
        <v>0</v>
      </c>
    </row>
    <row r="51" spans="1:24" s="1698" customFormat="1">
      <c r="A51" s="1709"/>
      <c r="B51" s="1708" t="s">
        <v>1879</v>
      </c>
      <c r="C51" s="1707">
        <v>0</v>
      </c>
      <c r="D51" s="1707">
        <v>0</v>
      </c>
      <c r="E51" s="1707">
        <v>0</v>
      </c>
      <c r="F51" s="1707">
        <v>0</v>
      </c>
      <c r="G51" s="1707">
        <v>0</v>
      </c>
      <c r="H51" s="1707">
        <v>0</v>
      </c>
      <c r="I51" s="1707">
        <v>0</v>
      </c>
      <c r="J51" s="1707">
        <v>0</v>
      </c>
      <c r="K51" s="1707">
        <v>0</v>
      </c>
      <c r="L51" s="1707">
        <v>0</v>
      </c>
      <c r="M51" s="1707">
        <v>0</v>
      </c>
      <c r="N51" s="1707">
        <v>0</v>
      </c>
      <c r="O51" s="1707">
        <v>0</v>
      </c>
      <c r="P51" s="1707">
        <v>0</v>
      </c>
      <c r="Q51" s="1707">
        <v>0</v>
      </c>
      <c r="R51" s="1707">
        <v>0</v>
      </c>
      <c r="S51" s="1707">
        <v>0</v>
      </c>
      <c r="T51" s="1707">
        <v>0</v>
      </c>
      <c r="U51" s="1707">
        <v>0</v>
      </c>
      <c r="V51" s="1707">
        <v>0</v>
      </c>
      <c r="W51" s="1707">
        <v>0</v>
      </c>
      <c r="X51" s="1707">
        <f t="shared" si="6"/>
        <v>0</v>
      </c>
    </row>
    <row r="52" spans="1:24" s="1698" customFormat="1">
      <c r="A52" s="1709"/>
      <c r="B52" s="1710" t="str">
        <f>TEXT(DATE(YEAR(Period_End),10,31),"dd mmmm yyyy")</f>
        <v>31 October 2024</v>
      </c>
      <c r="C52" s="1707">
        <v>0</v>
      </c>
      <c r="D52" s="1707">
        <v>0</v>
      </c>
      <c r="E52" s="1707">
        <v>0</v>
      </c>
      <c r="F52" s="1707">
        <v>0</v>
      </c>
      <c r="G52" s="1707">
        <v>0</v>
      </c>
      <c r="H52" s="1707">
        <v>0</v>
      </c>
      <c r="I52" s="1707">
        <v>0</v>
      </c>
      <c r="J52" s="1707">
        <v>0</v>
      </c>
      <c r="K52" s="1707">
        <v>0</v>
      </c>
      <c r="L52" s="1707">
        <v>0</v>
      </c>
      <c r="M52" s="1707">
        <v>0</v>
      </c>
      <c r="N52" s="1707">
        <v>0</v>
      </c>
      <c r="O52" s="1707">
        <v>0</v>
      </c>
      <c r="P52" s="1707">
        <v>0</v>
      </c>
      <c r="Q52" s="1707">
        <v>0</v>
      </c>
      <c r="R52" s="1707">
        <v>0</v>
      </c>
      <c r="S52" s="1707">
        <v>0</v>
      </c>
      <c r="T52" s="1707">
        <v>0</v>
      </c>
      <c r="U52" s="1707">
        <v>0</v>
      </c>
      <c r="V52" s="1707">
        <v>0</v>
      </c>
      <c r="W52" s="1707">
        <v>0</v>
      </c>
      <c r="X52" s="1707">
        <f t="shared" si="6"/>
        <v>0</v>
      </c>
    </row>
    <row r="53" spans="1:24" s="1698" customFormat="1">
      <c r="A53" s="1709"/>
      <c r="B53" s="1710" t="str">
        <f>TEXT(DATE(YEAR(Period_End)+1,1,15),"dd mmmm yyyy")</f>
        <v>15 January 2025</v>
      </c>
      <c r="C53" s="1707">
        <v>0</v>
      </c>
      <c r="D53" s="1707">
        <v>0</v>
      </c>
      <c r="E53" s="1707">
        <v>0</v>
      </c>
      <c r="F53" s="1707">
        <v>0</v>
      </c>
      <c r="G53" s="1707">
        <v>0</v>
      </c>
      <c r="H53" s="1707">
        <v>0</v>
      </c>
      <c r="I53" s="1707">
        <v>0</v>
      </c>
      <c r="J53" s="1707">
        <v>0</v>
      </c>
      <c r="K53" s="1707">
        <v>0</v>
      </c>
      <c r="L53" s="1707">
        <v>0</v>
      </c>
      <c r="M53" s="1707">
        <v>0</v>
      </c>
      <c r="N53" s="1707">
        <v>0</v>
      </c>
      <c r="O53" s="1707">
        <v>0</v>
      </c>
      <c r="P53" s="1707">
        <v>0</v>
      </c>
      <c r="Q53" s="1707">
        <v>0</v>
      </c>
      <c r="R53" s="1707">
        <v>0</v>
      </c>
      <c r="S53" s="1707">
        <v>0</v>
      </c>
      <c r="T53" s="1707">
        <v>0</v>
      </c>
      <c r="U53" s="1707">
        <v>0</v>
      </c>
      <c r="V53" s="1707">
        <v>0</v>
      </c>
      <c r="W53" s="1707">
        <v>0</v>
      </c>
      <c r="X53" s="1707">
        <f t="shared" si="6"/>
        <v>0</v>
      </c>
    </row>
    <row r="54" spans="1:24" s="1698" customFormat="1">
      <c r="A54" s="1709"/>
      <c r="B54" s="1710" t="str">
        <f>TEXT(DATE(YEAR(Period_End)+1,2,28),"dd mmmm yyyy")</f>
        <v>28 February 2025</v>
      </c>
      <c r="C54" s="1707">
        <v>0</v>
      </c>
      <c r="D54" s="1707">
        <v>0</v>
      </c>
      <c r="E54" s="1707">
        <v>0</v>
      </c>
      <c r="F54" s="1707">
        <v>0</v>
      </c>
      <c r="G54" s="1707">
        <v>0</v>
      </c>
      <c r="H54" s="1707">
        <v>0</v>
      </c>
      <c r="I54" s="1707">
        <v>0</v>
      </c>
      <c r="J54" s="1707">
        <v>0</v>
      </c>
      <c r="K54" s="1707">
        <v>0</v>
      </c>
      <c r="L54" s="1707">
        <v>0</v>
      </c>
      <c r="M54" s="1707">
        <v>0</v>
      </c>
      <c r="N54" s="1707">
        <v>0</v>
      </c>
      <c r="O54" s="1707">
        <v>0</v>
      </c>
      <c r="P54" s="1707">
        <v>0</v>
      </c>
      <c r="Q54" s="1707">
        <v>0</v>
      </c>
      <c r="R54" s="1707">
        <v>0</v>
      </c>
      <c r="S54" s="1707">
        <v>0</v>
      </c>
      <c r="T54" s="1707">
        <v>0</v>
      </c>
      <c r="U54" s="1707">
        <v>0</v>
      </c>
      <c r="V54" s="1707">
        <v>0</v>
      </c>
      <c r="W54" s="1707">
        <v>0</v>
      </c>
      <c r="X54" s="1707">
        <f t="shared" si="6"/>
        <v>0</v>
      </c>
    </row>
    <row r="55" spans="1:24" s="1698" customFormat="1">
      <c r="A55" s="1709"/>
      <c r="B55" s="1710" t="str">
        <f>"Payment due "&amp;TEXT(DATE(YEAR(Period_End)+1,3,21),"dd mmmm yyyy")</f>
        <v>Payment due 21 March 2025</v>
      </c>
      <c r="C55" s="1707">
        <v>0</v>
      </c>
      <c r="D55" s="1707">
        <v>0</v>
      </c>
      <c r="E55" s="1707">
        <v>0</v>
      </c>
      <c r="F55" s="1707">
        <v>0</v>
      </c>
      <c r="G55" s="1707">
        <v>0</v>
      </c>
      <c r="H55" s="1707">
        <v>0</v>
      </c>
      <c r="I55" s="1707">
        <v>0</v>
      </c>
      <c r="J55" s="1707">
        <v>0</v>
      </c>
      <c r="K55" s="1707">
        <v>0</v>
      </c>
      <c r="L55" s="1707">
        <v>0</v>
      </c>
      <c r="M55" s="1707">
        <v>0</v>
      </c>
      <c r="N55" s="1707">
        <v>0</v>
      </c>
      <c r="O55" s="1707">
        <v>0</v>
      </c>
      <c r="P55" s="1707">
        <v>0</v>
      </c>
      <c r="Q55" s="1707">
        <v>0</v>
      </c>
      <c r="R55" s="1707">
        <v>0</v>
      </c>
      <c r="S55" s="1707">
        <v>0</v>
      </c>
      <c r="T55" s="1707">
        <v>0</v>
      </c>
      <c r="U55" s="1707">
        <v>0</v>
      </c>
      <c r="V55" s="1707">
        <v>0</v>
      </c>
      <c r="W55" s="1707">
        <v>0</v>
      </c>
      <c r="X55" s="1707">
        <f t="shared" si="6"/>
        <v>0</v>
      </c>
    </row>
    <row r="56" spans="1:24" s="1698" customFormat="1">
      <c r="A56" s="1709"/>
      <c r="B56" s="1710" t="str">
        <f>TEXT(DATE(YEAR(Period_End)+1,3,31),"dd mmmm yyyy")</f>
        <v>31 March 2025</v>
      </c>
      <c r="C56" s="1707">
        <v>0</v>
      </c>
      <c r="D56" s="1707">
        <v>0</v>
      </c>
      <c r="E56" s="1707">
        <v>0</v>
      </c>
      <c r="F56" s="1707">
        <v>0</v>
      </c>
      <c r="G56" s="1707">
        <v>0</v>
      </c>
      <c r="H56" s="1707">
        <v>0</v>
      </c>
      <c r="I56" s="1707">
        <v>0</v>
      </c>
      <c r="J56" s="1707">
        <v>0</v>
      </c>
      <c r="K56" s="1707">
        <v>0</v>
      </c>
      <c r="L56" s="1707">
        <v>0</v>
      </c>
      <c r="M56" s="1707">
        <v>0</v>
      </c>
      <c r="N56" s="1707">
        <v>0</v>
      </c>
      <c r="O56" s="1707">
        <v>0</v>
      </c>
      <c r="P56" s="1707">
        <v>0</v>
      </c>
      <c r="Q56" s="1707">
        <v>0</v>
      </c>
      <c r="R56" s="1707">
        <v>0</v>
      </c>
      <c r="S56" s="1707">
        <v>0</v>
      </c>
      <c r="T56" s="1707">
        <v>0</v>
      </c>
      <c r="U56" s="1707">
        <v>0</v>
      </c>
      <c r="V56" s="1707">
        <v>0</v>
      </c>
      <c r="W56" s="1707">
        <v>0</v>
      </c>
      <c r="X56" s="1707">
        <f t="shared" si="6"/>
        <v>0</v>
      </c>
    </row>
    <row r="57" spans="1:24" s="1698" customFormat="1">
      <c r="A57" s="1709"/>
      <c r="B57" s="1710" t="str">
        <f>"Payment due "&amp;TEXT(DATE(YEAR(Period_End)+1,4,21),"dd mmmm yyyy")</f>
        <v>Payment due 21 April 2025</v>
      </c>
      <c r="C57" s="1707">
        <v>0</v>
      </c>
      <c r="D57" s="1707">
        <v>0</v>
      </c>
      <c r="E57" s="1707">
        <v>0</v>
      </c>
      <c r="F57" s="1707">
        <v>0</v>
      </c>
      <c r="G57" s="1707">
        <v>0</v>
      </c>
      <c r="H57" s="1707">
        <v>0</v>
      </c>
      <c r="I57" s="1707">
        <v>0</v>
      </c>
      <c r="J57" s="1707">
        <v>0</v>
      </c>
      <c r="K57" s="1707">
        <v>0</v>
      </c>
      <c r="L57" s="1707">
        <v>0</v>
      </c>
      <c r="M57" s="1707">
        <v>0</v>
      </c>
      <c r="N57" s="1707">
        <v>0</v>
      </c>
      <c r="O57" s="1707">
        <v>0</v>
      </c>
      <c r="P57" s="1707">
        <v>0</v>
      </c>
      <c r="Q57" s="1707">
        <v>0</v>
      </c>
      <c r="R57" s="1707">
        <v>0</v>
      </c>
      <c r="S57" s="1707">
        <v>0</v>
      </c>
      <c r="T57" s="1707">
        <v>0</v>
      </c>
      <c r="U57" s="1707">
        <v>0</v>
      </c>
      <c r="V57" s="1707">
        <v>0</v>
      </c>
      <c r="W57" s="1707">
        <v>0</v>
      </c>
      <c r="X57" s="1707">
        <f t="shared" si="6"/>
        <v>0</v>
      </c>
    </row>
    <row r="58" spans="1:24" s="1698" customFormat="1">
      <c r="A58" s="1709"/>
      <c r="B58" s="1710" t="str">
        <f>TEXT(DATE(YEAR(Period_End)+1,5,15),"dd mmmm yyyy")</f>
        <v>15 May 2025</v>
      </c>
      <c r="C58" s="1707">
        <v>0</v>
      </c>
      <c r="D58" s="1707">
        <v>0</v>
      </c>
      <c r="E58" s="1707">
        <v>0</v>
      </c>
      <c r="F58" s="1707">
        <v>0</v>
      </c>
      <c r="G58" s="1707">
        <v>0</v>
      </c>
      <c r="H58" s="1707">
        <v>0</v>
      </c>
      <c r="I58" s="1707">
        <v>0</v>
      </c>
      <c r="J58" s="1707">
        <v>0</v>
      </c>
      <c r="K58" s="1707">
        <v>0</v>
      </c>
      <c r="L58" s="1707">
        <v>0</v>
      </c>
      <c r="M58" s="1707">
        <v>0</v>
      </c>
      <c r="N58" s="1707">
        <v>0</v>
      </c>
      <c r="O58" s="1707">
        <v>0</v>
      </c>
      <c r="P58" s="1707">
        <v>0</v>
      </c>
      <c r="Q58" s="1707">
        <v>0</v>
      </c>
      <c r="R58" s="1707">
        <v>0</v>
      </c>
      <c r="S58" s="1707">
        <v>0</v>
      </c>
      <c r="T58" s="1707">
        <v>0</v>
      </c>
      <c r="U58" s="1707">
        <v>0</v>
      </c>
      <c r="V58" s="1707">
        <v>0</v>
      </c>
      <c r="W58" s="1707">
        <v>0</v>
      </c>
      <c r="X58" s="1707">
        <f t="shared" si="6"/>
        <v>0</v>
      </c>
    </row>
    <row r="59" spans="1:24" s="1698" customFormat="1">
      <c r="A59" s="1709"/>
      <c r="B59" s="1710" t="str">
        <f>TEXT(DATE(YEAR(Period_End)+1,6,5),"d mmmm yyyy")</f>
        <v>5 June 2025</v>
      </c>
      <c r="C59" s="1707">
        <v>0</v>
      </c>
      <c r="D59" s="1707">
        <v>0</v>
      </c>
      <c r="E59" s="1707">
        <v>0</v>
      </c>
      <c r="F59" s="1707">
        <v>0</v>
      </c>
      <c r="G59" s="1707">
        <v>0</v>
      </c>
      <c r="H59" s="1707">
        <v>0</v>
      </c>
      <c r="I59" s="1707">
        <v>0</v>
      </c>
      <c r="J59" s="1707">
        <v>0</v>
      </c>
      <c r="K59" s="1707">
        <v>0</v>
      </c>
      <c r="L59" s="1707">
        <v>0</v>
      </c>
      <c r="M59" s="1707">
        <v>0</v>
      </c>
      <c r="N59" s="1707">
        <v>0</v>
      </c>
      <c r="O59" s="1707">
        <v>0</v>
      </c>
      <c r="P59" s="1707">
        <v>0</v>
      </c>
      <c r="Q59" s="1707">
        <v>0</v>
      </c>
      <c r="R59" s="1707">
        <v>0</v>
      </c>
      <c r="S59" s="1707">
        <v>0</v>
      </c>
      <c r="T59" s="1707">
        <v>0</v>
      </c>
      <c r="U59" s="1707">
        <v>0</v>
      </c>
      <c r="V59" s="1707">
        <v>0</v>
      </c>
      <c r="W59" s="1707">
        <v>0</v>
      </c>
      <c r="X59" s="1707">
        <f t="shared" si="6"/>
        <v>0</v>
      </c>
    </row>
    <row r="60" spans="1:24" s="1698" customFormat="1">
      <c r="A60" s="1709"/>
      <c r="B60" s="1710" t="str">
        <f>"Payment due "&amp;TEXT(DATE(YEAR(Period_End)+1,6,5),"d mmmm yyyy")</f>
        <v>Payment due 5 June 2025</v>
      </c>
      <c r="C60" s="1707">
        <v>0</v>
      </c>
      <c r="D60" s="1707">
        <v>0</v>
      </c>
      <c r="E60" s="1707">
        <v>0</v>
      </c>
      <c r="F60" s="1707">
        <v>0</v>
      </c>
      <c r="G60" s="1707">
        <v>0</v>
      </c>
      <c r="H60" s="1707">
        <v>0</v>
      </c>
      <c r="I60" s="1707">
        <v>0</v>
      </c>
      <c r="J60" s="1707">
        <v>0</v>
      </c>
      <c r="K60" s="1707">
        <v>0</v>
      </c>
      <c r="L60" s="1707">
        <v>0</v>
      </c>
      <c r="M60" s="1707">
        <v>0</v>
      </c>
      <c r="N60" s="1707">
        <v>0</v>
      </c>
      <c r="O60" s="1707">
        <v>0</v>
      </c>
      <c r="P60" s="1707">
        <v>0</v>
      </c>
      <c r="Q60" s="1707">
        <v>0</v>
      </c>
      <c r="R60" s="1707">
        <v>0</v>
      </c>
      <c r="S60" s="1707">
        <v>0</v>
      </c>
      <c r="T60" s="1707">
        <v>0</v>
      </c>
      <c r="U60" s="1707">
        <v>0</v>
      </c>
      <c r="V60" s="1707">
        <v>0</v>
      </c>
      <c r="W60" s="1707">
        <v>0</v>
      </c>
      <c r="X60" s="1707">
        <f t="shared" si="6"/>
        <v>0</v>
      </c>
    </row>
    <row r="61" spans="1:24" s="1698" customFormat="1" ht="13.5" thickBot="1">
      <c r="A61" s="1706" t="s">
        <v>1902</v>
      </c>
      <c r="B61" s="1705"/>
      <c r="C61" s="1704">
        <f>SUM(C49:C60)</f>
        <v>0</v>
      </c>
      <c r="D61" s="1704">
        <f t="shared" ref="D61:I61" si="7">SUM(D49:D60)</f>
        <v>0</v>
      </c>
      <c r="E61" s="1704">
        <f t="shared" si="7"/>
        <v>0</v>
      </c>
      <c r="F61" s="1704">
        <f t="shared" si="7"/>
        <v>0</v>
      </c>
      <c r="G61" s="1704">
        <f t="shared" si="7"/>
        <v>0</v>
      </c>
      <c r="H61" s="1704">
        <f t="shared" si="7"/>
        <v>0</v>
      </c>
      <c r="I61" s="1704">
        <f t="shared" si="7"/>
        <v>0</v>
      </c>
      <c r="J61" s="1704">
        <f t="shared" ref="J61:V61" si="8">SUM(J50:J60)</f>
        <v>0</v>
      </c>
      <c r="K61" s="1704">
        <f t="shared" si="8"/>
        <v>0</v>
      </c>
      <c r="L61" s="1704">
        <f t="shared" si="8"/>
        <v>0</v>
      </c>
      <c r="M61" s="1704">
        <f t="shared" si="8"/>
        <v>0</v>
      </c>
      <c r="N61" s="1704">
        <f t="shared" si="8"/>
        <v>0</v>
      </c>
      <c r="O61" s="1704">
        <f t="shared" si="8"/>
        <v>0</v>
      </c>
      <c r="P61" s="1704">
        <f t="shared" si="8"/>
        <v>0</v>
      </c>
      <c r="Q61" s="1704">
        <f t="shared" si="8"/>
        <v>0</v>
      </c>
      <c r="R61" s="1704">
        <f t="shared" si="8"/>
        <v>0</v>
      </c>
      <c r="S61" s="1704">
        <f t="shared" si="8"/>
        <v>0</v>
      </c>
      <c r="T61" s="1704">
        <f t="shared" si="8"/>
        <v>0</v>
      </c>
      <c r="U61" s="1704">
        <f t="shared" si="8"/>
        <v>0</v>
      </c>
      <c r="V61" s="1704">
        <f t="shared" si="8"/>
        <v>0</v>
      </c>
      <c r="W61" s="1704">
        <f>SUM(W51:W60)</f>
        <v>0</v>
      </c>
      <c r="X61" s="1703">
        <f>SUM(X49:X60)</f>
        <v>0</v>
      </c>
    </row>
    <row r="62" spans="1:24" s="1698" customFormat="1" ht="13.5" thickTop="1">
      <c r="A62" s="2098"/>
      <c r="B62" s="2099"/>
      <c r="C62" s="2100"/>
      <c r="D62" s="2100"/>
      <c r="E62" s="2100"/>
      <c r="F62" s="2100"/>
      <c r="G62" s="2100"/>
      <c r="H62" s="2100"/>
      <c r="I62" s="2100"/>
      <c r="J62" s="2100"/>
      <c r="K62" s="2100"/>
      <c r="L62" s="2100"/>
      <c r="M62" s="2100"/>
      <c r="N62" s="2100"/>
      <c r="O62" s="2100"/>
      <c r="P62" s="2100"/>
      <c r="Q62" s="2100"/>
      <c r="R62" s="2100"/>
      <c r="S62" s="2100"/>
      <c r="T62" s="2100"/>
      <c r="U62" s="2100"/>
      <c r="V62" s="2100"/>
      <c r="W62" s="2100"/>
      <c r="X62" s="2101"/>
    </row>
    <row r="63" spans="1:24" s="2102" customFormat="1">
      <c r="A63" s="2095"/>
      <c r="B63" s="2096" t="s">
        <v>2057</v>
      </c>
      <c r="C63" s="1700">
        <f>IF(AND(C22&lt;0,C72&gt;'Standard Thresholds'!$D$116),('Standard Thresholds'!$D$117*C22)*-1,0)</f>
        <v>0</v>
      </c>
      <c r="D63" s="1700">
        <f>IF(AND(D22&lt;0,D72&gt;'Standard Thresholds'!$D$116),('Standard Thresholds'!$D$117*D22)*-1,0)</f>
        <v>0</v>
      </c>
      <c r="E63" s="1700">
        <f>IF(AND(E22&lt;0,E72&gt;'Standard Thresholds'!$D$116),('Standard Thresholds'!$D$117*E22)*-1,0)</f>
        <v>0</v>
      </c>
      <c r="F63" s="1700">
        <f>IF(AND(F22&lt;0,F72&gt;'Standard Thresholds'!$D$116),('Standard Thresholds'!$D$117*F22)*-1,0)</f>
        <v>0</v>
      </c>
      <c r="G63" s="1700">
        <f>IF(AND(G22&lt;0,G72&gt;'Standard Thresholds'!$D$116),('Standard Thresholds'!$D$117*G22)*-1,0)</f>
        <v>0</v>
      </c>
      <c r="H63" s="1700">
        <f>IF(AND(H22&lt;0,H72&gt;'Standard Thresholds'!$D$116),('Standard Thresholds'!$D$117*H22)*-1,0)</f>
        <v>0</v>
      </c>
      <c r="I63" s="1700"/>
      <c r="J63" s="1700"/>
      <c r="K63" s="1700"/>
      <c r="L63" s="1700"/>
      <c r="M63" s="1700"/>
      <c r="N63" s="1700"/>
      <c r="O63" s="1700"/>
      <c r="P63" s="1700"/>
      <c r="Q63" s="1700"/>
      <c r="R63" s="1700"/>
      <c r="S63" s="1700"/>
      <c r="T63" s="1700"/>
      <c r="U63" s="1700"/>
      <c r="V63" s="1700"/>
      <c r="W63" s="1700"/>
      <c r="X63" s="2097"/>
    </row>
    <row r="64" spans="1:24" s="2102" customFormat="1">
      <c r="A64" s="2095"/>
      <c r="B64" s="2096"/>
      <c r="C64" s="1700"/>
      <c r="D64" s="1700"/>
      <c r="E64" s="1700"/>
      <c r="F64" s="1700"/>
      <c r="G64" s="1700"/>
      <c r="H64" s="1700"/>
      <c r="I64" s="1700"/>
      <c r="J64" s="1700"/>
      <c r="K64" s="1700"/>
      <c r="L64" s="1700"/>
      <c r="M64" s="1700"/>
      <c r="N64" s="1700"/>
      <c r="O64" s="1700"/>
      <c r="P64" s="1700"/>
      <c r="Q64" s="1700"/>
      <c r="R64" s="1700"/>
      <c r="S64" s="1700"/>
      <c r="T64" s="1700"/>
      <c r="U64" s="1700"/>
      <c r="V64" s="1700"/>
      <c r="W64" s="1700"/>
      <c r="X64" s="2097"/>
    </row>
    <row r="65" spans="1:37" s="1698" customFormat="1" ht="13.5" thickBot="1">
      <c r="A65" s="1706" t="s">
        <v>2056</v>
      </c>
      <c r="B65" s="1705"/>
      <c r="C65" s="1704">
        <f>SUM(C63:C64)</f>
        <v>0</v>
      </c>
      <c r="D65" s="1704">
        <f t="shared" ref="D65:H65" si="9">SUM(D63:D64)</f>
        <v>0</v>
      </c>
      <c r="E65" s="1704">
        <f t="shared" si="9"/>
        <v>0</v>
      </c>
      <c r="F65" s="1704">
        <f t="shared" si="9"/>
        <v>0</v>
      </c>
      <c r="G65" s="1704">
        <f t="shared" si="9"/>
        <v>0</v>
      </c>
      <c r="H65" s="1704">
        <f t="shared" si="9"/>
        <v>0</v>
      </c>
      <c r="I65" s="1704">
        <f>SUM(I50:I61)</f>
        <v>0</v>
      </c>
      <c r="J65" s="1704">
        <f t="shared" ref="J65:V65" si="10">SUM(J51:J61)</f>
        <v>0</v>
      </c>
      <c r="K65" s="1704">
        <f t="shared" si="10"/>
        <v>0</v>
      </c>
      <c r="L65" s="1704">
        <f t="shared" si="10"/>
        <v>0</v>
      </c>
      <c r="M65" s="1704">
        <f t="shared" si="10"/>
        <v>0</v>
      </c>
      <c r="N65" s="1704">
        <f t="shared" si="10"/>
        <v>0</v>
      </c>
      <c r="O65" s="1704">
        <f t="shared" si="10"/>
        <v>0</v>
      </c>
      <c r="P65" s="1704">
        <f t="shared" si="10"/>
        <v>0</v>
      </c>
      <c r="Q65" s="1704">
        <f t="shared" si="10"/>
        <v>0</v>
      </c>
      <c r="R65" s="1704">
        <f t="shared" si="10"/>
        <v>0</v>
      </c>
      <c r="S65" s="1704">
        <f t="shared" si="10"/>
        <v>0</v>
      </c>
      <c r="T65" s="1704">
        <f t="shared" si="10"/>
        <v>0</v>
      </c>
      <c r="U65" s="1704">
        <f t="shared" si="10"/>
        <v>0</v>
      </c>
      <c r="V65" s="1704">
        <f t="shared" si="10"/>
        <v>0</v>
      </c>
      <c r="W65" s="1704">
        <f>SUM(W52:W61)</f>
        <v>0</v>
      </c>
      <c r="X65" s="1703">
        <f>SUM(X50:X61)</f>
        <v>0</v>
      </c>
    </row>
    <row r="66" spans="1:37" s="1698" customFormat="1" ht="13.5" thickTop="1">
      <c r="A66" s="1702"/>
      <c r="B66" s="1701"/>
      <c r="C66" s="1699"/>
      <c r="D66" s="1699"/>
      <c r="E66" s="1699"/>
      <c r="F66" s="1699"/>
      <c r="G66" s="1699"/>
      <c r="H66" s="1699"/>
      <c r="I66" s="1699"/>
      <c r="J66" s="1699"/>
      <c r="K66" s="1699"/>
      <c r="L66" s="1699"/>
      <c r="M66" s="1699"/>
      <c r="N66" s="1699"/>
      <c r="O66" s="1699"/>
      <c r="P66" s="1699"/>
      <c r="Q66" s="1699"/>
      <c r="R66" s="1699"/>
      <c r="S66" s="1699"/>
      <c r="T66" s="1699"/>
      <c r="U66" s="1699"/>
      <c r="V66" s="1699"/>
      <c r="W66" s="1700"/>
      <c r="X66" s="1699"/>
    </row>
    <row r="67" spans="1:37" s="1691" customFormat="1"/>
    <row r="68" spans="1:37" s="1691" customFormat="1">
      <c r="B68" s="3170"/>
      <c r="C68" s="3151"/>
      <c r="D68" s="3151"/>
      <c r="E68" s="3151"/>
      <c r="F68" s="3151"/>
      <c r="G68" s="3151"/>
      <c r="H68" s="3151"/>
      <c r="I68" s="3169"/>
      <c r="J68" s="3152"/>
    </row>
    <row r="69" spans="1:37" s="1691" customFormat="1">
      <c r="B69" s="3176" t="s">
        <v>1769</v>
      </c>
      <c r="C69" s="3168" t="s">
        <v>441</v>
      </c>
      <c r="D69" s="3168" t="s">
        <v>441</v>
      </c>
      <c r="E69" s="3168" t="s">
        <v>441</v>
      </c>
      <c r="F69" s="3168" t="s">
        <v>441</v>
      </c>
      <c r="G69" s="3168" t="s">
        <v>441</v>
      </c>
      <c r="H69" s="3168" t="s">
        <v>441</v>
      </c>
      <c r="I69" s="3169"/>
      <c r="J69" s="3153"/>
    </row>
    <row r="70" spans="1:37" s="1691" customFormat="1">
      <c r="B70" s="3176" t="s">
        <v>2470</v>
      </c>
      <c r="C70" s="3168" t="s">
        <v>441</v>
      </c>
      <c r="D70" s="3168" t="s">
        <v>441</v>
      </c>
      <c r="E70" s="3168" t="s">
        <v>441</v>
      </c>
      <c r="F70" s="3168" t="s">
        <v>441</v>
      </c>
      <c r="G70" s="3168" t="s">
        <v>441</v>
      </c>
      <c r="H70" s="3168" t="s">
        <v>441</v>
      </c>
      <c r="I70" s="3171"/>
      <c r="J70" s="3154"/>
    </row>
    <row r="71" spans="1:37" s="1691" customFormat="1">
      <c r="B71" s="3176" t="s">
        <v>2308</v>
      </c>
      <c r="C71" s="3173"/>
      <c r="D71" s="3173"/>
      <c r="E71" s="3173"/>
      <c r="F71" s="3173"/>
      <c r="G71" s="3173"/>
      <c r="H71" s="3173"/>
      <c r="I71" s="3171"/>
      <c r="J71" s="3155"/>
    </row>
    <row r="72" spans="1:37" s="1691" customFormat="1">
      <c r="B72" s="3176" t="s">
        <v>1787</v>
      </c>
      <c r="C72" s="3174">
        <f t="shared" ref="C72:H72" si="11">C24+C73</f>
        <v>0</v>
      </c>
      <c r="D72" s="3174">
        <f t="shared" si="11"/>
        <v>0</v>
      </c>
      <c r="E72" s="3174">
        <f t="shared" si="11"/>
        <v>0</v>
      </c>
      <c r="F72" s="3174">
        <f t="shared" si="11"/>
        <v>0</v>
      </c>
      <c r="G72" s="3174">
        <f t="shared" si="11"/>
        <v>0</v>
      </c>
      <c r="H72" s="3174">
        <f t="shared" si="11"/>
        <v>0</v>
      </c>
      <c r="I72" s="3172"/>
      <c r="J72" s="3156"/>
    </row>
    <row r="73" spans="1:37" s="1691" customFormat="1">
      <c r="B73" s="3177" t="s">
        <v>1477</v>
      </c>
      <c r="C73" s="3175"/>
      <c r="D73" s="3175"/>
      <c r="E73" s="3175"/>
      <c r="F73" s="3175"/>
      <c r="G73" s="3175"/>
      <c r="H73" s="3175"/>
      <c r="I73" s="3169"/>
      <c r="J73" s="3153"/>
    </row>
    <row r="74" spans="1:37" s="1691" customFormat="1">
      <c r="E74" s="1696"/>
      <c r="F74" s="1696"/>
      <c r="G74" s="1695"/>
      <c r="H74" s="1696"/>
      <c r="I74" s="1695"/>
      <c r="J74" s="1695"/>
      <c r="K74" s="1695"/>
    </row>
    <row r="75" spans="1:37" s="1691" customFormat="1">
      <c r="E75" s="1693"/>
      <c r="F75" s="1693"/>
      <c r="G75" s="1693"/>
      <c r="H75" s="1693"/>
      <c r="I75" s="1693"/>
      <c r="J75" s="1693"/>
      <c r="K75" s="1694"/>
    </row>
    <row r="76" spans="1:37" s="1691" customFormat="1">
      <c r="E76" s="1693"/>
      <c r="F76" s="1693"/>
      <c r="G76" s="1693"/>
      <c r="H76" s="1693"/>
      <c r="I76" s="1693"/>
      <c r="J76" s="1693"/>
      <c r="K76" s="1694"/>
    </row>
    <row r="77" spans="1:37" s="1691" customFormat="1">
      <c r="E77" s="1693"/>
      <c r="F77" s="1693"/>
      <c r="G77" s="1693"/>
      <c r="H77" s="1693"/>
      <c r="I77" s="1693"/>
      <c r="J77" s="1693"/>
      <c r="K77" s="1692"/>
    </row>
    <row r="78" spans="1:37" s="1691" customFormat="1" hidden="1">
      <c r="Z78" s="3157" t="str">
        <f>C13</f>
        <v>&lt;Indiv 1&gt;</v>
      </c>
      <c r="AA78" s="3159"/>
      <c r="AB78" s="3158" t="str">
        <f>D13</f>
        <v>&lt;Indiv 2&gt;</v>
      </c>
      <c r="AC78" s="3158"/>
      <c r="AD78" s="3157" t="str">
        <f>E13</f>
        <v>&lt;Indiv 3&gt;</v>
      </c>
      <c r="AE78" s="3159"/>
      <c r="AF78" s="3157" t="str">
        <f>F13</f>
        <v>&lt;Indiv 4&gt;</v>
      </c>
      <c r="AG78" s="3159"/>
      <c r="AH78" s="3158" t="str">
        <f>G13</f>
        <v>&lt;Indiv 5&gt;</v>
      </c>
      <c r="AI78" s="3158"/>
      <c r="AJ78" s="3157" t="str">
        <f>H13</f>
        <v>&lt;Indiv 6&gt;</v>
      </c>
      <c r="AK78" s="3159"/>
    </row>
    <row r="79" spans="1:37" s="1691" customFormat="1" hidden="1">
      <c r="B79" s="1691" t="s">
        <v>2054</v>
      </c>
      <c r="Z79" s="3160">
        <f>'Standard Thresholds'!$C123</f>
        <v>0</v>
      </c>
      <c r="AA79" s="3163">
        <f>'Standard Thresholds'!$D123</f>
        <v>0</v>
      </c>
      <c r="AB79" s="3162">
        <f>'Standard Thresholds'!$C123</f>
        <v>0</v>
      </c>
      <c r="AC79" s="3161">
        <f>'Standard Thresholds'!$D123</f>
        <v>0</v>
      </c>
      <c r="AD79" s="3160">
        <f>'Standard Thresholds'!$C123</f>
        <v>0</v>
      </c>
      <c r="AE79" s="3163">
        <f>'Standard Thresholds'!$D123</f>
        <v>0</v>
      </c>
      <c r="AF79" s="3160">
        <f>'Standard Thresholds'!$C123</f>
        <v>0</v>
      </c>
      <c r="AG79" s="3163">
        <f>'Standard Thresholds'!$D123</f>
        <v>0</v>
      </c>
      <c r="AH79" s="3162">
        <f>'Standard Thresholds'!$C123</f>
        <v>0</v>
      </c>
      <c r="AI79" s="3161">
        <f>'Standard Thresholds'!$D123</f>
        <v>0</v>
      </c>
      <c r="AJ79" s="3160">
        <f>'Standard Thresholds'!$C123</f>
        <v>0</v>
      </c>
      <c r="AK79" s="3163">
        <f>'Standard Thresholds'!$D123</f>
        <v>0</v>
      </c>
    </row>
    <row r="80" spans="1:37" s="1691" customFormat="1" hidden="1">
      <c r="B80" s="1691" t="s">
        <v>2037</v>
      </c>
      <c r="Z80" s="3160">
        <f>'Standard Thresholds'!$C124+C$71*'Standard Thresholds'!$B$118</f>
        <v>186001</v>
      </c>
      <c r="AA80" s="3163">
        <f>'Standard Thresholds'!$D124</f>
        <v>0.01</v>
      </c>
      <c r="AB80" s="3162">
        <f>'Standard Thresholds'!$C124+E$71*'Standard Thresholds'!$B$118</f>
        <v>186001</v>
      </c>
      <c r="AC80" s="3161">
        <f>'Standard Thresholds'!$D124</f>
        <v>0.01</v>
      </c>
      <c r="AD80" s="3160">
        <f>'Standard Thresholds'!$C124+G$71*'Standard Thresholds'!$B$118</f>
        <v>186001</v>
      </c>
      <c r="AE80" s="3163">
        <f>'Standard Thresholds'!$D124</f>
        <v>0.01</v>
      </c>
      <c r="AF80" s="3160">
        <f>'Standard Thresholds'!$C124+I$71*'Standard Thresholds'!$B$118</f>
        <v>186001</v>
      </c>
      <c r="AG80" s="3163">
        <f>'Standard Thresholds'!$D124</f>
        <v>0.01</v>
      </c>
      <c r="AH80" s="3162">
        <f>'Standard Thresholds'!$C124+K$71*'Standard Thresholds'!$B$118</f>
        <v>186001</v>
      </c>
      <c r="AI80" s="3161">
        <f>'Standard Thresholds'!$D124</f>
        <v>0.01</v>
      </c>
      <c r="AJ80" s="3160">
        <f>'Standard Thresholds'!$C124+M$71*'Standard Thresholds'!$B$118</f>
        <v>186001</v>
      </c>
      <c r="AK80" s="3163">
        <f>'Standard Thresholds'!$D124</f>
        <v>0.01</v>
      </c>
    </row>
    <row r="81" spans="2:37" s="1691" customFormat="1" hidden="1">
      <c r="B81" s="1691" t="s">
        <v>2038</v>
      </c>
      <c r="Z81" s="3160">
        <f>'Standard Thresholds'!$C125+C$71*'Standard Thresholds'!$B$118</f>
        <v>216001</v>
      </c>
      <c r="AA81" s="3163">
        <f>'Standard Thresholds'!$D125</f>
        <v>1.2500000000000001E-2</v>
      </c>
      <c r="AB81" s="3162">
        <f>'Standard Thresholds'!$C125+E$71*'Standard Thresholds'!$B$118</f>
        <v>216001</v>
      </c>
      <c r="AC81" s="3161">
        <f>'Standard Thresholds'!$D125</f>
        <v>1.2500000000000001E-2</v>
      </c>
      <c r="AD81" s="3160">
        <f>'Standard Thresholds'!$C125+G$71*'Standard Thresholds'!$B$118</f>
        <v>216001</v>
      </c>
      <c r="AE81" s="3163">
        <f>'Standard Thresholds'!$D125</f>
        <v>1.2500000000000001E-2</v>
      </c>
      <c r="AF81" s="3160">
        <f>'Standard Thresholds'!$C125+I$71*'Standard Thresholds'!$B$118</f>
        <v>216001</v>
      </c>
      <c r="AG81" s="3163">
        <f>'Standard Thresholds'!$D125</f>
        <v>1.2500000000000001E-2</v>
      </c>
      <c r="AH81" s="3162">
        <f>'Standard Thresholds'!$C125+K$71*'Standard Thresholds'!$B$118</f>
        <v>216001</v>
      </c>
      <c r="AI81" s="3161">
        <f>'Standard Thresholds'!$D125</f>
        <v>1.2500000000000001E-2</v>
      </c>
      <c r="AJ81" s="3160">
        <f>'Standard Thresholds'!$C125+M$71*'Standard Thresholds'!$B$118</f>
        <v>216001</v>
      </c>
      <c r="AK81" s="3163">
        <f>'Standard Thresholds'!$D125</f>
        <v>1.2500000000000001E-2</v>
      </c>
    </row>
    <row r="82" spans="2:37" s="1691" customFormat="1" hidden="1">
      <c r="B82" s="1691" t="s">
        <v>2055</v>
      </c>
      <c r="Z82" s="3164">
        <f>'Standard Thresholds'!$C126+C$71*'Standard Thresholds'!$B$118</f>
        <v>288001</v>
      </c>
      <c r="AA82" s="3167">
        <f>'Standard Thresholds'!$D126</f>
        <v>1.4999999999999999E-2</v>
      </c>
      <c r="AB82" s="3166">
        <f>'Standard Thresholds'!$C126+E$71*'Standard Thresholds'!$B$118</f>
        <v>288001</v>
      </c>
      <c r="AC82" s="3165">
        <f>'Standard Thresholds'!$D126</f>
        <v>1.4999999999999999E-2</v>
      </c>
      <c r="AD82" s="3164">
        <f>'Standard Thresholds'!$C126+G$71*'Standard Thresholds'!$B$118</f>
        <v>288001</v>
      </c>
      <c r="AE82" s="3167">
        <f>'Standard Thresholds'!$D126</f>
        <v>1.4999999999999999E-2</v>
      </c>
      <c r="AF82" s="3164">
        <f>'Standard Thresholds'!$C126+I$71*'Standard Thresholds'!$B$118</f>
        <v>288001</v>
      </c>
      <c r="AG82" s="3167">
        <f>'Standard Thresholds'!$D126</f>
        <v>1.4999999999999999E-2</v>
      </c>
      <c r="AH82" s="3166">
        <f>'Standard Thresholds'!$C126+K$71*'Standard Thresholds'!$B$118</f>
        <v>288001</v>
      </c>
      <c r="AI82" s="3165">
        <f>'Standard Thresholds'!$D126</f>
        <v>1.4999999999999999E-2</v>
      </c>
      <c r="AJ82" s="3164">
        <f>'Standard Thresholds'!$C126+M$71*'Standard Thresholds'!$B$118</f>
        <v>288001</v>
      </c>
      <c r="AK82" s="3167">
        <f>'Standard Thresholds'!$D126</f>
        <v>1.4999999999999999E-2</v>
      </c>
    </row>
    <row r="83" spans="2:37" s="1691" customFormat="1"/>
    <row r="84" spans="2:37" s="1691" customFormat="1"/>
    <row r="85" spans="2:37" s="1691" customFormat="1"/>
    <row r="86" spans="2:37" s="1691" customFormat="1"/>
    <row r="87" spans="2:37" s="1691" customFormat="1"/>
    <row r="88" spans="2:37" s="1691" customFormat="1"/>
    <row r="89" spans="2:37" s="1691" customFormat="1"/>
    <row r="90" spans="2:37" s="1691" customFormat="1"/>
    <row r="91" spans="2:37" s="1691" customFormat="1"/>
    <row r="92" spans="2:37" s="1691" customFormat="1"/>
  </sheetData>
  <customSheetViews>
    <customSheetView guid="{BCBE45D4-3C45-4659-992E-5C5D3E9FD81C}" scale="85" showPageBreaks="1" fitToPage="1" printArea="1" hiddenColumns="1">
      <pane ySplit="7" topLeftCell="A14" activePane="bottomLeft" state="frozen"/>
      <selection pane="bottomLeft" activeCell="A74" sqref="A74"/>
      <pageMargins left="0.59055118110236227" right="0.43307086614173229" top="0.6692913385826772" bottom="0.94488188976377963" header="0.51181102362204722" footer="0.39370078740157483"/>
      <printOptions horizontalCentered="1"/>
      <pageSetup paperSize="9" scale="35"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printArea="1" hiddenColumns="1">
      <pane ySplit="7" topLeftCell="A32" activePane="bottomLeft" state="frozen"/>
      <selection pane="bottomLeft" activeCell="B59" sqref="B59"/>
      <pageMargins left="0.59055118110236227" right="0.43307086614173229" top="0.6692913385826772" bottom="0.94488188976377963" header="0.51181102362204722" footer="0.39370078740157483"/>
      <printOptions horizontalCentered="1"/>
      <pageSetup paperSize="9" scale="35" fitToHeight="999" orientation="portrait" blackAndWhite="1" r:id="rId2"/>
      <headerFooter alignWithMargins="0">
        <oddFooter>&amp;L&amp;8Copyright Crowe Horwath (Aust) Pty Ltd 2016.  All rights reserved.
&amp;Z&amp;F[&amp;A]&amp;R&amp;8&amp;P/&amp;N</oddFooter>
      </headerFooter>
    </customSheetView>
  </customSheetViews>
  <dataValidations count="2">
    <dataValidation type="list" allowBlank="1" showInputMessage="1" showErrorMessage="1" sqref="J69 C69:H70" xr:uid="{00000000-0002-0000-1100-000000000000}">
      <formula1>"Yes,No"</formula1>
    </dataValidation>
    <dataValidation type="list" allowBlank="1" showInputMessage="1" showErrorMessage="1" sqref="C12:H12" xr:uid="{66560AF8-3904-400E-B628-8060845EB7AC}">
      <formula1>$B$80:$B$82</formula1>
    </dataValidation>
  </dataValidations>
  <hyperlinks>
    <hyperlink ref="B2" location="'WPIndex'!A1" display="Back to Workpaper Index" xr:uid="{A19DA15C-48A8-4ED6-8E78-FD99ED20C5E2}"/>
  </hyperlinks>
  <printOptions horizontalCentered="1"/>
  <pageMargins left="0.59055118110236227" right="0.43307086614173229" top="0.6692913385826772" bottom="0.94488188976377963" header="0.51181102362204722" footer="0.39370078740157483"/>
  <pageSetup paperSize="9" scale="50" fitToHeight="999" orientation="landscape" r:id="rId3"/>
  <headerFooter alignWithMargins="0">
    <oddFooter>&amp;L&amp;8Findex (Aust) Pty Ltd.  All rights reserved.
&amp;Z&amp;F[&amp;A]&amp;R&amp;8&amp;P/&amp;N</oddFooter>
  </headerFooter>
  <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x_Rec_Sheet">
    <tabColor theme="8" tint="0.79998168889431442"/>
    <pageSetUpPr fitToPage="1"/>
  </sheetPr>
  <dimension ref="A1:M336"/>
  <sheetViews>
    <sheetView tabSelected="1" zoomScale="115" zoomScaleNormal="115" workbookViewId="0">
      <selection activeCell="O12" sqref="O12"/>
    </sheetView>
  </sheetViews>
  <sheetFormatPr defaultColWidth="9.140625" defaultRowHeight="12.75"/>
  <cols>
    <col min="1" max="1" width="17.28515625" style="1" customWidth="1"/>
    <col min="2" max="2" width="13.85546875" style="1" customWidth="1"/>
    <col min="3" max="3" width="15.42578125" style="1" customWidth="1"/>
    <col min="4" max="4" width="15.28515625" style="1" customWidth="1"/>
    <col min="5" max="5" width="17" style="1" customWidth="1"/>
    <col min="6" max="6" width="16.42578125" style="1" customWidth="1"/>
    <col min="7" max="7" width="15.7109375" style="1" customWidth="1"/>
    <col min="8" max="8" width="14.5703125" style="161" bestFit="1" customWidth="1"/>
    <col min="9" max="9" width="12.140625" style="1" bestFit="1" customWidth="1"/>
    <col min="10" max="10" width="17.28515625" style="1" hidden="1" customWidth="1"/>
    <col min="11" max="11" width="3" style="1513" hidden="1" customWidth="1"/>
    <col min="12" max="12" width="8.28515625" style="1" customWidth="1"/>
    <col min="13" max="14" width="9.140625" style="1" customWidth="1"/>
    <col min="15" max="16384" width="9.140625" style="1"/>
  </cols>
  <sheetData>
    <row r="1" spans="1:13" ht="15.75">
      <c r="A1"/>
      <c r="B1" s="740"/>
      <c r="C1" s="740"/>
      <c r="D1" s="40"/>
      <c r="E1" s="40"/>
      <c r="F1" s="40"/>
      <c r="G1" s="40"/>
      <c r="H1" s="2613" t="s">
        <v>2425</v>
      </c>
      <c r="I1" s="3102" t="s">
        <v>2442</v>
      </c>
      <c r="K1" s="1513">
        <v>5</v>
      </c>
    </row>
    <row r="2" spans="1:13" s="32" customFormat="1">
      <c r="A2" s="206"/>
      <c r="G2" s="11"/>
      <c r="H2" s="2610" t="s">
        <v>1163</v>
      </c>
      <c r="I2" s="709" t="s">
        <v>1262</v>
      </c>
      <c r="K2" s="1514">
        <v>10</v>
      </c>
    </row>
    <row r="3" spans="1:13" s="32" customFormat="1">
      <c r="A3" s="206"/>
      <c r="G3" s="71" t="s">
        <v>332</v>
      </c>
      <c r="H3" s="2624" t="str">
        <f>IF(PreparedBy="","",PreparedBy)</f>
        <v/>
      </c>
      <c r="I3" s="2638" t="str">
        <f>IF(DatePrepared="","",DatePrepared)</f>
        <v/>
      </c>
      <c r="K3" s="1514">
        <v>15</v>
      </c>
      <c r="M3" s="35"/>
    </row>
    <row r="4" spans="1:13" s="32" customFormat="1">
      <c r="A4" s="206"/>
      <c r="G4" s="71" t="s">
        <v>333</v>
      </c>
      <c r="H4" s="2639"/>
      <c r="I4" s="2640"/>
      <c r="K4" s="1514">
        <v>20</v>
      </c>
    </row>
    <row r="5" spans="1:13" s="32" customFormat="1" ht="15.75">
      <c r="A5" s="1585"/>
      <c r="B5" s="43"/>
      <c r="C5" s="43"/>
      <c r="D5" s="43"/>
      <c r="E5" s="43"/>
      <c r="F5" s="1586"/>
      <c r="G5" s="1586"/>
      <c r="H5" s="1586"/>
      <c r="I5" s="1586"/>
      <c r="K5" s="1514"/>
    </row>
    <row r="6" spans="1:13" ht="15.75">
      <c r="A6" s="3704" t="str">
        <f>Tax_Reconciliation</f>
        <v>Tax Reconciliation</v>
      </c>
      <c r="B6" s="3705"/>
      <c r="C6" s="3705"/>
      <c r="D6" s="3705"/>
      <c r="E6" s="3705"/>
      <c r="F6" s="3705"/>
      <c r="G6" s="3705"/>
      <c r="H6" s="3705"/>
      <c r="I6" s="3706"/>
    </row>
    <row r="7" spans="1:13">
      <c r="H7" s="3832" t="s">
        <v>2526</v>
      </c>
      <c r="I7" s="3832"/>
    </row>
    <row r="8" spans="1:13" ht="15.75">
      <c r="A8" s="1167" t="str">
        <f>"CLIENT NAME:   "&amp;IF(ClientName="[ENTER CLIENT NAME]","",ClientName)</f>
        <v>CLIENT NAME:   Example Trust</v>
      </c>
      <c r="B8" s="222"/>
      <c r="C8" s="222"/>
      <c r="D8" s="222"/>
      <c r="E8" s="222"/>
      <c r="F8" s="222"/>
      <c r="H8" s="590" t="s">
        <v>951</v>
      </c>
      <c r="I8" s="591">
        <f>'WP Index'!G5</f>
        <v>45473</v>
      </c>
    </row>
    <row r="9" spans="1:13">
      <c r="A9" s="3815" t="str">
        <f>"CLIENT CODE:   "&amp;'WP Index'!E4</f>
        <v>CLIENT CODE:   99999</v>
      </c>
      <c r="B9" s="3815"/>
      <c r="C9" s="3815"/>
      <c r="D9" s="3815"/>
      <c r="E9" s="3815"/>
      <c r="F9" s="3815"/>
      <c r="G9" s="3815"/>
      <c r="H9" s="3"/>
      <c r="I9" s="3814" t="str">
        <f>IF(PP="NO","$","NON PRIMARY PROD'N")</f>
        <v>$</v>
      </c>
      <c r="J9" s="3814" t="s">
        <v>171</v>
      </c>
    </row>
    <row r="10" spans="1:13">
      <c r="A10" s="45"/>
      <c r="B10" s="45"/>
      <c r="C10" s="45"/>
      <c r="D10" s="45"/>
      <c r="E10" s="45"/>
      <c r="H10" s="6" t="s">
        <v>1096</v>
      </c>
      <c r="I10" s="3833"/>
      <c r="J10" s="3814"/>
      <c r="L10" s="6" t="s">
        <v>1286</v>
      </c>
    </row>
    <row r="11" spans="1:13">
      <c r="A11" s="592" t="s">
        <v>27</v>
      </c>
      <c r="B11" s="593"/>
      <c r="C11" s="593"/>
      <c r="D11" s="593"/>
      <c r="E11" s="593"/>
      <c r="H11" s="942">
        <f>SUM(I11:J11)</f>
        <v>90000</v>
      </c>
      <c r="I11" s="2052">
        <v>90000</v>
      </c>
      <c r="J11" s="2052">
        <v>0</v>
      </c>
    </row>
    <row r="12" spans="1:13">
      <c r="A12" s="592"/>
      <c r="B12" s="593"/>
      <c r="C12" s="593"/>
      <c r="D12" s="593"/>
      <c r="E12" s="593"/>
      <c r="H12" s="937"/>
      <c r="I12" s="938"/>
      <c r="J12" s="937"/>
    </row>
    <row r="13" spans="1:13">
      <c r="A13" s="902" t="s">
        <v>29</v>
      </c>
      <c r="B13" s="593"/>
      <c r="C13" s="593"/>
      <c r="D13" s="593"/>
      <c r="E13" s="593"/>
      <c r="H13" s="937"/>
      <c r="I13" s="938"/>
      <c r="J13" s="937"/>
    </row>
    <row r="14" spans="1:13">
      <c r="B14" s="593"/>
      <c r="C14" s="593" t="s">
        <v>30</v>
      </c>
      <c r="D14" s="593"/>
      <c r="E14" s="593"/>
      <c r="H14" s="937">
        <f>J14+I14</f>
        <v>50000</v>
      </c>
      <c r="I14" s="2649">
        <v>50000</v>
      </c>
      <c r="J14" s="937"/>
    </row>
    <row r="15" spans="1:13" hidden="1">
      <c r="A15" s="593"/>
      <c r="B15" s="593"/>
      <c r="C15" s="593" t="s">
        <v>31</v>
      </c>
      <c r="D15" s="593"/>
      <c r="E15" s="593"/>
      <c r="H15" s="937">
        <f>J15+I15</f>
        <v>0</v>
      </c>
      <c r="I15" s="2649"/>
      <c r="J15" s="937"/>
    </row>
    <row r="16" spans="1:13">
      <c r="A16" s="593"/>
      <c r="B16" s="593"/>
      <c r="C16" s="593"/>
      <c r="D16" s="593"/>
      <c r="E16" s="593"/>
      <c r="H16" s="937"/>
      <c r="I16" s="937"/>
      <c r="J16" s="937"/>
    </row>
    <row r="17" spans="1:10">
      <c r="A17" s="593"/>
      <c r="B17" s="592" t="s">
        <v>32</v>
      </c>
      <c r="C17" s="593"/>
      <c r="D17" s="593"/>
      <c r="E17" s="593"/>
      <c r="H17" s="937"/>
      <c r="I17" s="937"/>
      <c r="J17" s="937"/>
    </row>
    <row r="18" spans="1:10" hidden="1">
      <c r="A18" s="593"/>
      <c r="B18" s="593"/>
      <c r="C18" s="593" t="s">
        <v>33</v>
      </c>
      <c r="D18" s="593"/>
      <c r="E18" s="593"/>
      <c r="H18" s="937">
        <f t="array" ref="H18">SUM(ROUND(I18:J18,0))</f>
        <v>0</v>
      </c>
      <c r="I18" s="2649"/>
      <c r="J18" s="2649"/>
    </row>
    <row r="19" spans="1:10" hidden="1">
      <c r="A19" s="593"/>
      <c r="B19" s="593"/>
      <c r="C19" s="593" t="s">
        <v>34</v>
      </c>
      <c r="D19" s="593"/>
      <c r="E19" s="593"/>
      <c r="H19" s="937">
        <f t="array" ref="H19">SUM(ROUND(I19:J19,0))</f>
        <v>0</v>
      </c>
      <c r="I19" s="2649"/>
      <c r="J19" s="2649"/>
    </row>
    <row r="20" spans="1:10" hidden="1">
      <c r="A20" s="593"/>
      <c r="B20" s="593"/>
      <c r="C20" s="593" t="s">
        <v>35</v>
      </c>
      <c r="D20" s="593"/>
      <c r="E20" s="593"/>
      <c r="H20" s="937">
        <f t="array" ref="H20">SUM(ROUND(I20:J20,0))</f>
        <v>0</v>
      </c>
      <c r="I20" s="2649"/>
      <c r="J20" s="2649"/>
    </row>
    <row r="21" spans="1:10" hidden="1">
      <c r="A21" s="593"/>
      <c r="B21" s="593"/>
      <c r="C21" s="593" t="s">
        <v>36</v>
      </c>
      <c r="D21" s="593"/>
      <c r="E21" s="593"/>
      <c r="H21" s="937">
        <f t="array" ref="H21">SUM(ROUND(I21:J21,0))</f>
        <v>0</v>
      </c>
      <c r="I21" s="2649"/>
      <c r="J21" s="2649"/>
    </row>
    <row r="22" spans="1:10" hidden="1">
      <c r="A22" s="593"/>
      <c r="B22" s="593"/>
      <c r="C22" s="593" t="str">
        <f>IF(STS="YES","STS - prior year debtors","Other")</f>
        <v>Other</v>
      </c>
      <c r="D22" s="593"/>
      <c r="E22" s="596" t="str">
        <f>IF(SBE="NO"," - as required","")</f>
        <v/>
      </c>
      <c r="H22" s="937">
        <f t="array" ref="H22">SUM(ROUND(I22:J22,0))</f>
        <v>0</v>
      </c>
      <c r="I22" s="2649"/>
      <c r="J22" s="2649"/>
    </row>
    <row r="23" spans="1:10" hidden="1">
      <c r="A23" s="593"/>
      <c r="B23" s="593"/>
      <c r="C23" s="1902" t="s">
        <v>2027</v>
      </c>
      <c r="D23" s="593"/>
      <c r="E23" s="596"/>
      <c r="H23" s="937">
        <f t="array" ref="H23">SUM(ROUND(I23:J23,0))</f>
        <v>0</v>
      </c>
      <c r="I23" s="2649">
        <f>IF(PP="NO",'SBE Worksheet'!I54,0)</f>
        <v>0</v>
      </c>
      <c r="J23" s="2649">
        <f>IF(PP="YES",'SBE Worksheet'!I54,0)</f>
        <v>0</v>
      </c>
    </row>
    <row r="24" spans="1:10" hidden="1">
      <c r="A24" s="593"/>
      <c r="B24" s="593"/>
      <c r="C24" s="1902" t="s">
        <v>2219</v>
      </c>
      <c r="D24" s="593"/>
      <c r="E24" s="596"/>
      <c r="H24" s="937">
        <f t="array" ref="H24">SUM(ROUND(I24:J24,0))</f>
        <v>0</v>
      </c>
      <c r="I24" s="2649">
        <f>IF(PP="NO",'SBE Worksheet'!J68,0)</f>
        <v>0</v>
      </c>
      <c r="J24" s="2649">
        <f>IF(PP="YES",'SBE Worksheet'!J68,0)</f>
        <v>0</v>
      </c>
    </row>
    <row r="25" spans="1:10" hidden="1">
      <c r="A25" s="593"/>
      <c r="B25" s="593"/>
      <c r="C25" s="593" t="str">
        <f>IF(PP="NO","Other","Recoupment of deferred profits")</f>
        <v>Other</v>
      </c>
      <c r="E25" s="596" t="str">
        <f>IF(PP="NO"," - as required","")</f>
        <v xml:space="preserve"> - as required</v>
      </c>
      <c r="H25" s="937">
        <f t="array" ref="H25">SUM(ROUND(I25:J25,0))</f>
        <v>0</v>
      </c>
      <c r="I25" s="2649"/>
      <c r="J25" s="2649"/>
    </row>
    <row r="26" spans="1:10" hidden="1">
      <c r="A26" s="593"/>
      <c r="B26" s="593"/>
      <c r="C26" s="593" t="str">
        <f>IF(PP="NO","","Taxable livestock profit")</f>
        <v/>
      </c>
      <c r="E26" s="596" t="str">
        <f>IF(PP="NO"," - as required","")</f>
        <v xml:space="preserve"> - as required</v>
      </c>
      <c r="H26" s="937">
        <f t="array" ref="H26">SUM(ROUND(I26:J26,0))</f>
        <v>0</v>
      </c>
      <c r="I26" s="2649"/>
      <c r="J26" s="2649"/>
    </row>
    <row r="27" spans="1:10" hidden="1">
      <c r="A27" s="593"/>
      <c r="B27" s="593"/>
      <c r="C27" s="593" t="str">
        <f>IF(PP="NO","","Other")</f>
        <v/>
      </c>
      <c r="E27" s="593" t="s">
        <v>37</v>
      </c>
      <c r="G27" s="8"/>
      <c r="H27" s="939">
        <f t="array" ref="H27">SUM(ROUND(I27:J27,0))</f>
        <v>0</v>
      </c>
      <c r="I27" s="2650"/>
      <c r="J27" s="2650"/>
    </row>
    <row r="28" spans="1:10">
      <c r="A28" s="593"/>
      <c r="B28" s="593"/>
      <c r="C28" s="593"/>
      <c r="D28" s="593"/>
      <c r="E28" s="593"/>
      <c r="H28" s="940">
        <f t="array" ref="H28">SUM(ROUND(I28:J28,0))</f>
        <v>0</v>
      </c>
      <c r="I28" s="940">
        <f t="array" ref="I28">SUM(ROUND(I18:I27,0))</f>
        <v>0</v>
      </c>
      <c r="J28" s="937">
        <f>SUM(J18:J27)</f>
        <v>0</v>
      </c>
    </row>
    <row r="29" spans="1:10">
      <c r="A29" s="593"/>
      <c r="B29" s="592" t="s">
        <v>38</v>
      </c>
      <c r="C29" s="593"/>
      <c r="D29" s="593"/>
      <c r="E29" s="593"/>
      <c r="H29" s="937"/>
      <c r="I29" s="937"/>
      <c r="J29" s="937"/>
    </row>
    <row r="30" spans="1:10" hidden="1">
      <c r="A30" s="593"/>
      <c r="B30" s="593"/>
      <c r="C30" s="593" t="s">
        <v>39</v>
      </c>
      <c r="D30" s="596"/>
      <c r="E30" s="596" t="s">
        <v>40</v>
      </c>
      <c r="H30" s="937">
        <f t="array" ref="H30">SUM(ROUND(I30:J30,0))</f>
        <v>0</v>
      </c>
      <c r="I30" s="2649"/>
      <c r="J30" s="2649"/>
    </row>
    <row r="31" spans="1:10" hidden="1">
      <c r="A31" s="593"/>
      <c r="B31" s="593"/>
      <c r="C31" s="593" t="s">
        <v>41</v>
      </c>
      <c r="D31" s="593"/>
      <c r="E31" s="593"/>
      <c r="H31" s="937">
        <f t="array" ref="H31">SUM(ROUND(I31:J31,0))</f>
        <v>0</v>
      </c>
      <c r="I31" s="2649"/>
      <c r="J31" s="2649"/>
    </row>
    <row r="32" spans="1:10" hidden="1">
      <c r="A32" s="593"/>
      <c r="B32" s="593"/>
      <c r="C32" s="593" t="s">
        <v>42</v>
      </c>
      <c r="D32" s="593"/>
      <c r="E32" s="593"/>
      <c r="H32" s="937">
        <f t="array" ref="H32">SUM(ROUND(I32:J32,0))</f>
        <v>0</v>
      </c>
      <c r="I32" s="2649"/>
      <c r="J32" s="2649"/>
    </row>
    <row r="33" spans="1:10" hidden="1">
      <c r="A33" s="593"/>
      <c r="B33" s="593"/>
      <c r="C33" s="593" t="s">
        <v>43</v>
      </c>
      <c r="D33" s="593"/>
      <c r="E33" s="1599" t="str">
        <f>IF(AND($E$328&gt;0,$I$33&lt;$E$328),"CHECK PRIOR YEAR CAPITAL LOSSES APPLIED","")</f>
        <v/>
      </c>
      <c r="H33" s="937">
        <f t="array" ref="H33">SUM(ROUND(I33:J33,0))</f>
        <v>0</v>
      </c>
      <c r="I33" s="2649"/>
      <c r="J33" s="2649"/>
    </row>
    <row r="34" spans="1:10" hidden="1">
      <c r="A34" s="593"/>
      <c r="B34" s="593"/>
      <c r="C34" s="593" t="s">
        <v>44</v>
      </c>
      <c r="D34" s="593"/>
      <c r="E34" s="593"/>
      <c r="H34" s="937">
        <f t="array" ref="H34">SUM(ROUND(I34:J34,0))</f>
        <v>0</v>
      </c>
      <c r="I34" s="2649"/>
      <c r="J34" s="2649"/>
    </row>
    <row r="35" spans="1:10" hidden="1">
      <c r="A35" s="593"/>
      <c r="B35" s="593"/>
      <c r="C35" s="593" t="s">
        <v>45</v>
      </c>
      <c r="D35" s="593"/>
      <c r="E35" s="596"/>
      <c r="H35" s="937">
        <f t="array" ref="H35">SUM(ROUND(I35:J35,0))</f>
        <v>0</v>
      </c>
      <c r="I35" s="2649"/>
      <c r="J35" s="2649"/>
    </row>
    <row r="36" spans="1:10" hidden="1">
      <c r="A36" s="593"/>
      <c r="B36" s="593"/>
      <c r="C36" s="593" t="s">
        <v>46</v>
      </c>
      <c r="D36" s="593"/>
      <c r="E36" s="593"/>
      <c r="H36" s="937">
        <f t="array" ref="H36">SUM(ROUND(I36:J36,0))</f>
        <v>0</v>
      </c>
      <c r="I36" s="2649"/>
      <c r="J36" s="2649"/>
    </row>
    <row r="37" spans="1:10" hidden="1">
      <c r="A37" s="593"/>
      <c r="B37" s="593"/>
      <c r="C37" s="593" t="s">
        <v>47</v>
      </c>
      <c r="D37" s="593"/>
      <c r="E37" s="593"/>
      <c r="H37" s="937">
        <f t="array" ref="H37">SUM(ROUND(I37:J37,0))</f>
        <v>0</v>
      </c>
      <c r="I37" s="2649"/>
      <c r="J37" s="2649"/>
    </row>
    <row r="38" spans="1:10" hidden="1">
      <c r="A38" s="593"/>
      <c r="B38" s="593"/>
      <c r="C38" s="593" t="s">
        <v>70</v>
      </c>
      <c r="D38" s="593"/>
      <c r="E38" s="593"/>
      <c r="H38" s="937">
        <f t="array" ref="H38">SUM(ROUND(I38:J38,0))</f>
        <v>0</v>
      </c>
      <c r="I38" s="2649"/>
      <c r="J38" s="2649"/>
    </row>
    <row r="39" spans="1:10">
      <c r="A39" s="593"/>
      <c r="B39" s="593"/>
      <c r="C39" s="593" t="s">
        <v>71</v>
      </c>
      <c r="D39" s="593"/>
      <c r="E39" s="596" t="s">
        <v>72</v>
      </c>
      <c r="H39" s="937">
        <f t="array" ref="H39">SUM(ROUND(I39:J39,0))</f>
        <v>10000</v>
      </c>
      <c r="I39" s="2649">
        <v>10000</v>
      </c>
      <c r="J39" s="2649"/>
    </row>
    <row r="40" spans="1:10" hidden="1">
      <c r="A40" s="593"/>
      <c r="B40" s="593"/>
      <c r="C40" s="593"/>
      <c r="D40" s="593"/>
      <c r="E40" s="596" t="s">
        <v>73</v>
      </c>
      <c r="H40" s="937">
        <f t="array" ref="H40">SUM(ROUND(I40:J40,0))</f>
        <v>0</v>
      </c>
      <c r="I40" s="2649"/>
      <c r="J40" s="2649"/>
    </row>
    <row r="41" spans="1:10" hidden="1">
      <c r="A41" s="593"/>
      <c r="B41" s="593"/>
      <c r="C41" s="593"/>
      <c r="D41" s="593"/>
      <c r="E41" s="596" t="s">
        <v>74</v>
      </c>
      <c r="H41" s="937">
        <f t="array" ref="H41">SUM(ROUND(I41:J41,0))</f>
        <v>0</v>
      </c>
      <c r="I41" s="2649"/>
      <c r="J41" s="2649"/>
    </row>
    <row r="42" spans="1:10" hidden="1">
      <c r="A42" s="593"/>
      <c r="B42" s="593"/>
      <c r="C42" s="593"/>
      <c r="D42" s="593"/>
      <c r="E42" s="596" t="s">
        <v>75</v>
      </c>
      <c r="H42" s="937">
        <f t="array" ref="H42">SUM(ROUND(I42:J42,0))</f>
        <v>0</v>
      </c>
      <c r="I42" s="2649"/>
      <c r="J42" s="2649"/>
    </row>
    <row r="43" spans="1:10" hidden="1">
      <c r="A43" s="593"/>
      <c r="B43" s="593"/>
      <c r="C43" s="593"/>
      <c r="D43" s="593"/>
      <c r="E43" s="593" t="s">
        <v>1543</v>
      </c>
      <c r="H43" s="937">
        <f t="array" ref="H43">SUM(ROUND(I43:J43,0))</f>
        <v>0</v>
      </c>
      <c r="I43" s="2649"/>
      <c r="J43" s="2649"/>
    </row>
    <row r="44" spans="1:10" hidden="1">
      <c r="A44" s="593"/>
      <c r="B44" s="593"/>
      <c r="C44" s="593" t="s">
        <v>76</v>
      </c>
      <c r="D44" s="593"/>
      <c r="E44" s="593"/>
      <c r="H44" s="937">
        <f t="array" ref="H44">SUM(ROUND(I44:J44,0))</f>
        <v>0</v>
      </c>
      <c r="I44" s="2649"/>
      <c r="J44" s="2649"/>
    </row>
    <row r="45" spans="1:10" hidden="1">
      <c r="A45" s="593"/>
      <c r="B45" s="593"/>
      <c r="C45" s="593" t="s">
        <v>77</v>
      </c>
      <c r="D45" s="593"/>
      <c r="E45" s="596" t="s">
        <v>78</v>
      </c>
      <c r="H45" s="937">
        <f t="array" ref="H45">SUM(ROUND(I45:J45,0))</f>
        <v>0</v>
      </c>
      <c r="I45" s="2649"/>
      <c r="J45" s="2649"/>
    </row>
    <row r="46" spans="1:10" hidden="1">
      <c r="A46" s="593"/>
      <c r="B46" s="593"/>
      <c r="C46" s="593"/>
      <c r="D46" s="593"/>
      <c r="E46" s="596" t="s">
        <v>79</v>
      </c>
      <c r="H46" s="937">
        <f t="array" ref="H46">SUM(ROUND(I46:J46,0))</f>
        <v>0</v>
      </c>
      <c r="I46" s="2649"/>
      <c r="J46" s="2649"/>
    </row>
    <row r="47" spans="1:10" hidden="1">
      <c r="A47" s="593"/>
      <c r="B47" s="593"/>
      <c r="C47" s="593" t="s">
        <v>80</v>
      </c>
      <c r="D47" s="593"/>
      <c r="E47" s="593"/>
      <c r="H47" s="937">
        <f t="array" ref="H47">SUM(ROUND(I47:J47,0))</f>
        <v>0</v>
      </c>
      <c r="I47" s="2649"/>
      <c r="J47" s="2649"/>
    </row>
    <row r="48" spans="1:10" hidden="1">
      <c r="A48" s="593"/>
      <c r="B48" s="593"/>
      <c r="C48" s="593" t="s">
        <v>81</v>
      </c>
      <c r="E48" s="596"/>
      <c r="H48" s="937">
        <f t="array" ref="H48">SUM(ROUND(I48:J48,0))</f>
        <v>0</v>
      </c>
      <c r="I48" s="2649"/>
      <c r="J48" s="2649"/>
    </row>
    <row r="49" spans="1:10" hidden="1">
      <c r="A49" s="593"/>
      <c r="B49" s="593"/>
      <c r="C49" s="593" t="str">
        <f>IF(STS="YES","STS - current year creditors","Other")</f>
        <v>Other</v>
      </c>
      <c r="E49" s="596" t="str">
        <f>IF(SBE="NO"," - as required","")</f>
        <v/>
      </c>
      <c r="H49" s="937">
        <f t="array" ref="H49">SUM(ROUND(I49:J49,0))</f>
        <v>0</v>
      </c>
      <c r="I49" s="2649"/>
      <c r="J49" s="2649"/>
    </row>
    <row r="50" spans="1:10" hidden="1">
      <c r="A50" s="593"/>
      <c r="B50" s="593"/>
      <c r="C50" s="593" t="str">
        <f>IF(C49="Other","","Other")</f>
        <v/>
      </c>
      <c r="E50" s="593" t="s">
        <v>37</v>
      </c>
      <c r="G50" s="8"/>
      <c r="H50" s="939">
        <f t="array" ref="H50">SUM(ROUND(I50:J50,0))</f>
        <v>0</v>
      </c>
      <c r="I50" s="2650"/>
      <c r="J50" s="2650"/>
    </row>
    <row r="51" spans="1:10">
      <c r="A51" s="593"/>
      <c r="B51" s="593"/>
      <c r="C51" s="597"/>
      <c r="D51" s="593"/>
      <c r="E51" s="593"/>
      <c r="H51" s="940">
        <f t="array" ref="H51">SUM(ROUND(I51:J51,0))</f>
        <v>10000</v>
      </c>
      <c r="I51" s="940">
        <f t="array" ref="I51">SUM(ROUND(I30:I50,0))</f>
        <v>10000</v>
      </c>
      <c r="J51" s="940">
        <f t="array" ref="J51">SUM(ROUND(J30:J50,0))</f>
        <v>0</v>
      </c>
    </row>
    <row r="52" spans="1:10">
      <c r="A52" s="593"/>
      <c r="B52" s="593"/>
      <c r="C52" s="597"/>
      <c r="D52" s="593"/>
      <c r="E52" s="593"/>
      <c r="H52" s="937"/>
      <c r="I52" s="937"/>
      <c r="J52" s="937"/>
    </row>
    <row r="53" spans="1:10">
      <c r="A53" s="902" t="s">
        <v>82</v>
      </c>
      <c r="B53" s="593"/>
      <c r="C53" s="597"/>
      <c r="D53" s="593"/>
      <c r="E53" s="593"/>
      <c r="H53" s="937"/>
      <c r="I53" s="937"/>
      <c r="J53" s="937"/>
    </row>
    <row r="54" spans="1:10" hidden="1">
      <c r="C54" s="593" t="s">
        <v>83</v>
      </c>
      <c r="D54" s="593"/>
      <c r="E54" s="593"/>
      <c r="H54" s="937">
        <f t="array" ref="H54">SUM(ROUND(I54:J54,0))</f>
        <v>0</v>
      </c>
      <c r="I54" s="2649"/>
      <c r="J54" s="2649"/>
    </row>
    <row r="55" spans="1:10" hidden="1">
      <c r="A55" s="593"/>
      <c r="C55" s="593" t="s">
        <v>102</v>
      </c>
      <c r="D55" s="593"/>
      <c r="E55" s="593"/>
      <c r="H55" s="937">
        <f t="array" ref="H55">SUM(ROUND(I55:J55,0))</f>
        <v>0</v>
      </c>
      <c r="I55" s="2649"/>
      <c r="J55" s="2649"/>
    </row>
    <row r="56" spans="1:10" hidden="1">
      <c r="A56" s="593"/>
      <c r="C56" s="593" t="str">
        <f>IF(SBE="YES","SBE - general pool depreciation",IF(STS="YES","STS - general pool depreciation","Other"))</f>
        <v>SBE - general pool depreciation</v>
      </c>
      <c r="D56" s="593"/>
      <c r="E56" s="596" t="str">
        <f>IF(SBE="YES"," - as required","")</f>
        <v xml:space="preserve"> - as required</v>
      </c>
      <c r="H56" s="937">
        <f t="array" ref="H56">SUM(ROUND(I56:J56,0))</f>
        <v>0</v>
      </c>
      <c r="I56" s="2649">
        <f>IF(PP="NO",-'SBE Worksheet'!Q71,0)</f>
        <v>0</v>
      </c>
      <c r="J56" s="2649">
        <f>IF(PP="YES",-'SBE Worksheet'!Q71,0)</f>
        <v>0</v>
      </c>
    </row>
    <row r="57" spans="1:10" hidden="1">
      <c r="A57" s="593"/>
      <c r="C57" s="593" t="str">
        <f>IF(SBE="YES","SBE - low value asset write off",IF(STS="YES","STS - low value asset write off","Other"))</f>
        <v>SBE - low value asset write off</v>
      </c>
      <c r="D57" s="593"/>
      <c r="E57" s="596" t="str">
        <f>IF(SBE="YES"," - as required","")</f>
        <v xml:space="preserve"> - as required</v>
      </c>
      <c r="H57" s="937">
        <f t="array" ref="H57">SUM(ROUND(I57:J57,0))</f>
        <v>0</v>
      </c>
      <c r="I57" s="2649">
        <f>IF(PP="NO",-'SBE Worksheet'!S71,0)</f>
        <v>0</v>
      </c>
      <c r="J57" s="2649">
        <f>IF(PP="YES",-'SBE Worksheet'!S71,0)</f>
        <v>0</v>
      </c>
    </row>
    <row r="58" spans="1:10" hidden="1">
      <c r="A58" s="593"/>
      <c r="C58" s="593" t="s">
        <v>170</v>
      </c>
      <c r="D58" s="593"/>
      <c r="E58" s="593"/>
      <c r="G58" s="8"/>
      <c r="H58" s="939">
        <f t="array" ref="H58">SUM(ROUND(I58:J58,0))</f>
        <v>0</v>
      </c>
      <c r="I58" s="2650"/>
      <c r="J58" s="2650"/>
    </row>
    <row r="59" spans="1:10">
      <c r="A59" s="593"/>
      <c r="B59" s="593"/>
      <c r="C59" s="593"/>
      <c r="D59" s="593"/>
      <c r="E59" s="593"/>
      <c r="H59" s="940">
        <f t="array" ref="H59">SUM(ROUND(I59:J59,0))</f>
        <v>0</v>
      </c>
      <c r="I59" s="940">
        <f t="array" ref="I59">SUM(ROUND(I54:I58,0))</f>
        <v>0</v>
      </c>
      <c r="J59" s="940">
        <f t="array" ref="J59">SUM(ROUND(J54:J58,0))</f>
        <v>0</v>
      </c>
    </row>
    <row r="60" spans="1:10">
      <c r="A60" s="593"/>
      <c r="B60" s="592" t="s">
        <v>103</v>
      </c>
      <c r="C60" s="593"/>
      <c r="D60" s="593"/>
      <c r="E60" s="593"/>
      <c r="H60" s="937"/>
      <c r="I60" s="937"/>
      <c r="J60" s="937"/>
    </row>
    <row r="61" spans="1:10" hidden="1">
      <c r="A61" s="593"/>
      <c r="B61" s="593"/>
      <c r="C61" s="593" t="s">
        <v>104</v>
      </c>
      <c r="D61" s="593"/>
      <c r="E61" s="593"/>
      <c r="H61" s="937">
        <f t="array" ref="H61">SUM(ROUND(I61:J61,0))</f>
        <v>0</v>
      </c>
      <c r="I61" s="2649"/>
      <c r="J61" s="2649"/>
    </row>
    <row r="62" spans="1:10">
      <c r="A62" s="593"/>
      <c r="B62" s="593"/>
      <c r="C62" s="593" t="s">
        <v>105</v>
      </c>
      <c r="D62" s="593"/>
      <c r="E62" s="593"/>
      <c r="H62" s="937">
        <f t="array" ref="H62">SUM(ROUND(I62:J62,0))</f>
        <v>100000</v>
      </c>
      <c r="I62" s="2649">
        <v>100000</v>
      </c>
      <c r="J62" s="2649"/>
    </row>
    <row r="63" spans="1:10" hidden="1">
      <c r="A63" s="593"/>
      <c r="B63" s="593"/>
      <c r="C63" s="593" t="s">
        <v>106</v>
      </c>
      <c r="D63" s="593"/>
      <c r="E63" s="593"/>
      <c r="H63" s="937">
        <f t="array" ref="H63">SUM(ROUND(I63:J63,0))</f>
        <v>0</v>
      </c>
      <c r="I63" s="2649"/>
      <c r="J63" s="2649"/>
    </row>
    <row r="64" spans="1:10" hidden="1">
      <c r="A64" s="593"/>
      <c r="B64" s="593"/>
      <c r="C64" s="593" t="s">
        <v>107</v>
      </c>
      <c r="D64" s="593"/>
      <c r="E64" s="593"/>
      <c r="H64" s="937">
        <f t="array" ref="H64">SUM(ROUND(I64:J64,0))</f>
        <v>0</v>
      </c>
      <c r="I64" s="2649"/>
      <c r="J64" s="2649"/>
    </row>
    <row r="65" spans="1:10" hidden="1">
      <c r="A65" s="593"/>
      <c r="B65" s="593"/>
      <c r="C65" s="593" t="s">
        <v>108</v>
      </c>
      <c r="D65" s="593"/>
      <c r="E65" s="593"/>
      <c r="H65" s="937">
        <f t="array" ref="H65">SUM(ROUND(I65:J65,0))</f>
        <v>0</v>
      </c>
      <c r="I65" s="2649"/>
      <c r="J65" s="2649"/>
    </row>
    <row r="66" spans="1:10" hidden="1">
      <c r="A66" s="593"/>
      <c r="B66" s="593"/>
      <c r="C66" s="593" t="str">
        <f>IF(STS="YES","STS - current year debtors","Other")</f>
        <v>Other</v>
      </c>
      <c r="D66" s="593"/>
      <c r="E66" s="596" t="str">
        <f>IF(SBE="NO"," - as required","")</f>
        <v/>
      </c>
      <c r="H66" s="937">
        <f t="array" ref="H66">SUM(ROUND(I66:J66,0))</f>
        <v>0</v>
      </c>
      <c r="I66" s="2649"/>
      <c r="J66" s="2649"/>
    </row>
    <row r="67" spans="1:10" hidden="1">
      <c r="A67" s="593"/>
      <c r="B67" s="593"/>
      <c r="C67" s="593" t="str">
        <f>IF(PP="NO","Other","Deferred profits from forced sale of livestock")</f>
        <v>Other</v>
      </c>
      <c r="D67" s="593"/>
      <c r="E67" s="593" t="s">
        <v>37</v>
      </c>
      <c r="H67" s="937">
        <f t="array" ref="H67">SUM(ROUND(I67:J67,0))</f>
        <v>0</v>
      </c>
      <c r="I67" s="2649"/>
      <c r="J67" s="2649"/>
    </row>
    <row r="68" spans="1:10" hidden="1">
      <c r="A68" s="593"/>
      <c r="B68" s="593"/>
      <c r="C68" s="593" t="str">
        <f>IF(PP="NO","","Accounting livestock profit")</f>
        <v/>
      </c>
      <c r="E68" s="593" t="s">
        <v>37</v>
      </c>
      <c r="G68" s="8"/>
      <c r="H68" s="939">
        <f t="array" ref="H68">SUM(ROUND(I68:J68,0))</f>
        <v>0</v>
      </c>
      <c r="I68" s="2650"/>
      <c r="J68" s="2650"/>
    </row>
    <row r="69" spans="1:10">
      <c r="A69" s="593"/>
      <c r="B69" s="593"/>
      <c r="C69" s="593"/>
      <c r="D69" s="593"/>
      <c r="E69" s="45"/>
      <c r="H69" s="940">
        <f t="array" ref="H69">SUM(ROUND(I69:J69,0))</f>
        <v>100000</v>
      </c>
      <c r="I69" s="940">
        <f t="array" ref="I69">SUM(ROUND(I61:I68,0))</f>
        <v>100000</v>
      </c>
      <c r="J69" s="940">
        <f t="array" ref="J69">SUM(ROUND(J61:J68,0))</f>
        <v>0</v>
      </c>
    </row>
    <row r="70" spans="1:10">
      <c r="A70" s="593"/>
      <c r="B70" s="592" t="s">
        <v>109</v>
      </c>
      <c r="C70" s="593"/>
      <c r="D70" s="593"/>
      <c r="E70" s="593"/>
      <c r="H70" s="937"/>
      <c r="I70" s="937"/>
      <c r="J70" s="937"/>
    </row>
    <row r="71" spans="1:10" hidden="1">
      <c r="A71" s="593"/>
      <c r="B71" s="593"/>
      <c r="C71" s="593" t="s">
        <v>110</v>
      </c>
      <c r="D71" s="596"/>
      <c r="E71" s="596" t="s">
        <v>40</v>
      </c>
      <c r="H71" s="937">
        <f t="array" ref="H71">SUM(ROUND(I71:J71,0))</f>
        <v>0</v>
      </c>
      <c r="I71" s="2649"/>
      <c r="J71" s="2649"/>
    </row>
    <row r="72" spans="1:10" hidden="1">
      <c r="A72" s="593"/>
      <c r="B72" s="593"/>
      <c r="C72" s="593" t="s">
        <v>1547</v>
      </c>
      <c r="D72" s="596"/>
      <c r="E72" s="596" t="str">
        <f>CONCATENATE("- ",'Blackhole Expenses'!C11)</f>
        <v xml:space="preserve">- </v>
      </c>
      <c r="H72" s="937">
        <f t="array" ref="H72">SUM(ROUND(I72:J72,0))</f>
        <v>0</v>
      </c>
      <c r="I72" s="2649"/>
      <c r="J72" s="2649"/>
    </row>
    <row r="73" spans="1:10" hidden="1">
      <c r="A73" s="593"/>
      <c r="B73" s="593"/>
      <c r="C73" s="593" t="s">
        <v>111</v>
      </c>
      <c r="D73" s="593"/>
      <c r="E73" s="593"/>
      <c r="H73" s="937">
        <f t="array" ref="H73">SUM(ROUND(I73:J73,0))</f>
        <v>0</v>
      </c>
      <c r="I73" s="2649"/>
      <c r="J73" s="2649"/>
    </row>
    <row r="74" spans="1:10" hidden="1">
      <c r="A74" s="593"/>
      <c r="B74" s="593"/>
      <c r="C74" s="593" t="s">
        <v>115</v>
      </c>
      <c r="D74" s="593"/>
      <c r="E74" s="593"/>
      <c r="H74" s="937">
        <f t="array" ref="H74">SUM(ROUND(I74:J74,0))</f>
        <v>0</v>
      </c>
      <c r="I74" s="2649"/>
      <c r="J74" s="2649"/>
    </row>
    <row r="75" spans="1:10" hidden="1">
      <c r="A75" s="593"/>
      <c r="B75" s="593"/>
      <c r="C75" s="593" t="s">
        <v>116</v>
      </c>
      <c r="D75" s="593"/>
      <c r="E75" s="596" t="s">
        <v>78</v>
      </c>
      <c r="H75" s="937">
        <f t="array" ref="H75">SUM(ROUND(I75:J75,0))</f>
        <v>0</v>
      </c>
      <c r="I75" s="2649"/>
      <c r="J75" s="2649"/>
    </row>
    <row r="76" spans="1:10" hidden="1">
      <c r="A76" s="593"/>
      <c r="B76" s="593"/>
      <c r="C76" s="593"/>
      <c r="D76" s="593"/>
      <c r="E76" s="596" t="s">
        <v>79</v>
      </c>
      <c r="H76" s="937">
        <f t="array" ref="H76">SUM(ROUND(I76:J76,0))</f>
        <v>0</v>
      </c>
      <c r="I76" s="2649"/>
      <c r="J76" s="2649"/>
    </row>
    <row r="77" spans="1:10" hidden="1">
      <c r="A77" s="593"/>
      <c r="B77" s="593"/>
      <c r="C77" s="593" t="s">
        <v>117</v>
      </c>
      <c r="D77" s="593"/>
      <c r="E77" s="593"/>
      <c r="H77" s="937">
        <f t="array" ref="H77">SUM(ROUND(I77:J77,0))</f>
        <v>0</v>
      </c>
      <c r="I77" s="2649"/>
      <c r="J77" s="2649"/>
    </row>
    <row r="78" spans="1:10" hidden="1">
      <c r="A78" s="593"/>
      <c r="B78" s="593"/>
      <c r="C78" s="593" t="s">
        <v>118</v>
      </c>
      <c r="D78" s="593"/>
      <c r="E78" s="593"/>
      <c r="H78" s="937">
        <f t="array" ref="H78">SUM(ROUND(I78:J78,0))</f>
        <v>0</v>
      </c>
      <c r="I78" s="2649"/>
      <c r="J78" s="2649"/>
    </row>
    <row r="79" spans="1:10" hidden="1">
      <c r="A79" s="593"/>
      <c r="B79" s="593"/>
      <c r="C79" s="593" t="s">
        <v>119</v>
      </c>
      <c r="D79" s="593"/>
      <c r="E79" s="593"/>
      <c r="H79" s="937">
        <f t="array" ref="H79">SUM(ROUND(I79:J79,0))</f>
        <v>0</v>
      </c>
      <c r="I79" s="2649"/>
      <c r="J79" s="2649"/>
    </row>
    <row r="80" spans="1:10" hidden="1">
      <c r="A80" s="593"/>
      <c r="B80" s="593"/>
      <c r="C80" s="593" t="s">
        <v>120</v>
      </c>
      <c r="D80" s="593"/>
      <c r="E80" s="593"/>
      <c r="H80" s="937">
        <f t="array" ref="H80">SUM(ROUND(I80:J80,0))</f>
        <v>0</v>
      </c>
      <c r="I80" s="2649"/>
      <c r="J80" s="2649"/>
    </row>
    <row r="81" spans="1:10" hidden="1">
      <c r="A81" s="593"/>
      <c r="B81" s="593"/>
      <c r="C81" s="1902" t="s">
        <v>2806</v>
      </c>
      <c r="D81" s="593"/>
      <c r="E81" s="593"/>
      <c r="H81" s="937">
        <f t="array" ref="H81">SUM(ROUND(I81:J81,0))</f>
        <v>0</v>
      </c>
      <c r="I81" s="2649"/>
      <c r="J81" s="2649"/>
    </row>
    <row r="82" spans="1:10" hidden="1">
      <c r="A82" s="593"/>
      <c r="B82" s="593"/>
      <c r="C82" s="1902" t="s">
        <v>2805</v>
      </c>
      <c r="D82" s="593"/>
      <c r="E82" s="593"/>
      <c r="H82" s="937">
        <f t="array" ref="H82">SUM(ROUND(I82:J82,0))</f>
        <v>0</v>
      </c>
      <c r="I82" s="2649">
        <f>'Skills Boost'!D74</f>
        <v>0</v>
      </c>
      <c r="J82" s="2649"/>
    </row>
    <row r="83" spans="1:10" hidden="1">
      <c r="A83" s="593"/>
      <c r="B83" s="593"/>
      <c r="C83" s="593" t="str">
        <f>IF(STS="YES","STS - prior year creditors","Other")</f>
        <v>Other</v>
      </c>
      <c r="D83" s="593"/>
      <c r="E83" s="596" t="str">
        <f>IF(SBE="NO"," - as required","")</f>
        <v/>
      </c>
      <c r="H83" s="937">
        <f t="array" ref="H83">SUM(ROUND(I83:J83,0))</f>
        <v>0</v>
      </c>
      <c r="I83" s="2649"/>
      <c r="J83" s="2649"/>
    </row>
    <row r="84" spans="1:10" hidden="1">
      <c r="A84" s="593"/>
      <c r="B84" s="593"/>
      <c r="C84" s="593" t="str">
        <f>IF(C83="Other","","Other")</f>
        <v/>
      </c>
      <c r="E84" s="593" t="s">
        <v>37</v>
      </c>
      <c r="H84" s="937">
        <f t="array" ref="H84">SUM(ROUND(I84:J84,0))</f>
        <v>0</v>
      </c>
      <c r="I84" s="2649"/>
      <c r="J84" s="2649"/>
    </row>
    <row r="85" spans="1:10" hidden="1">
      <c r="A85" s="593"/>
      <c r="B85" s="593"/>
      <c r="C85" s="598"/>
      <c r="E85" s="593" t="s">
        <v>37</v>
      </c>
      <c r="G85" s="8"/>
      <c r="H85" s="939">
        <f t="array" ref="H85">SUM(ROUND(I85:J85,0))</f>
        <v>0</v>
      </c>
      <c r="I85" s="2650"/>
      <c r="J85" s="2650"/>
    </row>
    <row r="86" spans="1:10">
      <c r="A86" s="593"/>
      <c r="B86" s="593"/>
      <c r="C86" s="593"/>
      <c r="D86" s="593"/>
      <c r="E86" s="593"/>
      <c r="H86" s="940">
        <f t="array" ref="H86">SUM(ROUND(I86:J86,0))</f>
        <v>0</v>
      </c>
      <c r="I86" s="940">
        <f t="array" ref="I86">SUM(ROUND(I71:I85,0))</f>
        <v>0</v>
      </c>
      <c r="J86" s="940">
        <f t="array" ref="J86">SUM(ROUND(J71:J85,0))</f>
        <v>0</v>
      </c>
    </row>
    <row r="87" spans="1:10">
      <c r="A87" s="593"/>
      <c r="B87" s="593"/>
      <c r="C87" s="593"/>
      <c r="D87" s="593"/>
      <c r="E87" s="593"/>
      <c r="H87" s="937"/>
      <c r="I87" s="937"/>
      <c r="J87" s="937"/>
    </row>
    <row r="88" spans="1:10" hidden="1">
      <c r="A88" s="593"/>
      <c r="C88" s="1598" t="s">
        <v>121</v>
      </c>
      <c r="D88" s="593"/>
      <c r="E88" s="593"/>
      <c r="H88" s="937">
        <f t="array" ref="H88">SUM(ROUND(I88:J88,0))</f>
        <v>0</v>
      </c>
      <c r="I88" s="2651">
        <f>IF(AND((I11+I14+I15+I28+I51-I59-I69-I86)&gt;0,E318&gt;0),IF((I11+I14+I15+I28+I51-I59-I69-I86)&gt;E318-G318,E318-G318,(I11+I14+I15+I28+I51-I59-I69-I86)),0)</f>
        <v>0</v>
      </c>
      <c r="J88" s="2651"/>
    </row>
    <row r="89" spans="1:10" hidden="1">
      <c r="A89" s="593"/>
      <c r="C89" s="593" t="s">
        <v>122</v>
      </c>
      <c r="D89" s="593"/>
      <c r="E89" s="593"/>
      <c r="G89" s="8"/>
      <c r="H89" s="939">
        <f t="array" ref="H89">SUM(ROUND(I89:J89,0))</f>
        <v>0</v>
      </c>
      <c r="I89" s="2650"/>
      <c r="J89" s="2650"/>
    </row>
    <row r="90" spans="1:10" ht="13.5" thickBot="1">
      <c r="A90" s="593"/>
      <c r="B90" s="592" t="s">
        <v>123</v>
      </c>
      <c r="C90" s="593"/>
      <c r="D90" s="593"/>
      <c r="E90" s="593"/>
      <c r="H90" s="941">
        <f t="array" ref="H90">SUM(ROUND(I90:J90,0))</f>
        <v>50000</v>
      </c>
      <c r="I90" s="941">
        <f>I11+I14+I15+I28+I51-I59-I69-I86-I88-I89</f>
        <v>50000</v>
      </c>
      <c r="J90" s="941">
        <f>J11+J14+J15+J28+J51-J59-J69-J86-J88-J89</f>
        <v>0</v>
      </c>
    </row>
    <row r="91" spans="1:10" ht="13.5" thickTop="1">
      <c r="A91" s="593"/>
      <c r="B91" s="593"/>
      <c r="C91" s="593"/>
      <c r="D91" s="593"/>
      <c r="E91" s="593"/>
      <c r="H91" s="937"/>
      <c r="I91" s="937"/>
      <c r="J91" s="937"/>
    </row>
    <row r="92" spans="1:10">
      <c r="A92" s="593"/>
      <c r="B92" s="609" t="s">
        <v>1647</v>
      </c>
      <c r="C92" s="609"/>
      <c r="D92" s="609"/>
      <c r="E92" s="593"/>
      <c r="H92" s="2052">
        <f>$E$318-$E$311</f>
        <v>0</v>
      </c>
      <c r="I92" s="937"/>
      <c r="J92" s="937"/>
    </row>
    <row r="93" spans="1:10">
      <c r="A93" s="593"/>
      <c r="B93" s="609" t="s">
        <v>124</v>
      </c>
      <c r="C93" s="609"/>
      <c r="D93" s="609" t="s">
        <v>168</v>
      </c>
      <c r="E93" s="593"/>
      <c r="H93" s="2052">
        <f>$H$318</f>
        <v>0</v>
      </c>
      <c r="I93" s="937"/>
      <c r="J93" s="937"/>
    </row>
    <row r="94" spans="1:10" hidden="1">
      <c r="A94" s="593"/>
      <c r="B94" s="1901" t="s">
        <v>2242</v>
      </c>
      <c r="C94" s="609"/>
      <c r="D94" s="609"/>
      <c r="E94" s="593"/>
      <c r="H94" s="2052"/>
      <c r="I94" s="937"/>
      <c r="J94" s="937"/>
    </row>
    <row r="95" spans="1:10" hidden="1">
      <c r="A95" s="593"/>
      <c r="B95" s="593"/>
      <c r="C95" s="593"/>
      <c r="D95" s="593"/>
      <c r="E95" s="593"/>
      <c r="H95" s="595"/>
      <c r="I95" s="595"/>
      <c r="J95" s="593"/>
    </row>
    <row r="96" spans="1:10" hidden="1">
      <c r="A96" s="592" t="str">
        <f>"TAX / (TAX REFUND) ON TAXABLE INCOME AT " &amp; TEXT(COY_Tax_Rate,"0.00%")</f>
        <v>TAX / (TAX REFUND) ON TAXABLE INCOME AT 25.00%</v>
      </c>
      <c r="B96" s="593"/>
      <c r="C96" s="593"/>
      <c r="D96" s="593"/>
      <c r="E96" s="593"/>
      <c r="H96" s="1523">
        <f>IF(H90&gt;0,ROUND(H90,0)*COY_Tax_Rate,0)</f>
        <v>12500</v>
      </c>
      <c r="I96" s="595"/>
      <c r="J96" s="593"/>
    </row>
    <row r="97" spans="1:10" hidden="1">
      <c r="A97" s="592"/>
      <c r="B97" s="593"/>
      <c r="C97" s="593"/>
      <c r="D97" s="593"/>
      <c r="E97" s="593"/>
      <c r="H97" s="599"/>
      <c r="I97" s="595"/>
      <c r="J97" s="593"/>
    </row>
    <row r="98" spans="1:10" hidden="1">
      <c r="A98" s="593" t="s">
        <v>82</v>
      </c>
      <c r="B98" s="593" t="s">
        <v>125</v>
      </c>
      <c r="C98" s="593"/>
      <c r="D98" s="593"/>
      <c r="E98" s="593"/>
      <c r="H98" s="595"/>
      <c r="I98" s="595"/>
      <c r="J98" s="593"/>
    </row>
    <row r="99" spans="1:10" hidden="1">
      <c r="A99" s="593"/>
      <c r="B99" s="593"/>
      <c r="C99" s="593" t="s">
        <v>126</v>
      </c>
      <c r="D99" s="593"/>
      <c r="E99" s="593"/>
      <c r="H99" s="595"/>
      <c r="I99" s="2052"/>
      <c r="J99" s="2052"/>
    </row>
    <row r="100" spans="1:10" hidden="1">
      <c r="A100" s="593"/>
      <c r="B100" s="593"/>
      <c r="C100" s="593" t="s">
        <v>127</v>
      </c>
      <c r="D100" s="593"/>
      <c r="E100" s="593"/>
      <c r="H100" s="595"/>
      <c r="I100" s="2052"/>
      <c r="J100" s="2052"/>
    </row>
    <row r="101" spans="1:10" hidden="1">
      <c r="A101" s="593"/>
      <c r="B101" s="593"/>
      <c r="C101" s="593" t="s">
        <v>214</v>
      </c>
      <c r="D101" s="593"/>
      <c r="E101" s="593"/>
      <c r="H101" s="600">
        <f>SUM(I99:I101)</f>
        <v>0</v>
      </c>
      <c r="I101" s="2053"/>
      <c r="J101" s="2053"/>
    </row>
    <row r="102" spans="1:10" hidden="1">
      <c r="A102" s="592" t="s">
        <v>128</v>
      </c>
      <c r="B102" s="593"/>
      <c r="C102" s="593"/>
      <c r="D102" s="593"/>
      <c r="E102" s="593"/>
      <c r="H102" s="1523">
        <f>+H96-H101</f>
        <v>12500</v>
      </c>
      <c r="I102" s="595"/>
      <c r="J102" s="593"/>
    </row>
    <row r="103" spans="1:10" hidden="1">
      <c r="A103" s="592"/>
      <c r="B103" s="593"/>
      <c r="C103" s="593"/>
      <c r="D103" s="593"/>
      <c r="E103" s="593"/>
      <c r="H103" s="599"/>
      <c r="I103" s="595"/>
      <c r="J103" s="593"/>
    </row>
    <row r="104" spans="1:10" hidden="1">
      <c r="A104" s="593" t="s">
        <v>29</v>
      </c>
      <c r="B104" s="593" t="s">
        <v>129</v>
      </c>
      <c r="C104" s="593"/>
      <c r="D104" s="593"/>
      <c r="E104" s="593"/>
      <c r="H104" s="2052"/>
      <c r="I104" s="595"/>
      <c r="J104" s="593"/>
    </row>
    <row r="105" spans="1:10" hidden="1">
      <c r="A105" s="593"/>
      <c r="B105" s="593"/>
      <c r="C105" s="593"/>
      <c r="D105" s="593"/>
      <c r="E105" s="593"/>
      <c r="H105" s="595"/>
      <c r="I105" s="595"/>
      <c r="J105" s="593"/>
    </row>
    <row r="106" spans="1:10" hidden="1">
      <c r="A106" s="593" t="s">
        <v>82</v>
      </c>
      <c r="B106" s="593" t="s">
        <v>130</v>
      </c>
      <c r="C106" s="593"/>
      <c r="D106" s="593"/>
      <c r="E106" s="593"/>
      <c r="H106" s="595"/>
      <c r="I106" s="2052"/>
      <c r="J106" s="2052"/>
    </row>
    <row r="107" spans="1:10" hidden="1">
      <c r="A107" s="593"/>
      <c r="B107" s="593" t="s">
        <v>131</v>
      </c>
      <c r="C107" s="593"/>
      <c r="D107" s="593"/>
      <c r="E107" s="593"/>
      <c r="H107" s="595"/>
      <c r="I107" s="2052"/>
      <c r="J107" s="2052"/>
    </row>
    <row r="108" spans="1:10" hidden="1">
      <c r="A108" s="593"/>
      <c r="B108" s="593" t="s">
        <v>132</v>
      </c>
      <c r="C108" s="593"/>
      <c r="D108" s="593"/>
      <c r="E108" s="593"/>
      <c r="H108" s="595"/>
      <c r="I108" s="2052"/>
      <c r="J108" s="2052"/>
    </row>
    <row r="109" spans="1:10" hidden="1">
      <c r="A109" s="593"/>
      <c r="B109" s="1902" t="s">
        <v>2234</v>
      </c>
      <c r="C109" s="593"/>
      <c r="D109" s="593"/>
      <c r="E109" s="593"/>
      <c r="H109" s="1524"/>
      <c r="I109" s="2498">
        <f>'Loss Carry Back'!F48</f>
        <v>0</v>
      </c>
      <c r="J109" s="2498"/>
    </row>
    <row r="110" spans="1:10" hidden="1">
      <c r="A110" s="593"/>
      <c r="B110" s="593" t="s">
        <v>133</v>
      </c>
      <c r="C110" s="593"/>
      <c r="E110" s="593"/>
      <c r="G110" s="8"/>
      <c r="H110" s="626">
        <f>SUM(I106:I110)</f>
        <v>0</v>
      </c>
      <c r="I110" s="2053"/>
      <c r="J110" s="2053"/>
    </row>
    <row r="111" spans="1:10" hidden="1">
      <c r="A111" s="593"/>
      <c r="B111" s="593"/>
      <c r="C111" s="593"/>
      <c r="D111" s="3272"/>
      <c r="E111" s="593"/>
      <c r="F111" s="593"/>
      <c r="G111" s="601"/>
      <c r="H111" s="599"/>
      <c r="I111" s="594"/>
    </row>
    <row r="112" spans="1:10" hidden="1">
      <c r="A112" s="593"/>
      <c r="B112" s="593"/>
      <c r="C112" s="593"/>
      <c r="D112" s="3272"/>
      <c r="E112" s="602" t="s">
        <v>949</v>
      </c>
      <c r="F112" s="602" t="s">
        <v>966</v>
      </c>
      <c r="G112" s="595"/>
      <c r="H112" s="595"/>
      <c r="I112" s="594"/>
    </row>
    <row r="113" spans="1:9" ht="13.5" hidden="1">
      <c r="A113" s="603"/>
      <c r="B113" s="1902" t="s">
        <v>2004</v>
      </c>
      <c r="C113" s="593"/>
      <c r="D113" s="3273">
        <f>DATE(YEAR($I$8-1)-1,7,1)</f>
        <v>45108</v>
      </c>
      <c r="E113" s="2652"/>
      <c r="F113" s="2052">
        <f>'GST Rec'!H21</f>
        <v>0</v>
      </c>
      <c r="G113" s="595"/>
      <c r="H113" s="595"/>
      <c r="I113" s="594"/>
    </row>
    <row r="114" spans="1:9" ht="13.5" hidden="1">
      <c r="A114" s="603"/>
      <c r="B114" s="1902"/>
      <c r="C114" s="593"/>
      <c r="D114" s="3273">
        <f>DATE(YEAR(D113+45),MONTH(D113+45),1)</f>
        <v>45139</v>
      </c>
      <c r="E114" s="2652"/>
      <c r="F114" s="2052">
        <f>'GST Rec'!H22</f>
        <v>0</v>
      </c>
      <c r="G114" s="595"/>
      <c r="H114" s="595"/>
      <c r="I114" s="594"/>
    </row>
    <row r="115" spans="1:9" ht="13.5" hidden="1">
      <c r="A115" s="603"/>
      <c r="B115" s="1902"/>
      <c r="C115" s="593"/>
      <c r="D115" s="3273">
        <f t="shared" ref="D115:D123" si="0">DATE(YEAR(D114+45),MONTH(D114+45),1)</f>
        <v>45170</v>
      </c>
      <c r="E115" s="2652"/>
      <c r="F115" s="2052">
        <f>IF((F113+F114)=0,SUM('GST Rec'!H21:H23),'GST Rec'!H23)</f>
        <v>0</v>
      </c>
      <c r="G115" s="595"/>
      <c r="H115" s="595"/>
      <c r="I115" s="594"/>
    </row>
    <row r="116" spans="1:9" hidden="1">
      <c r="A116" s="593"/>
      <c r="B116" s="1902" t="s">
        <v>2005</v>
      </c>
      <c r="C116" s="593"/>
      <c r="D116" s="3273">
        <f t="shared" si="0"/>
        <v>45200</v>
      </c>
      <c r="E116" s="2652"/>
      <c r="F116" s="2052">
        <f>'GST Rec'!H24</f>
        <v>0</v>
      </c>
      <c r="G116" s="595"/>
      <c r="H116" s="595"/>
      <c r="I116" s="594"/>
    </row>
    <row r="117" spans="1:9" hidden="1">
      <c r="A117" s="593"/>
      <c r="B117" s="1902"/>
      <c r="C117" s="593"/>
      <c r="D117" s="3273">
        <f t="shared" si="0"/>
        <v>45231</v>
      </c>
      <c r="E117" s="2653"/>
      <c r="F117" s="2498">
        <f>'GST Rec'!H25</f>
        <v>0</v>
      </c>
      <c r="G117" s="595"/>
      <c r="H117" s="595"/>
      <c r="I117" s="594"/>
    </row>
    <row r="118" spans="1:9" hidden="1">
      <c r="A118" s="593"/>
      <c r="B118" s="1902"/>
      <c r="C118" s="593"/>
      <c r="D118" s="3273">
        <f t="shared" si="0"/>
        <v>45261</v>
      </c>
      <c r="E118" s="2653"/>
      <c r="F118" s="2498">
        <f>IF((F116+F117)=0,SUM('GST Rec'!H24:H26),'GST Rec'!H26)</f>
        <v>0</v>
      </c>
      <c r="G118" s="595"/>
      <c r="H118" s="595"/>
      <c r="I118" s="594"/>
    </row>
    <row r="119" spans="1:9" hidden="1">
      <c r="A119" s="593"/>
      <c r="B119" s="1902"/>
      <c r="C119" s="593"/>
      <c r="D119" s="3273">
        <f t="shared" si="0"/>
        <v>45292</v>
      </c>
      <c r="E119" s="2653"/>
      <c r="F119" s="2498">
        <f>'GST Rec'!H27</f>
        <v>0</v>
      </c>
      <c r="G119" s="595"/>
      <c r="H119" s="595"/>
      <c r="I119" s="594"/>
    </row>
    <row r="120" spans="1:9" hidden="1">
      <c r="A120" s="593"/>
      <c r="B120" s="1902"/>
      <c r="C120" s="593"/>
      <c r="D120" s="3273">
        <f t="shared" si="0"/>
        <v>45323</v>
      </c>
      <c r="E120" s="2653"/>
      <c r="F120" s="2498">
        <f>'GST Rec'!H28</f>
        <v>0</v>
      </c>
      <c r="G120" s="595"/>
      <c r="H120" s="595"/>
      <c r="I120" s="594"/>
    </row>
    <row r="121" spans="1:9" hidden="1">
      <c r="A121" s="593"/>
      <c r="B121" s="1902"/>
      <c r="C121" s="593"/>
      <c r="D121" s="3273">
        <f t="shared" si="0"/>
        <v>45352</v>
      </c>
      <c r="E121" s="2653"/>
      <c r="F121" s="2498">
        <f>IF((F119+F120)=0,SUM('GST Rec'!H27:H29),'GST Rec'!H29)</f>
        <v>0</v>
      </c>
      <c r="G121" s="595"/>
      <c r="H121" s="595"/>
      <c r="I121" s="594"/>
    </row>
    <row r="122" spans="1:9" hidden="1">
      <c r="A122" s="593"/>
      <c r="B122" s="1902"/>
      <c r="C122" s="593"/>
      <c r="D122" s="3273">
        <f t="shared" si="0"/>
        <v>45383</v>
      </c>
      <c r="E122" s="2653"/>
      <c r="F122" s="2498">
        <f>'GST Rec'!H30</f>
        <v>0</v>
      </c>
      <c r="G122" s="595"/>
      <c r="H122" s="595"/>
      <c r="I122" s="594"/>
    </row>
    <row r="123" spans="1:9" hidden="1">
      <c r="A123" s="593"/>
      <c r="B123" s="593"/>
      <c r="C123" s="1902" t="s">
        <v>2006</v>
      </c>
      <c r="D123" s="3273">
        <f t="shared" si="0"/>
        <v>45413</v>
      </c>
      <c r="E123" s="2052"/>
      <c r="F123" s="2052">
        <f>'GST Rec'!H31</f>
        <v>0</v>
      </c>
      <c r="G123" s="601"/>
      <c r="H123" s="600">
        <f>SUM(F113:F123)</f>
        <v>0</v>
      </c>
      <c r="I123" s="594"/>
    </row>
    <row r="124" spans="1:9" hidden="1">
      <c r="A124" s="593"/>
      <c r="B124" s="593"/>
      <c r="C124" s="593"/>
      <c r="D124" s="1614"/>
      <c r="E124" s="604"/>
      <c r="F124" s="601"/>
      <c r="G124" s="601"/>
      <c r="H124" s="601"/>
      <c r="I124" s="594"/>
    </row>
    <row r="125" spans="1:9" hidden="1">
      <c r="A125" s="592" t="s">
        <v>134</v>
      </c>
      <c r="B125" s="593"/>
      <c r="C125" s="593"/>
      <c r="D125" s="3274"/>
      <c r="E125" s="593"/>
      <c r="F125" s="605"/>
      <c r="G125" s="595"/>
      <c r="H125" s="1524">
        <f>+H102+H104-H110-H123</f>
        <v>12500</v>
      </c>
      <c r="I125" s="594"/>
    </row>
    <row r="126" spans="1:9" hidden="1">
      <c r="A126" s="593"/>
      <c r="B126" s="593"/>
      <c r="C126" s="593"/>
      <c r="D126" s="3275"/>
      <c r="E126" s="593"/>
      <c r="F126" s="605"/>
      <c r="G126" s="595"/>
      <c r="H126" s="595"/>
      <c r="I126" s="594"/>
    </row>
    <row r="127" spans="1:9" hidden="1">
      <c r="A127" s="593"/>
      <c r="B127" s="1903" t="s">
        <v>2007</v>
      </c>
      <c r="C127" s="593"/>
      <c r="D127" s="3273">
        <f>DATE(YEAR(D123+45),MONTH(D123+45),1)</f>
        <v>45444</v>
      </c>
      <c r="E127" s="2052"/>
      <c r="F127" s="2052">
        <f>IF((F122+F123)=0,SUM('GST Rec'!H30:H32),'GST Rec'!H32)</f>
        <v>0</v>
      </c>
      <c r="G127" s="595"/>
      <c r="H127" s="595">
        <f>F127</f>
        <v>0</v>
      </c>
      <c r="I127" s="594"/>
    </row>
    <row r="128" spans="1:9" hidden="1">
      <c r="A128" s="593"/>
      <c r="B128" s="593"/>
      <c r="C128" s="593"/>
      <c r="D128" s="593"/>
      <c r="E128" s="593"/>
      <c r="F128" s="593"/>
      <c r="G128" s="595"/>
      <c r="H128" s="595"/>
      <c r="I128" s="594"/>
    </row>
    <row r="129" spans="1:9" hidden="1">
      <c r="A129" s="593"/>
      <c r="B129" s="593"/>
      <c r="C129" s="593"/>
      <c r="D129" s="593"/>
      <c r="E129" s="593"/>
      <c r="F129" s="593"/>
      <c r="G129" s="595"/>
      <c r="H129" s="595"/>
      <c r="I129" s="594"/>
    </row>
    <row r="130" spans="1:9" ht="13.5" hidden="1" thickBot="1">
      <c r="A130" s="592" t="s">
        <v>135</v>
      </c>
      <c r="B130" s="593"/>
      <c r="C130" s="593"/>
      <c r="D130" s="593"/>
      <c r="E130" s="593"/>
      <c r="F130" s="593"/>
      <c r="G130" s="595"/>
      <c r="H130" s="358">
        <f>+H125-H127</f>
        <v>12500</v>
      </c>
      <c r="I130" s="594"/>
    </row>
    <row r="131" spans="1:9" ht="13.5" hidden="1" thickTop="1">
      <c r="A131" s="593"/>
      <c r="B131" s="593"/>
      <c r="C131" s="593"/>
      <c r="D131" s="593"/>
      <c r="E131" s="593"/>
      <c r="F131" s="593"/>
      <c r="G131" s="593"/>
      <c r="H131" s="593"/>
      <c r="I131" s="594"/>
    </row>
    <row r="132" spans="1:9" ht="15" hidden="1">
      <c r="A132" s="603"/>
      <c r="B132" s="603"/>
      <c r="C132" s="603"/>
      <c r="D132" s="603"/>
      <c r="E132" s="603"/>
      <c r="F132" s="603"/>
      <c r="G132" s="603"/>
      <c r="H132" s="603"/>
      <c r="I132" s="606"/>
    </row>
    <row r="133" spans="1:9" ht="15.75" hidden="1" thickBot="1">
      <c r="A133" s="603"/>
      <c r="B133" s="603"/>
      <c r="C133" s="603"/>
      <c r="D133" s="603"/>
      <c r="E133" s="603"/>
      <c r="F133" s="603"/>
      <c r="G133" s="603"/>
      <c r="H133" s="603"/>
      <c r="I133" s="606"/>
    </row>
    <row r="134" spans="1:9" hidden="1">
      <c r="A134" s="2654" t="s">
        <v>136</v>
      </c>
      <c r="B134" s="2655"/>
      <c r="C134" s="2655"/>
      <c r="D134" s="2655"/>
      <c r="E134" s="2655"/>
      <c r="F134" s="2655"/>
      <c r="G134" s="2655"/>
      <c r="H134" s="607"/>
      <c r="I134" s="594"/>
    </row>
    <row r="135" spans="1:9" hidden="1">
      <c r="A135" s="608"/>
      <c r="B135" s="609"/>
      <c r="C135" s="609"/>
      <c r="D135" s="609"/>
      <c r="E135" s="609"/>
      <c r="F135" s="609"/>
      <c r="G135" s="609"/>
      <c r="H135" s="610"/>
      <c r="I135" s="594"/>
    </row>
    <row r="136" spans="1:9" hidden="1">
      <c r="A136" s="611" t="s">
        <v>137</v>
      </c>
      <c r="B136" s="609" t="s">
        <v>138</v>
      </c>
      <c r="C136" s="609"/>
      <c r="D136" s="609"/>
      <c r="E136" s="609"/>
      <c r="F136" s="609"/>
      <c r="G136" s="609"/>
      <c r="H136" s="2656"/>
      <c r="I136" s="594"/>
    </row>
    <row r="137" spans="1:9" hidden="1">
      <c r="A137" s="611"/>
      <c r="B137" s="609"/>
      <c r="C137" s="609"/>
      <c r="D137" s="609"/>
      <c r="E137" s="609"/>
      <c r="F137" s="609"/>
      <c r="G137" s="609"/>
      <c r="H137" s="612"/>
      <c r="I137" s="594"/>
    </row>
    <row r="138" spans="1:9" hidden="1">
      <c r="A138" s="611" t="s">
        <v>139</v>
      </c>
      <c r="B138" s="609" t="s">
        <v>140</v>
      </c>
      <c r="C138" s="609"/>
      <c r="D138" s="609"/>
      <c r="E138" s="609"/>
      <c r="F138" s="609"/>
      <c r="G138" s="613"/>
      <c r="H138" s="610"/>
      <c r="I138" s="594"/>
    </row>
    <row r="139" spans="1:9" hidden="1">
      <c r="A139" s="611"/>
      <c r="B139" s="614" t="s">
        <v>141</v>
      </c>
      <c r="C139" s="609"/>
      <c r="D139" s="609"/>
      <c r="E139" s="609"/>
      <c r="F139" s="609"/>
      <c r="G139" s="2052"/>
      <c r="H139" s="610"/>
      <c r="I139" s="594"/>
    </row>
    <row r="140" spans="1:9" hidden="1">
      <c r="A140" s="611"/>
      <c r="B140" s="614" t="s">
        <v>142</v>
      </c>
      <c r="C140" s="609"/>
      <c r="D140" s="609"/>
      <c r="E140" s="609"/>
      <c r="F140" s="609"/>
      <c r="G140" s="2052"/>
      <c r="H140" s="610"/>
      <c r="I140" s="594"/>
    </row>
    <row r="141" spans="1:9" hidden="1">
      <c r="A141" s="611"/>
      <c r="B141" s="614" t="s">
        <v>143</v>
      </c>
      <c r="C141" s="609"/>
      <c r="D141" s="609"/>
      <c r="E141" s="609"/>
      <c r="F141" s="609"/>
      <c r="G141" s="2053"/>
      <c r="H141" s="612">
        <f>SUM(G138:G141)</f>
        <v>0</v>
      </c>
      <c r="I141" s="594"/>
    </row>
    <row r="142" spans="1:9" hidden="1">
      <c r="A142" s="611"/>
      <c r="B142" s="609"/>
      <c r="C142" s="609"/>
      <c r="D142" s="609"/>
      <c r="E142" s="609"/>
      <c r="F142" s="609"/>
      <c r="G142" s="609"/>
      <c r="H142" s="610"/>
      <c r="I142" s="594"/>
    </row>
    <row r="143" spans="1:9" hidden="1">
      <c r="A143" s="611" t="s">
        <v>144</v>
      </c>
      <c r="B143" s="609" t="s">
        <v>145</v>
      </c>
      <c r="C143" s="609"/>
      <c r="D143" s="609"/>
      <c r="E143" s="609"/>
      <c r="F143" s="609"/>
      <c r="G143" s="609"/>
      <c r="H143" s="615">
        <f>+H136-H141</f>
        <v>0</v>
      </c>
      <c r="I143" s="594"/>
    </row>
    <row r="144" spans="1:9" hidden="1">
      <c r="A144" s="611"/>
      <c r="B144" s="609"/>
      <c r="C144" s="609"/>
      <c r="D144" s="609"/>
      <c r="E144" s="609"/>
      <c r="F144" s="609"/>
      <c r="G144" s="609"/>
      <c r="H144" s="610"/>
      <c r="I144" s="594"/>
    </row>
    <row r="145" spans="1:11" ht="13.5" hidden="1" thickBot="1">
      <c r="A145" s="616"/>
      <c r="B145" s="617" t="str">
        <f>"Excess franking tax offsets converted to tax loss (Step 3 divided by "&amp;COY_Tax_Rate*"100 " &amp; "%)"</f>
        <v>Excess franking tax offsets converted to tax loss (Step 3 divided by 25%)</v>
      </c>
      <c r="C145" s="617"/>
      <c r="D145" s="617"/>
      <c r="E145" s="617"/>
      <c r="F145" s="617"/>
      <c r="G145" s="617"/>
      <c r="H145" s="618">
        <f>+H143/COY_Tax_Rate</f>
        <v>0</v>
      </c>
      <c r="I145" s="594"/>
    </row>
    <row r="146" spans="1:11" hidden="1">
      <c r="A146" s="45"/>
      <c r="B146" s="45"/>
      <c r="C146" s="45"/>
      <c r="D146" s="45"/>
      <c r="E146" s="45"/>
      <c r="F146" s="45"/>
      <c r="G146" s="45"/>
      <c r="H146" s="45"/>
      <c r="I146" s="45"/>
    </row>
    <row r="147" spans="1:11">
      <c r="A147" s="593" t="s">
        <v>82</v>
      </c>
      <c r="B147" s="593" t="s">
        <v>125</v>
      </c>
      <c r="C147" s="593"/>
      <c r="D147" s="593"/>
      <c r="E147" s="593"/>
      <c r="F147" s="593"/>
      <c r="G147" s="595"/>
      <c r="H147" s="595"/>
      <c r="I147" s="594"/>
    </row>
    <row r="148" spans="1:11">
      <c r="A148" s="593"/>
      <c r="B148" s="593"/>
      <c r="C148" s="593" t="s">
        <v>146</v>
      </c>
      <c r="D148" s="593"/>
      <c r="E148" s="593"/>
      <c r="F148" s="593"/>
      <c r="G148" s="2657"/>
      <c r="H148" s="595"/>
      <c r="I148" s="594"/>
    </row>
    <row r="149" spans="1:11">
      <c r="A149" s="593"/>
      <c r="B149" s="593"/>
      <c r="C149" s="593"/>
      <c r="D149" s="596" t="s">
        <v>147</v>
      </c>
      <c r="E149" s="593"/>
      <c r="F149" s="593"/>
      <c r="G149" s="2657"/>
      <c r="H149" s="595"/>
      <c r="I149" s="594"/>
    </row>
    <row r="150" spans="1:11">
      <c r="A150" s="593"/>
      <c r="B150" s="593"/>
      <c r="C150" s="593"/>
      <c r="D150" s="596" t="s">
        <v>148</v>
      </c>
      <c r="E150" s="593"/>
      <c r="F150" s="593"/>
      <c r="G150" s="2657"/>
      <c r="H150" s="595"/>
      <c r="I150" s="594"/>
    </row>
    <row r="151" spans="1:11">
      <c r="A151" s="593"/>
      <c r="B151" s="593"/>
      <c r="C151" s="593" t="s">
        <v>126</v>
      </c>
      <c r="D151" s="593"/>
      <c r="E151" s="593"/>
      <c r="F151" s="593"/>
      <c r="G151" s="2657"/>
      <c r="H151" s="595"/>
      <c r="I151" s="594"/>
    </row>
    <row r="152" spans="1:11">
      <c r="A152" s="593"/>
      <c r="B152" s="593"/>
      <c r="C152" s="593" t="s">
        <v>149</v>
      </c>
      <c r="D152" s="593"/>
      <c r="E152" s="593"/>
      <c r="F152" s="593"/>
      <c r="G152" s="2658"/>
      <c r="H152" s="600">
        <f>SUM(G148:G152)</f>
        <v>0</v>
      </c>
      <c r="I152" s="594"/>
    </row>
    <row r="153" spans="1:11">
      <c r="A153" s="45"/>
      <c r="B153" s="45"/>
      <c r="C153" s="45"/>
      <c r="D153" s="45"/>
      <c r="E153" s="45"/>
      <c r="F153" s="45"/>
      <c r="G153" s="45"/>
      <c r="H153" s="45"/>
      <c r="I153" s="45"/>
    </row>
    <row r="154" spans="1:11">
      <c r="A154" s="976" t="str">
        <f>IF(H11&lt;0,"HAVE YOU CHECKED THE TRUST DEED?","")</f>
        <v/>
      </c>
      <c r="C154" s="45"/>
      <c r="D154" s="45"/>
      <c r="E154" s="45"/>
      <c r="F154" s="45"/>
      <c r="G154" s="45"/>
      <c r="H154" s="45"/>
      <c r="I154" s="45"/>
    </row>
    <row r="155" spans="1:11">
      <c r="A155" s="45"/>
      <c r="B155" s="45"/>
      <c r="C155" s="45"/>
      <c r="D155" s="45"/>
      <c r="E155" s="45"/>
      <c r="F155" s="45"/>
      <c r="G155" s="45"/>
      <c r="H155" s="45"/>
      <c r="I155" s="45"/>
    </row>
    <row r="156" spans="1:11">
      <c r="A156" s="311" t="s">
        <v>150</v>
      </c>
      <c r="B156" s="3"/>
      <c r="C156" s="3"/>
      <c r="D156" s="3"/>
      <c r="G156" s="619"/>
      <c r="H156" s="593"/>
      <c r="I156" s="593"/>
      <c r="K156" s="1513">
        <v>1</v>
      </c>
    </row>
    <row r="157" spans="1:11">
      <c r="A157" s="3"/>
      <c r="D157" s="3823" t="s">
        <v>1145</v>
      </c>
      <c r="E157" s="3825"/>
      <c r="F157" s="3791" t="s">
        <v>177</v>
      </c>
      <c r="G157" s="3792"/>
      <c r="H157" s="3791" t="s">
        <v>177</v>
      </c>
      <c r="I157" s="3792"/>
      <c r="K157" s="1513">
        <v>1</v>
      </c>
    </row>
    <row r="158" spans="1:11">
      <c r="A158" s="29" t="str">
        <f>Partner_Beneficiary_Label</f>
        <v>Beneficiary</v>
      </c>
      <c r="B158" s="620"/>
      <c r="C158" s="57"/>
      <c r="D158" s="76" t="s">
        <v>1047</v>
      </c>
      <c r="E158" s="3686" t="s">
        <v>976</v>
      </c>
      <c r="F158" s="76" t="s">
        <v>1047</v>
      </c>
      <c r="G158" s="1593" t="s">
        <v>976</v>
      </c>
      <c r="H158" s="3791" t="s">
        <v>177</v>
      </c>
      <c r="I158" s="3792"/>
      <c r="K158" s="1513">
        <v>1</v>
      </c>
    </row>
    <row r="159" spans="1:11">
      <c r="A159" s="2659" t="s">
        <v>2833</v>
      </c>
      <c r="B159" s="2660"/>
      <c r="C159" s="2660"/>
      <c r="D159" s="3689">
        <v>0.5</v>
      </c>
      <c r="E159" s="2662">
        <f>I11*D159</f>
        <v>45000</v>
      </c>
      <c r="F159" s="2661">
        <f>D159</f>
        <v>0.5</v>
      </c>
      <c r="G159" s="2663">
        <f>ROUND($H$90*F159,0)</f>
        <v>25000</v>
      </c>
      <c r="H159" s="3791" t="s">
        <v>177</v>
      </c>
      <c r="I159" s="3792"/>
      <c r="K159" s="1513">
        <v>1</v>
      </c>
    </row>
    <row r="160" spans="1:11">
      <c r="A160" s="2659" t="s">
        <v>1962</v>
      </c>
      <c r="B160" s="2660"/>
      <c r="C160" s="2660"/>
      <c r="D160" s="2661">
        <f>SUM(D139:D159)</f>
        <v>0.5</v>
      </c>
      <c r="E160" s="2662">
        <f>I11*D160</f>
        <v>45000</v>
      </c>
      <c r="F160" s="2661">
        <f>D160</f>
        <v>0.5</v>
      </c>
      <c r="G160" s="2663">
        <f t="shared" ref="G160" si="1">ROUND($H$90*F160,0)</f>
        <v>25000</v>
      </c>
      <c r="H160" s="3791" t="s">
        <v>177</v>
      </c>
      <c r="I160" s="3792"/>
    </row>
    <row r="161" spans="1:9">
      <c r="A161" s="2664"/>
      <c r="B161" s="2660"/>
      <c r="C161" s="2660"/>
      <c r="D161" s="2661"/>
      <c r="E161" s="2662"/>
      <c r="F161" s="2661">
        <f>D161</f>
        <v>0</v>
      </c>
      <c r="G161" s="2663">
        <f>ROUND($H$90*F161,0)</f>
        <v>0</v>
      </c>
      <c r="H161" s="3791" t="s">
        <v>177</v>
      </c>
      <c r="I161" s="3792"/>
    </row>
    <row r="162" spans="1:9">
      <c r="A162" s="2664"/>
      <c r="B162" s="2660"/>
      <c r="C162" s="2660"/>
      <c r="D162" s="2661"/>
      <c r="E162" s="2662"/>
      <c r="F162" s="2661">
        <f>D162</f>
        <v>0</v>
      </c>
      <c r="G162" s="2663">
        <f>ROUND($H$90*F162,0)</f>
        <v>0</v>
      </c>
      <c r="H162" s="3791" t="s">
        <v>177</v>
      </c>
      <c r="I162" s="3792"/>
    </row>
    <row r="163" spans="1:9">
      <c r="A163" s="2659"/>
      <c r="B163" s="2660"/>
      <c r="C163" s="2660"/>
      <c r="D163" s="2661"/>
      <c r="E163" s="2662"/>
      <c r="F163" s="2661">
        <f>D163</f>
        <v>0</v>
      </c>
      <c r="G163" s="2663">
        <f>ROUND($H$90*F163,0)</f>
        <v>0</v>
      </c>
      <c r="H163" s="3791" t="s">
        <v>177</v>
      </c>
      <c r="I163" s="3792"/>
    </row>
    <row r="164" spans="1:9">
      <c r="A164" s="2664"/>
      <c r="B164" s="2660"/>
      <c r="C164" s="2660"/>
      <c r="D164" s="2661"/>
      <c r="E164" s="2662"/>
      <c r="F164" s="2661">
        <f t="shared" ref="F164:F178" si="2">+D164</f>
        <v>0</v>
      </c>
      <c r="G164" s="2663">
        <f t="shared" ref="G164:G178" si="3">ROUND($H$90*F164,0)</f>
        <v>0</v>
      </c>
      <c r="H164" s="3791" t="s">
        <v>177</v>
      </c>
      <c r="I164" s="3792"/>
    </row>
    <row r="165" spans="1:9" hidden="1">
      <c r="A165" s="2664"/>
      <c r="B165" s="2660"/>
      <c r="C165" s="2660"/>
      <c r="D165" s="2661"/>
      <c r="E165" s="2662">
        <f t="shared" ref="E165:E178" si="4">+D165*$H$11</f>
        <v>0</v>
      </c>
      <c r="F165" s="2661">
        <f t="shared" si="2"/>
        <v>0</v>
      </c>
      <c r="G165" s="2663">
        <f t="shared" si="3"/>
        <v>0</v>
      </c>
      <c r="H165" s="3791" t="s">
        <v>177</v>
      </c>
      <c r="I165" s="3792"/>
    </row>
    <row r="166" spans="1:9" hidden="1">
      <c r="A166" s="2664"/>
      <c r="B166" s="2660"/>
      <c r="C166" s="2660"/>
      <c r="D166" s="2661"/>
      <c r="E166" s="2662">
        <f t="shared" si="4"/>
        <v>0</v>
      </c>
      <c r="F166" s="2661">
        <f t="shared" si="2"/>
        <v>0</v>
      </c>
      <c r="G166" s="2663">
        <f t="shared" si="3"/>
        <v>0</v>
      </c>
      <c r="H166" s="3791" t="s">
        <v>177</v>
      </c>
      <c r="I166" s="3792"/>
    </row>
    <row r="167" spans="1:9" hidden="1">
      <c r="A167" s="2664"/>
      <c r="B167" s="2660"/>
      <c r="C167" s="2660"/>
      <c r="D167" s="2661"/>
      <c r="E167" s="2662">
        <f t="shared" si="4"/>
        <v>0</v>
      </c>
      <c r="F167" s="2661">
        <f t="shared" si="2"/>
        <v>0</v>
      </c>
      <c r="G167" s="2663">
        <f t="shared" si="3"/>
        <v>0</v>
      </c>
      <c r="H167" s="3791" t="s">
        <v>177</v>
      </c>
      <c r="I167" s="3792"/>
    </row>
    <row r="168" spans="1:9" hidden="1">
      <c r="A168" s="2664"/>
      <c r="B168" s="2660"/>
      <c r="C168" s="2660"/>
      <c r="D168" s="2661"/>
      <c r="E168" s="2662">
        <f t="shared" si="4"/>
        <v>0</v>
      </c>
      <c r="F168" s="2661">
        <f t="shared" si="2"/>
        <v>0</v>
      </c>
      <c r="G168" s="2663">
        <f t="shared" si="3"/>
        <v>0</v>
      </c>
      <c r="H168" s="3791" t="s">
        <v>177</v>
      </c>
      <c r="I168" s="3792"/>
    </row>
    <row r="169" spans="1:9" hidden="1">
      <c r="A169" s="2664"/>
      <c r="B169" s="2660"/>
      <c r="C169" s="2660"/>
      <c r="D169" s="2661"/>
      <c r="E169" s="2662">
        <f t="shared" si="4"/>
        <v>0</v>
      </c>
      <c r="F169" s="2661">
        <f t="shared" si="2"/>
        <v>0</v>
      </c>
      <c r="G169" s="2663">
        <f t="shared" si="3"/>
        <v>0</v>
      </c>
      <c r="H169" s="3791" t="s">
        <v>177</v>
      </c>
      <c r="I169" s="3792"/>
    </row>
    <row r="170" spans="1:9" hidden="1">
      <c r="A170" s="2664"/>
      <c r="B170" s="2660"/>
      <c r="C170" s="2660"/>
      <c r="D170" s="2661"/>
      <c r="E170" s="2662">
        <f t="shared" si="4"/>
        <v>0</v>
      </c>
      <c r="F170" s="2661">
        <f t="shared" si="2"/>
        <v>0</v>
      </c>
      <c r="G170" s="2663">
        <f t="shared" si="3"/>
        <v>0</v>
      </c>
      <c r="H170" s="3791" t="s">
        <v>177</v>
      </c>
      <c r="I170" s="3792"/>
    </row>
    <row r="171" spans="1:9" hidden="1">
      <c r="A171" s="2664"/>
      <c r="B171" s="2660"/>
      <c r="C171" s="2660"/>
      <c r="D171" s="2661"/>
      <c r="E171" s="2662">
        <f t="shared" si="4"/>
        <v>0</v>
      </c>
      <c r="F171" s="2661">
        <f t="shared" si="2"/>
        <v>0</v>
      </c>
      <c r="G171" s="2663">
        <f t="shared" si="3"/>
        <v>0</v>
      </c>
      <c r="H171" s="3791" t="s">
        <v>177</v>
      </c>
      <c r="I171" s="3792"/>
    </row>
    <row r="172" spans="1:9" hidden="1">
      <c r="A172" s="2664"/>
      <c r="B172" s="2660"/>
      <c r="C172" s="2660"/>
      <c r="D172" s="2661"/>
      <c r="E172" s="2662">
        <f t="shared" si="4"/>
        <v>0</v>
      </c>
      <c r="F172" s="2661">
        <f t="shared" si="2"/>
        <v>0</v>
      </c>
      <c r="G172" s="2663">
        <f t="shared" si="3"/>
        <v>0</v>
      </c>
      <c r="H172" s="3791" t="s">
        <v>177</v>
      </c>
      <c r="I172" s="3792"/>
    </row>
    <row r="173" spans="1:9" hidden="1">
      <c r="A173" s="2664"/>
      <c r="B173" s="2660"/>
      <c r="C173" s="2660"/>
      <c r="D173" s="2661"/>
      <c r="E173" s="2662">
        <f t="shared" si="4"/>
        <v>0</v>
      </c>
      <c r="F173" s="2661">
        <f t="shared" si="2"/>
        <v>0</v>
      </c>
      <c r="G173" s="2663">
        <f t="shared" si="3"/>
        <v>0</v>
      </c>
      <c r="H173" s="3791" t="s">
        <v>177</v>
      </c>
      <c r="I173" s="3792"/>
    </row>
    <row r="174" spans="1:9" hidden="1">
      <c r="A174" s="2664"/>
      <c r="B174" s="2660"/>
      <c r="C174" s="2660"/>
      <c r="D174" s="2661"/>
      <c r="E174" s="2662">
        <f t="shared" si="4"/>
        <v>0</v>
      </c>
      <c r="F174" s="2661">
        <f t="shared" si="2"/>
        <v>0</v>
      </c>
      <c r="G174" s="2663">
        <f t="shared" si="3"/>
        <v>0</v>
      </c>
      <c r="H174" s="3791" t="s">
        <v>177</v>
      </c>
      <c r="I174" s="3792"/>
    </row>
    <row r="175" spans="1:9" hidden="1">
      <c r="A175" s="2664"/>
      <c r="B175" s="2660"/>
      <c r="C175" s="2660"/>
      <c r="D175" s="2661"/>
      <c r="E175" s="2662">
        <f t="shared" si="4"/>
        <v>0</v>
      </c>
      <c r="F175" s="2661">
        <f t="shared" si="2"/>
        <v>0</v>
      </c>
      <c r="G175" s="2663">
        <f t="shared" si="3"/>
        <v>0</v>
      </c>
      <c r="H175" s="3791" t="s">
        <v>177</v>
      </c>
      <c r="I175" s="3792"/>
    </row>
    <row r="176" spans="1:9" hidden="1">
      <c r="A176" s="2664"/>
      <c r="B176" s="2660"/>
      <c r="C176" s="2660"/>
      <c r="D176" s="2661"/>
      <c r="E176" s="2662">
        <f t="shared" si="4"/>
        <v>0</v>
      </c>
      <c r="F176" s="2661">
        <f t="shared" si="2"/>
        <v>0</v>
      </c>
      <c r="G176" s="2663">
        <f t="shared" si="3"/>
        <v>0</v>
      </c>
      <c r="H176" s="3791" t="s">
        <v>177</v>
      </c>
      <c r="I176" s="3792"/>
    </row>
    <row r="177" spans="1:9" hidden="1">
      <c r="A177" s="2664"/>
      <c r="B177" s="2660"/>
      <c r="C177" s="2660"/>
      <c r="D177" s="2661"/>
      <c r="E177" s="2662">
        <f t="shared" si="4"/>
        <v>0</v>
      </c>
      <c r="F177" s="2661">
        <f t="shared" si="2"/>
        <v>0</v>
      </c>
      <c r="G177" s="2663">
        <f t="shared" si="3"/>
        <v>0</v>
      </c>
      <c r="H177" s="3791" t="s">
        <v>177</v>
      </c>
      <c r="I177" s="3792"/>
    </row>
    <row r="178" spans="1:9" hidden="1">
      <c r="A178" s="2664"/>
      <c r="B178" s="2660"/>
      <c r="C178" s="2660"/>
      <c r="D178" s="2661"/>
      <c r="E178" s="2662">
        <f t="shared" si="4"/>
        <v>0</v>
      </c>
      <c r="F178" s="2661">
        <f t="shared" si="2"/>
        <v>0</v>
      </c>
      <c r="G178" s="2663">
        <f t="shared" si="3"/>
        <v>0</v>
      </c>
      <c r="H178" s="3791" t="s">
        <v>177</v>
      </c>
      <c r="I178" s="3792"/>
    </row>
    <row r="179" spans="1:9" hidden="1">
      <c r="A179" s="2665"/>
      <c r="B179" s="2666"/>
      <c r="C179" s="2666"/>
      <c r="D179" s="2667"/>
      <c r="E179" s="2668">
        <f>+$H$11*D179</f>
        <v>0</v>
      </c>
      <c r="F179" s="2667">
        <f>+D179</f>
        <v>0</v>
      </c>
      <c r="G179" s="2669">
        <f>ROUND($H$90*F179,0)</f>
        <v>0</v>
      </c>
      <c r="H179" s="3791" t="s">
        <v>177</v>
      </c>
      <c r="I179" s="3792"/>
    </row>
    <row r="180" spans="1:9">
      <c r="A180" s="621" t="s">
        <v>1129</v>
      </c>
      <c r="B180" s="78"/>
      <c r="C180" s="78"/>
      <c r="D180" s="930">
        <f>SUM(D159:D179)</f>
        <v>1</v>
      </c>
      <c r="E180" s="924">
        <f>SUM(E159:E179)</f>
        <v>90000</v>
      </c>
      <c r="F180" s="930">
        <f>SUM(F159:F179)</f>
        <v>1</v>
      </c>
      <c r="G180" s="953">
        <f>SUM(G159:G179)</f>
        <v>50000</v>
      </c>
      <c r="H180" s="3791" t="s">
        <v>177</v>
      </c>
      <c r="I180" s="3792"/>
    </row>
    <row r="181" spans="1:9">
      <c r="A181" s="925" t="s">
        <v>357</v>
      </c>
      <c r="B181" s="622"/>
      <c r="C181" s="622"/>
      <c r="D181" s="929">
        <f>1-D180</f>
        <v>0</v>
      </c>
      <c r="E181" s="927">
        <f>+H11-E180</f>
        <v>0</v>
      </c>
      <c r="F181" s="929">
        <f>1-F180</f>
        <v>0</v>
      </c>
      <c r="G181" s="926">
        <f>+H90-G180</f>
        <v>0</v>
      </c>
      <c r="H181" s="3791" t="s">
        <v>177</v>
      </c>
      <c r="I181" s="3792"/>
    </row>
    <row r="182" spans="1:9">
      <c r="A182" s="925"/>
      <c r="B182" s="622"/>
      <c r="C182" s="622"/>
      <c r="D182" s="928"/>
      <c r="E182" s="927"/>
      <c r="F182" s="928"/>
      <c r="G182" s="926"/>
      <c r="H182" s="593"/>
      <c r="I182" s="593"/>
    </row>
    <row r="183" spans="1:9" hidden="1">
      <c r="A183" s="623" t="s">
        <v>152</v>
      </c>
      <c r="C183" s="622"/>
      <c r="D183" s="622"/>
      <c r="E183" s="624"/>
      <c r="F183" s="625"/>
      <c r="G183" s="619"/>
      <c r="H183" s="593"/>
      <c r="I183" s="593"/>
    </row>
    <row r="184" spans="1:9" hidden="1">
      <c r="A184" s="1592" t="str">
        <f>IF(I11&lt;0,"WARNING: NO DISTRIBUTABLE SURPLUS SHOWN","")</f>
        <v/>
      </c>
      <c r="B184" s="624"/>
      <c r="C184" s="624"/>
      <c r="D184" s="624"/>
      <c r="E184" s="624"/>
      <c r="F184" s="625"/>
      <c r="G184" s="619"/>
      <c r="H184" s="593"/>
      <c r="I184" s="593"/>
    </row>
    <row r="185" spans="1:9" ht="63.75" hidden="1">
      <c r="A185" s="1594" t="s">
        <v>151</v>
      </c>
      <c r="B185" s="228" t="s">
        <v>1818</v>
      </c>
      <c r="C185" s="228" t="s">
        <v>1819</v>
      </c>
      <c r="D185" s="228" t="s">
        <v>1820</v>
      </c>
      <c r="E185" s="228" t="s">
        <v>1821</v>
      </c>
      <c r="F185" s="228" t="s">
        <v>1822</v>
      </c>
      <c r="G185" s="228" t="s">
        <v>131</v>
      </c>
      <c r="H185" s="228" t="s">
        <v>1823</v>
      </c>
      <c r="I185" s="228" t="s">
        <v>1524</v>
      </c>
    </row>
    <row r="186" spans="1:9" hidden="1">
      <c r="A186" s="2670" t="str">
        <f t="shared" ref="A186:A205" si="5">IF(A160="","",A160)</f>
        <v>Beneficiary 2</v>
      </c>
      <c r="B186" s="2671" t="str">
        <f>IF(OR($F160=0,$J$90=0),"",($F160*$J$90))</f>
        <v/>
      </c>
      <c r="C186" s="2672">
        <f>IF(OR($F160=0,$I$90=0),"",($F160*I$90)-SUM(D186:$I186)-SUM(B209:F209))</f>
        <v>0</v>
      </c>
      <c r="D186" s="2672"/>
      <c r="E186" s="2672"/>
      <c r="F186" s="2672"/>
      <c r="G186" s="2672"/>
      <c r="H186" s="2672">
        <f t="shared" ref="H186:H205" si="6">IFERROR(I186*70/30,0)</f>
        <v>0</v>
      </c>
      <c r="I186" s="2672">
        <f t="shared" ref="I186:I205" si="7">IF($F160=0,"",($F160*$I$15))</f>
        <v>0</v>
      </c>
    </row>
    <row r="187" spans="1:9" hidden="1">
      <c r="A187" s="2664" t="str">
        <f t="shared" si="5"/>
        <v/>
      </c>
      <c r="B187" s="2673" t="str">
        <f t="shared" ref="B187:B205" si="8">IF(OR($F161=0,$J$90=0),"",($F161*$J$90))</f>
        <v/>
      </c>
      <c r="C187" s="2674" t="str">
        <f>IF(OR($F161=0,$I$90=0),"",($F161*I$90)-SUM(D187:$I187)-SUM(B210:F210))</f>
        <v/>
      </c>
      <c r="D187" s="2674"/>
      <c r="E187" s="2674"/>
      <c r="F187" s="2674"/>
      <c r="G187" s="2674"/>
      <c r="H187" s="2674">
        <f t="shared" si="6"/>
        <v>0</v>
      </c>
      <c r="I187" s="2674" t="str">
        <f t="shared" si="7"/>
        <v/>
      </c>
    </row>
    <row r="188" spans="1:9" hidden="1">
      <c r="A188" s="2664" t="str">
        <f t="shared" si="5"/>
        <v/>
      </c>
      <c r="B188" s="2673" t="str">
        <f t="shared" si="8"/>
        <v/>
      </c>
      <c r="C188" s="2674" t="str">
        <f>IF(OR($F162=0,$I$90=0),"",($F162*I$90)-SUM(D188:$I188)-SUM(B211:F211))</f>
        <v/>
      </c>
      <c r="D188" s="2674"/>
      <c r="E188" s="2674"/>
      <c r="F188" s="2674"/>
      <c r="G188" s="2674"/>
      <c r="H188" s="2674">
        <f t="shared" si="6"/>
        <v>0</v>
      </c>
      <c r="I188" s="2674" t="str">
        <f t="shared" si="7"/>
        <v/>
      </c>
    </row>
    <row r="189" spans="1:9" hidden="1">
      <c r="A189" s="2664" t="str">
        <f t="shared" si="5"/>
        <v/>
      </c>
      <c r="B189" s="2673" t="str">
        <f t="shared" si="8"/>
        <v/>
      </c>
      <c r="C189" s="2674" t="str">
        <f>IF(OR($F163=0,$I$90=0),"",($F163*I$90)-SUM(D189:$I189)-SUM(B212:F212))</f>
        <v/>
      </c>
      <c r="D189" s="2674"/>
      <c r="E189" s="2674"/>
      <c r="F189" s="2674"/>
      <c r="G189" s="2674"/>
      <c r="H189" s="2674">
        <f t="shared" si="6"/>
        <v>0</v>
      </c>
      <c r="I189" s="2674" t="str">
        <f t="shared" si="7"/>
        <v/>
      </c>
    </row>
    <row r="190" spans="1:9" hidden="1">
      <c r="A190" s="2664" t="str">
        <f t="shared" si="5"/>
        <v/>
      </c>
      <c r="B190" s="2673" t="str">
        <f t="shared" si="8"/>
        <v/>
      </c>
      <c r="C190" s="2674" t="str">
        <f>IF(OR($F164=0,$I$90=0),"",($F164*I$90)-SUM(D190:$I190)-SUM(B213:F213))</f>
        <v/>
      </c>
      <c r="D190" s="2674"/>
      <c r="E190" s="2674"/>
      <c r="F190" s="2674"/>
      <c r="G190" s="2674"/>
      <c r="H190" s="2674">
        <f t="shared" si="6"/>
        <v>0</v>
      </c>
      <c r="I190" s="2674" t="str">
        <f t="shared" si="7"/>
        <v/>
      </c>
    </row>
    <row r="191" spans="1:9" hidden="1">
      <c r="A191" s="2664" t="str">
        <f t="shared" si="5"/>
        <v/>
      </c>
      <c r="B191" s="2673" t="str">
        <f t="shared" si="8"/>
        <v/>
      </c>
      <c r="C191" s="2674" t="str">
        <f>IF(OR($F165=0,$I$90=0),"",($F165*I$90)-SUM(D191:$I191)-SUM(B214:F214))</f>
        <v/>
      </c>
      <c r="D191" s="2674"/>
      <c r="E191" s="2674"/>
      <c r="F191" s="2674"/>
      <c r="G191" s="2674"/>
      <c r="H191" s="2674">
        <f t="shared" si="6"/>
        <v>0</v>
      </c>
      <c r="I191" s="2674" t="str">
        <f t="shared" si="7"/>
        <v/>
      </c>
    </row>
    <row r="192" spans="1:9" hidden="1">
      <c r="A192" s="2664" t="str">
        <f t="shared" si="5"/>
        <v/>
      </c>
      <c r="B192" s="2673" t="str">
        <f t="shared" si="8"/>
        <v/>
      </c>
      <c r="C192" s="2674" t="str">
        <f>IF(OR($F166=0,$I$90=0),"",($F166*I$90)-SUM(D192:$I192)-SUM(B215:F215))</f>
        <v/>
      </c>
      <c r="D192" s="2674"/>
      <c r="E192" s="2674"/>
      <c r="F192" s="2674"/>
      <c r="G192" s="2674"/>
      <c r="H192" s="2674">
        <f t="shared" si="6"/>
        <v>0</v>
      </c>
      <c r="I192" s="2674" t="str">
        <f t="shared" si="7"/>
        <v/>
      </c>
    </row>
    <row r="193" spans="1:10" hidden="1">
      <c r="A193" s="2664" t="str">
        <f t="shared" si="5"/>
        <v/>
      </c>
      <c r="B193" s="2673" t="str">
        <f t="shared" si="8"/>
        <v/>
      </c>
      <c r="C193" s="2674" t="str">
        <f>IF(OR($F167=0,$I$90=0),"",($F167*I$90)-SUM(D193:$I193)-SUM(B216:F216))</f>
        <v/>
      </c>
      <c r="D193" s="2674"/>
      <c r="E193" s="2674"/>
      <c r="F193" s="2674"/>
      <c r="G193" s="2674"/>
      <c r="H193" s="2674">
        <f t="shared" si="6"/>
        <v>0</v>
      </c>
      <c r="I193" s="2674" t="str">
        <f t="shared" si="7"/>
        <v/>
      </c>
    </row>
    <row r="194" spans="1:10" hidden="1">
      <c r="A194" s="2664" t="str">
        <f t="shared" si="5"/>
        <v/>
      </c>
      <c r="B194" s="2673" t="str">
        <f t="shared" si="8"/>
        <v/>
      </c>
      <c r="C194" s="2674" t="str">
        <f>IF(OR($F168=0,$I$90=0),"",($F168*I$90)-SUM(D194:$I194)-SUM(B217:F217))</f>
        <v/>
      </c>
      <c r="D194" s="2674"/>
      <c r="E194" s="2674"/>
      <c r="F194" s="2674"/>
      <c r="G194" s="2674"/>
      <c r="H194" s="2674">
        <f t="shared" si="6"/>
        <v>0</v>
      </c>
      <c r="I194" s="2674" t="str">
        <f t="shared" si="7"/>
        <v/>
      </c>
    </row>
    <row r="195" spans="1:10" hidden="1">
      <c r="A195" s="2664" t="str">
        <f t="shared" si="5"/>
        <v/>
      </c>
      <c r="B195" s="2673" t="str">
        <f t="shared" si="8"/>
        <v/>
      </c>
      <c r="C195" s="2674" t="str">
        <f>IF(OR($F169=0,$I$90=0),"",($F169*I$90)-SUM(D195:$I195)-SUM(B218:F218))</f>
        <v/>
      </c>
      <c r="D195" s="2674"/>
      <c r="E195" s="2674"/>
      <c r="F195" s="2674"/>
      <c r="G195" s="2674"/>
      <c r="H195" s="2674">
        <f t="shared" si="6"/>
        <v>0</v>
      </c>
      <c r="I195" s="2674" t="str">
        <f t="shared" si="7"/>
        <v/>
      </c>
    </row>
    <row r="196" spans="1:10" hidden="1">
      <c r="A196" s="2664" t="str">
        <f t="shared" si="5"/>
        <v/>
      </c>
      <c r="B196" s="2673" t="str">
        <f t="shared" si="8"/>
        <v/>
      </c>
      <c r="C196" s="2674" t="str">
        <f>IF(OR($F170=0,$I$90=0),"",($F170*I$90)-SUM(D196:$I196)-SUM(B219:F219))</f>
        <v/>
      </c>
      <c r="D196" s="2674"/>
      <c r="E196" s="2674"/>
      <c r="F196" s="2674"/>
      <c r="G196" s="2674"/>
      <c r="H196" s="2674">
        <f t="shared" si="6"/>
        <v>0</v>
      </c>
      <c r="I196" s="2674" t="str">
        <f t="shared" si="7"/>
        <v/>
      </c>
    </row>
    <row r="197" spans="1:10" hidden="1">
      <c r="A197" s="2664" t="str">
        <f t="shared" si="5"/>
        <v/>
      </c>
      <c r="B197" s="2673" t="str">
        <f t="shared" si="8"/>
        <v/>
      </c>
      <c r="C197" s="2674" t="str">
        <f>IF(OR($F171=0,$I$90=0),"",($F171*I$90)-SUM(D197:$I197)-SUM(B220:F220))</f>
        <v/>
      </c>
      <c r="D197" s="2674"/>
      <c r="E197" s="2674"/>
      <c r="F197" s="2674"/>
      <c r="G197" s="2674"/>
      <c r="H197" s="2674">
        <f t="shared" si="6"/>
        <v>0</v>
      </c>
      <c r="I197" s="2674" t="str">
        <f t="shared" si="7"/>
        <v/>
      </c>
    </row>
    <row r="198" spans="1:10" hidden="1">
      <c r="A198" s="2664" t="str">
        <f t="shared" si="5"/>
        <v/>
      </c>
      <c r="B198" s="2673" t="str">
        <f t="shared" si="8"/>
        <v/>
      </c>
      <c r="C198" s="2674" t="str">
        <f>IF(OR($F172=0,$I$90=0),"",($F172*I$90)-SUM(D198:$I198)-SUM(B221:F221))</f>
        <v/>
      </c>
      <c r="D198" s="2674"/>
      <c r="E198" s="2674"/>
      <c r="F198" s="2674"/>
      <c r="G198" s="2674"/>
      <c r="H198" s="2674">
        <f t="shared" si="6"/>
        <v>0</v>
      </c>
      <c r="I198" s="2674" t="str">
        <f t="shared" si="7"/>
        <v/>
      </c>
    </row>
    <row r="199" spans="1:10" hidden="1">
      <c r="A199" s="2664" t="str">
        <f t="shared" si="5"/>
        <v/>
      </c>
      <c r="B199" s="2673" t="str">
        <f t="shared" si="8"/>
        <v/>
      </c>
      <c r="C199" s="2674" t="str">
        <f>IF(OR($F173=0,$I$90=0),"",($F173*I$90)-SUM(D199:$I199)-SUM(B222:F222))</f>
        <v/>
      </c>
      <c r="D199" s="2674"/>
      <c r="E199" s="2674"/>
      <c r="F199" s="2674"/>
      <c r="G199" s="2674"/>
      <c r="H199" s="2674">
        <f t="shared" si="6"/>
        <v>0</v>
      </c>
      <c r="I199" s="2674" t="str">
        <f t="shared" si="7"/>
        <v/>
      </c>
    </row>
    <row r="200" spans="1:10" hidden="1">
      <c r="A200" s="2664" t="str">
        <f t="shared" si="5"/>
        <v/>
      </c>
      <c r="B200" s="2673" t="str">
        <f t="shared" si="8"/>
        <v/>
      </c>
      <c r="C200" s="2674" t="str">
        <f>IF(OR($F174=0,$I$90=0),"",($F174*I$90)-SUM(D200:$I200)-SUM(B223:F223))</f>
        <v/>
      </c>
      <c r="D200" s="2674"/>
      <c r="E200" s="2674"/>
      <c r="F200" s="2674"/>
      <c r="G200" s="2674"/>
      <c r="H200" s="2674">
        <f t="shared" si="6"/>
        <v>0</v>
      </c>
      <c r="I200" s="2674" t="str">
        <f t="shared" si="7"/>
        <v/>
      </c>
    </row>
    <row r="201" spans="1:10" hidden="1">
      <c r="A201" s="2664" t="str">
        <f t="shared" si="5"/>
        <v/>
      </c>
      <c r="B201" s="2673" t="str">
        <f t="shared" si="8"/>
        <v/>
      </c>
      <c r="C201" s="2674" t="str">
        <f>IF(OR($F175=0,$I$90=0),"",($F175*I$90)-SUM(D201:$I201)-SUM(B224:F224))</f>
        <v/>
      </c>
      <c r="D201" s="2674"/>
      <c r="E201" s="2674"/>
      <c r="F201" s="2674"/>
      <c r="G201" s="2674"/>
      <c r="H201" s="2674">
        <f t="shared" si="6"/>
        <v>0</v>
      </c>
      <c r="I201" s="2674" t="str">
        <f t="shared" si="7"/>
        <v/>
      </c>
    </row>
    <row r="202" spans="1:10" hidden="1">
      <c r="A202" s="2664" t="str">
        <f t="shared" si="5"/>
        <v/>
      </c>
      <c r="B202" s="2673" t="str">
        <f t="shared" si="8"/>
        <v/>
      </c>
      <c r="C202" s="2674" t="str">
        <f>IF(OR($F176=0,$I$90=0),"",($F176*I$90)-SUM(D202:$I202)-SUM(B225:F225))</f>
        <v/>
      </c>
      <c r="D202" s="2674"/>
      <c r="E202" s="2674"/>
      <c r="F202" s="2674"/>
      <c r="G202" s="2674"/>
      <c r="H202" s="2674">
        <f t="shared" si="6"/>
        <v>0</v>
      </c>
      <c r="I202" s="2674" t="str">
        <f t="shared" si="7"/>
        <v/>
      </c>
    </row>
    <row r="203" spans="1:10" hidden="1">
      <c r="A203" s="2664" t="str">
        <f t="shared" si="5"/>
        <v/>
      </c>
      <c r="B203" s="2673" t="str">
        <f t="shared" si="8"/>
        <v/>
      </c>
      <c r="C203" s="2674" t="str">
        <f>IF(OR($F177=0,$I$90=0),"",($F177*I$90)-SUM(D203:$I203)-SUM(B226:F226))</f>
        <v/>
      </c>
      <c r="D203" s="2674"/>
      <c r="E203" s="2674"/>
      <c r="F203" s="2674"/>
      <c r="G203" s="2674"/>
      <c r="H203" s="2674">
        <f t="shared" si="6"/>
        <v>0</v>
      </c>
      <c r="I203" s="2674" t="str">
        <f t="shared" si="7"/>
        <v/>
      </c>
    </row>
    <row r="204" spans="1:10" hidden="1">
      <c r="A204" s="2664" t="str">
        <f t="shared" si="5"/>
        <v/>
      </c>
      <c r="B204" s="2673" t="str">
        <f t="shared" si="8"/>
        <v/>
      </c>
      <c r="C204" s="2674" t="str">
        <f>IF(OR($F178=0,$I$90=0),"",($F178*I$90)-SUM(D204:$I204)-SUM(B227:F227))</f>
        <v/>
      </c>
      <c r="D204" s="2674"/>
      <c r="E204" s="2674"/>
      <c r="F204" s="2674"/>
      <c r="G204" s="2674"/>
      <c r="H204" s="2674">
        <f t="shared" si="6"/>
        <v>0</v>
      </c>
      <c r="I204" s="2674" t="str">
        <f t="shared" si="7"/>
        <v/>
      </c>
    </row>
    <row r="205" spans="1:10" hidden="1">
      <c r="A205" s="2665" t="str">
        <f t="shared" si="5"/>
        <v/>
      </c>
      <c r="B205" s="2675" t="str">
        <f t="shared" si="8"/>
        <v/>
      </c>
      <c r="C205" s="2676" t="str">
        <f>IF(OR($F179=0,$I$90=0),"",($F179*I$90)-SUM(D205:$I205)-SUM(B228:F228))</f>
        <v/>
      </c>
      <c r="D205" s="2676"/>
      <c r="E205" s="2676"/>
      <c r="F205" s="2676"/>
      <c r="G205" s="2676"/>
      <c r="H205" s="2676">
        <f t="shared" si="6"/>
        <v>0</v>
      </c>
      <c r="I205" s="2676" t="str">
        <f t="shared" si="7"/>
        <v/>
      </c>
    </row>
    <row r="206" spans="1:10" hidden="1">
      <c r="A206" s="621" t="s">
        <v>1129</v>
      </c>
      <c r="B206" s="1596">
        <f>SUM(B186:B205)</f>
        <v>0</v>
      </c>
      <c r="C206" s="1597">
        <f t="shared" ref="C206:I206" si="9">SUM(C186:C205)</f>
        <v>0</v>
      </c>
      <c r="D206" s="1597">
        <f t="shared" si="9"/>
        <v>0</v>
      </c>
      <c r="E206" s="1597">
        <f t="shared" si="9"/>
        <v>0</v>
      </c>
      <c r="F206" s="1597">
        <f t="shared" si="9"/>
        <v>0</v>
      </c>
      <c r="G206" s="1597">
        <f t="shared" si="9"/>
        <v>0</v>
      </c>
      <c r="H206" s="1597">
        <f t="shared" si="9"/>
        <v>0</v>
      </c>
      <c r="I206" s="1596">
        <f t="shared" si="9"/>
        <v>0</v>
      </c>
    </row>
    <row r="207" spans="1:10" hidden="1">
      <c r="A207" s="54"/>
      <c r="B207" s="54"/>
      <c r="C207" s="1595"/>
      <c r="D207" s="1595"/>
      <c r="E207" s="1595"/>
      <c r="F207" s="1595"/>
      <c r="G207" s="1595"/>
      <c r="H207" s="1595"/>
    </row>
    <row r="208" spans="1:10" ht="89.25" hidden="1">
      <c r="A208" s="1594" t="str">
        <f>Partner_Beneficiary_Label</f>
        <v>Beneficiary</v>
      </c>
      <c r="B208" s="228" t="s">
        <v>1824</v>
      </c>
      <c r="C208" s="228" t="s">
        <v>1825</v>
      </c>
      <c r="D208" s="228" t="s">
        <v>1826</v>
      </c>
      <c r="E208" s="228" t="s">
        <v>1827</v>
      </c>
      <c r="F208" s="228" t="s">
        <v>1828</v>
      </c>
      <c r="G208" s="228" t="s">
        <v>1829</v>
      </c>
      <c r="H208" s="228" t="s">
        <v>1830</v>
      </c>
      <c r="I208" s="228" t="s">
        <v>1129</v>
      </c>
      <c r="J208" s="1595"/>
    </row>
    <row r="209" spans="1:10" hidden="1">
      <c r="A209" s="2670" t="str">
        <f t="shared" ref="A209:A228" si="10">IF(A160="","",A160)</f>
        <v>Beneficiary 2</v>
      </c>
      <c r="B209" s="2671"/>
      <c r="C209" s="2672"/>
      <c r="D209" s="2672">
        <f t="shared" ref="D209:D228" si="11">IF($F160="","",$H$14*$F160)</f>
        <v>25000</v>
      </c>
      <c r="E209" s="2672"/>
      <c r="F209" s="2672"/>
      <c r="G209" s="2672"/>
      <c r="H209" s="2672"/>
      <c r="I209" s="2672">
        <f>SUM(B186:I186)+SUM(B209:H209)</f>
        <v>25000</v>
      </c>
      <c r="J209" s="1595"/>
    </row>
    <row r="210" spans="1:10" hidden="1">
      <c r="A210" s="2664" t="str">
        <f t="shared" si="10"/>
        <v/>
      </c>
      <c r="B210" s="2673"/>
      <c r="C210" s="2674"/>
      <c r="D210" s="2674">
        <f t="shared" si="11"/>
        <v>0</v>
      </c>
      <c r="E210" s="2674"/>
      <c r="F210" s="2674"/>
      <c r="G210" s="2674"/>
      <c r="H210" s="2674"/>
      <c r="I210" s="2674">
        <f t="shared" ref="I210:I228" si="12">SUM(B187:I187)+SUM(B210:H210)</f>
        <v>0</v>
      </c>
      <c r="J210" s="1595"/>
    </row>
    <row r="211" spans="1:10" hidden="1">
      <c r="A211" s="2664" t="str">
        <f t="shared" si="10"/>
        <v/>
      </c>
      <c r="B211" s="2673"/>
      <c r="C211" s="2674"/>
      <c r="D211" s="2674">
        <f t="shared" si="11"/>
        <v>0</v>
      </c>
      <c r="E211" s="2674"/>
      <c r="F211" s="2674"/>
      <c r="G211" s="2674"/>
      <c r="H211" s="2674"/>
      <c r="I211" s="2674">
        <f t="shared" si="12"/>
        <v>0</v>
      </c>
      <c r="J211" s="1595"/>
    </row>
    <row r="212" spans="1:10" hidden="1">
      <c r="A212" s="2664" t="str">
        <f t="shared" si="10"/>
        <v/>
      </c>
      <c r="B212" s="2673"/>
      <c r="C212" s="2674"/>
      <c r="D212" s="2674">
        <f t="shared" si="11"/>
        <v>0</v>
      </c>
      <c r="E212" s="2674"/>
      <c r="F212" s="2674"/>
      <c r="G212" s="2674"/>
      <c r="H212" s="2674"/>
      <c r="I212" s="2674">
        <f t="shared" si="12"/>
        <v>0</v>
      </c>
      <c r="J212" s="1595"/>
    </row>
    <row r="213" spans="1:10" hidden="1">
      <c r="A213" s="2664" t="str">
        <f t="shared" si="10"/>
        <v/>
      </c>
      <c r="B213" s="2673"/>
      <c r="C213" s="2674"/>
      <c r="D213" s="2674">
        <f t="shared" si="11"/>
        <v>0</v>
      </c>
      <c r="E213" s="2674"/>
      <c r="F213" s="2674"/>
      <c r="G213" s="2674"/>
      <c r="H213" s="2674"/>
      <c r="I213" s="2674">
        <f t="shared" si="12"/>
        <v>0</v>
      </c>
      <c r="J213" s="1595"/>
    </row>
    <row r="214" spans="1:10" hidden="1">
      <c r="A214" s="2664" t="str">
        <f t="shared" si="10"/>
        <v/>
      </c>
      <c r="B214" s="2673"/>
      <c r="C214" s="2674"/>
      <c r="D214" s="2674">
        <f t="shared" si="11"/>
        <v>0</v>
      </c>
      <c r="E214" s="2674"/>
      <c r="F214" s="2674"/>
      <c r="G214" s="2674"/>
      <c r="H214" s="2674"/>
      <c r="I214" s="2674">
        <f t="shared" si="12"/>
        <v>0</v>
      </c>
      <c r="J214" s="1595"/>
    </row>
    <row r="215" spans="1:10" hidden="1">
      <c r="A215" s="2664" t="str">
        <f t="shared" si="10"/>
        <v/>
      </c>
      <c r="B215" s="2673"/>
      <c r="C215" s="2674"/>
      <c r="D215" s="2674">
        <f t="shared" si="11"/>
        <v>0</v>
      </c>
      <c r="E215" s="2674"/>
      <c r="F215" s="2674"/>
      <c r="G215" s="2674"/>
      <c r="H215" s="2674"/>
      <c r="I215" s="2674">
        <f t="shared" si="12"/>
        <v>0</v>
      </c>
      <c r="J215" s="1595"/>
    </row>
    <row r="216" spans="1:10" hidden="1">
      <c r="A216" s="2664" t="str">
        <f t="shared" si="10"/>
        <v/>
      </c>
      <c r="B216" s="2673"/>
      <c r="C216" s="2674"/>
      <c r="D216" s="2674">
        <f t="shared" si="11"/>
        <v>0</v>
      </c>
      <c r="E216" s="2674"/>
      <c r="F216" s="2674"/>
      <c r="G216" s="2674"/>
      <c r="H216" s="2674"/>
      <c r="I216" s="2674">
        <f t="shared" si="12"/>
        <v>0</v>
      </c>
      <c r="J216" s="1595"/>
    </row>
    <row r="217" spans="1:10" hidden="1">
      <c r="A217" s="2664" t="str">
        <f t="shared" si="10"/>
        <v/>
      </c>
      <c r="B217" s="2673"/>
      <c r="C217" s="2674"/>
      <c r="D217" s="2674">
        <f t="shared" si="11"/>
        <v>0</v>
      </c>
      <c r="E217" s="2674"/>
      <c r="F217" s="2674"/>
      <c r="G217" s="2674"/>
      <c r="H217" s="2674"/>
      <c r="I217" s="2674">
        <f t="shared" si="12"/>
        <v>0</v>
      </c>
      <c r="J217" s="1595"/>
    </row>
    <row r="218" spans="1:10" hidden="1">
      <c r="A218" s="2664" t="str">
        <f t="shared" si="10"/>
        <v/>
      </c>
      <c r="B218" s="2673"/>
      <c r="C218" s="2674"/>
      <c r="D218" s="2674">
        <f t="shared" si="11"/>
        <v>0</v>
      </c>
      <c r="E218" s="2674"/>
      <c r="F218" s="2674"/>
      <c r="G218" s="2674"/>
      <c r="H218" s="2674"/>
      <c r="I218" s="2674">
        <f t="shared" si="12"/>
        <v>0</v>
      </c>
      <c r="J218" s="1595"/>
    </row>
    <row r="219" spans="1:10" hidden="1">
      <c r="A219" s="2664" t="str">
        <f t="shared" si="10"/>
        <v/>
      </c>
      <c r="B219" s="2673"/>
      <c r="C219" s="2674"/>
      <c r="D219" s="2674">
        <f t="shared" si="11"/>
        <v>0</v>
      </c>
      <c r="E219" s="2674"/>
      <c r="F219" s="2674"/>
      <c r="G219" s="2674"/>
      <c r="H219" s="2674"/>
      <c r="I219" s="2674">
        <f t="shared" si="12"/>
        <v>0</v>
      </c>
      <c r="J219" s="1595"/>
    </row>
    <row r="220" spans="1:10" hidden="1">
      <c r="A220" s="2664" t="str">
        <f t="shared" si="10"/>
        <v/>
      </c>
      <c r="B220" s="2673"/>
      <c r="C220" s="2674"/>
      <c r="D220" s="2674">
        <f t="shared" si="11"/>
        <v>0</v>
      </c>
      <c r="E220" s="2674"/>
      <c r="F220" s="2674"/>
      <c r="G220" s="2674"/>
      <c r="H220" s="2674"/>
      <c r="I220" s="2674">
        <f t="shared" si="12"/>
        <v>0</v>
      </c>
      <c r="J220" s="1595"/>
    </row>
    <row r="221" spans="1:10" hidden="1">
      <c r="A221" s="2664" t="str">
        <f t="shared" si="10"/>
        <v/>
      </c>
      <c r="B221" s="2673"/>
      <c r="C221" s="2674"/>
      <c r="D221" s="2674">
        <f t="shared" si="11"/>
        <v>0</v>
      </c>
      <c r="E221" s="2674"/>
      <c r="F221" s="2674"/>
      <c r="G221" s="2674"/>
      <c r="H221" s="2674"/>
      <c r="I221" s="2674">
        <f t="shared" si="12"/>
        <v>0</v>
      </c>
      <c r="J221" s="1595"/>
    </row>
    <row r="222" spans="1:10" hidden="1">
      <c r="A222" s="2664" t="str">
        <f t="shared" si="10"/>
        <v/>
      </c>
      <c r="B222" s="2673"/>
      <c r="C222" s="2674"/>
      <c r="D222" s="2674">
        <f t="shared" si="11"/>
        <v>0</v>
      </c>
      <c r="E222" s="2674"/>
      <c r="F222" s="2674"/>
      <c r="G222" s="2674"/>
      <c r="H222" s="2674"/>
      <c r="I222" s="2674">
        <f t="shared" si="12"/>
        <v>0</v>
      </c>
      <c r="J222" s="1595"/>
    </row>
    <row r="223" spans="1:10" hidden="1">
      <c r="A223" s="2664" t="str">
        <f t="shared" si="10"/>
        <v/>
      </c>
      <c r="B223" s="2673"/>
      <c r="C223" s="2674"/>
      <c r="D223" s="2674">
        <f t="shared" si="11"/>
        <v>0</v>
      </c>
      <c r="E223" s="2674"/>
      <c r="F223" s="2674"/>
      <c r="G223" s="2674"/>
      <c r="H223" s="2674"/>
      <c r="I223" s="2674">
        <f t="shared" si="12"/>
        <v>0</v>
      </c>
      <c r="J223" s="1595"/>
    </row>
    <row r="224" spans="1:10" hidden="1">
      <c r="A224" s="2664" t="str">
        <f t="shared" si="10"/>
        <v/>
      </c>
      <c r="B224" s="2673"/>
      <c r="C224" s="2674"/>
      <c r="D224" s="2674">
        <f t="shared" si="11"/>
        <v>0</v>
      </c>
      <c r="E224" s="2674"/>
      <c r="F224" s="2674"/>
      <c r="G224" s="2674"/>
      <c r="H224" s="2674"/>
      <c r="I224" s="2674">
        <f t="shared" si="12"/>
        <v>0</v>
      </c>
      <c r="J224" s="1595"/>
    </row>
    <row r="225" spans="1:10" hidden="1">
      <c r="A225" s="2664" t="str">
        <f t="shared" si="10"/>
        <v/>
      </c>
      <c r="B225" s="2673"/>
      <c r="C225" s="2674"/>
      <c r="D225" s="2674">
        <f t="shared" si="11"/>
        <v>0</v>
      </c>
      <c r="E225" s="2674"/>
      <c r="F225" s="2674"/>
      <c r="G225" s="2674"/>
      <c r="H225" s="2674"/>
      <c r="I225" s="2674">
        <f t="shared" si="12"/>
        <v>0</v>
      </c>
      <c r="J225" s="1595"/>
    </row>
    <row r="226" spans="1:10" hidden="1">
      <c r="A226" s="2664" t="str">
        <f t="shared" si="10"/>
        <v/>
      </c>
      <c r="B226" s="2673"/>
      <c r="C226" s="2674"/>
      <c r="D226" s="2674">
        <f t="shared" si="11"/>
        <v>0</v>
      </c>
      <c r="E226" s="2674"/>
      <c r="F226" s="2674"/>
      <c r="G226" s="2674"/>
      <c r="H226" s="2674"/>
      <c r="I226" s="2674">
        <f t="shared" si="12"/>
        <v>0</v>
      </c>
      <c r="J226" s="1595"/>
    </row>
    <row r="227" spans="1:10" hidden="1">
      <c r="A227" s="2664" t="str">
        <f t="shared" si="10"/>
        <v/>
      </c>
      <c r="B227" s="2673"/>
      <c r="C227" s="2674"/>
      <c r="D227" s="2674">
        <f t="shared" si="11"/>
        <v>0</v>
      </c>
      <c r="E227" s="2674"/>
      <c r="F227" s="2674"/>
      <c r="G227" s="2674"/>
      <c r="H227" s="2674"/>
      <c r="I227" s="2674">
        <f t="shared" si="12"/>
        <v>0</v>
      </c>
      <c r="J227" s="1595"/>
    </row>
    <row r="228" spans="1:10" hidden="1">
      <c r="A228" s="2665" t="str">
        <f t="shared" si="10"/>
        <v/>
      </c>
      <c r="B228" s="2675"/>
      <c r="C228" s="2676"/>
      <c r="D228" s="2676">
        <f t="shared" si="11"/>
        <v>0</v>
      </c>
      <c r="E228" s="2676"/>
      <c r="F228" s="2676"/>
      <c r="G228" s="2676"/>
      <c r="H228" s="2676"/>
      <c r="I228" s="2676">
        <f t="shared" si="12"/>
        <v>0</v>
      </c>
      <c r="J228" s="1595"/>
    </row>
    <row r="229" spans="1:10" hidden="1">
      <c r="A229" s="621" t="s">
        <v>1129</v>
      </c>
      <c r="B229" s="952">
        <f>SUM(B209:B228)</f>
        <v>0</v>
      </c>
      <c r="C229" s="952">
        <f t="shared" ref="C229:I229" si="13">SUM(C209:C228)</f>
        <v>0</v>
      </c>
      <c r="D229" s="952">
        <f t="shared" si="13"/>
        <v>25000</v>
      </c>
      <c r="E229" s="952">
        <f t="shared" si="13"/>
        <v>0</v>
      </c>
      <c r="F229" s="952">
        <f t="shared" si="13"/>
        <v>0</v>
      </c>
      <c r="G229" s="952">
        <f t="shared" si="13"/>
        <v>0</v>
      </c>
      <c r="H229" s="952">
        <f t="shared" si="13"/>
        <v>0</v>
      </c>
      <c r="I229" s="952">
        <f t="shared" si="13"/>
        <v>25000</v>
      </c>
      <c r="J229" s="1595"/>
    </row>
    <row r="230" spans="1:10" hidden="1">
      <c r="A230" s="54"/>
      <c r="B230" s="54"/>
      <c r="C230" s="1595"/>
      <c r="D230" s="1595"/>
      <c r="E230" s="1595"/>
      <c r="F230" s="1595"/>
      <c r="G230" s="1595"/>
      <c r="H230" s="1595"/>
      <c r="I230" s="1595"/>
      <c r="J230" s="1595"/>
    </row>
    <row r="231" spans="1:10" hidden="1">
      <c r="A231" s="593" t="s">
        <v>82</v>
      </c>
      <c r="B231" s="593" t="s">
        <v>125</v>
      </c>
      <c r="C231" s="593"/>
      <c r="D231" s="593"/>
      <c r="E231" s="593"/>
      <c r="F231" s="593"/>
      <c r="G231" s="595"/>
      <c r="H231" s="595"/>
      <c r="I231" s="594"/>
    </row>
    <row r="232" spans="1:10" hidden="1">
      <c r="A232" s="593"/>
      <c r="B232" s="593"/>
      <c r="C232" s="593" t="s">
        <v>146</v>
      </c>
      <c r="D232" s="593"/>
      <c r="E232" s="593"/>
      <c r="F232" s="593"/>
      <c r="G232" s="2657"/>
      <c r="H232" s="595"/>
      <c r="I232" s="594"/>
    </row>
    <row r="233" spans="1:10" hidden="1">
      <c r="A233" s="593"/>
      <c r="B233" s="593"/>
      <c r="C233" s="593"/>
      <c r="D233" s="596" t="s">
        <v>147</v>
      </c>
      <c r="E233" s="593"/>
      <c r="F233" s="593"/>
      <c r="G233" s="2657"/>
      <c r="H233" s="595"/>
      <c r="I233" s="594"/>
    </row>
    <row r="234" spans="1:10" hidden="1">
      <c r="A234" s="593"/>
      <c r="B234" s="593"/>
      <c r="C234" s="593"/>
      <c r="D234" s="596" t="s">
        <v>148</v>
      </c>
      <c r="E234" s="593"/>
      <c r="F234" s="593"/>
      <c r="G234" s="2657"/>
      <c r="H234" s="595"/>
      <c r="I234" s="594"/>
    </row>
    <row r="235" spans="1:10" hidden="1">
      <c r="A235" s="593"/>
      <c r="B235" s="593"/>
      <c r="C235" s="593" t="s">
        <v>126</v>
      </c>
      <c r="D235" s="593"/>
      <c r="E235" s="593"/>
      <c r="F235" s="593"/>
      <c r="G235" s="2657"/>
      <c r="H235" s="595"/>
      <c r="I235" s="594"/>
    </row>
    <row r="236" spans="1:10" hidden="1">
      <c r="A236" s="593"/>
      <c r="B236" s="593"/>
      <c r="C236" s="593" t="s">
        <v>149</v>
      </c>
      <c r="D236" s="593"/>
      <c r="E236" s="593"/>
      <c r="F236" s="593"/>
      <c r="G236" s="2658"/>
      <c r="H236" s="600">
        <f>SUM(G232:G236)</f>
        <v>0</v>
      </c>
      <c r="I236" s="594"/>
    </row>
    <row r="237" spans="1:10" hidden="1">
      <c r="A237" s="45"/>
      <c r="B237" s="45"/>
      <c r="C237" s="45"/>
      <c r="D237" s="45"/>
      <c r="E237" s="45"/>
      <c r="F237" s="45"/>
      <c r="G237" s="45"/>
      <c r="H237" s="45"/>
      <c r="I237" s="45"/>
    </row>
    <row r="238" spans="1:10" hidden="1">
      <c r="A238" s="45"/>
      <c r="B238" s="45"/>
      <c r="C238" s="45"/>
      <c r="D238" s="45"/>
      <c r="E238" s="45"/>
      <c r="F238" s="45"/>
      <c r="G238" s="45"/>
      <c r="H238" s="45"/>
      <c r="I238" s="45"/>
    </row>
    <row r="239" spans="1:10" hidden="1">
      <c r="A239" s="3823" t="s">
        <v>215</v>
      </c>
      <c r="B239" s="3824"/>
      <c r="C239" s="3824"/>
      <c r="D239" s="3824"/>
      <c r="E239" s="3824"/>
      <c r="F239" s="3824"/>
      <c r="G239" s="3824"/>
      <c r="H239" s="3825"/>
      <c r="I239" s="227"/>
    </row>
    <row r="240" spans="1:10" hidden="1"/>
    <row r="241" spans="1:8" hidden="1">
      <c r="A241" s="22" t="s">
        <v>543</v>
      </c>
      <c r="C241" s="161"/>
      <c r="E241" s="162"/>
      <c r="F241" s="162"/>
    </row>
    <row r="242" spans="1:8" hidden="1">
      <c r="A242" s="1" t="s">
        <v>1539</v>
      </c>
      <c r="C242" s="161"/>
      <c r="E242" s="42">
        <f>'WP Index'!E5</f>
        <v>45108</v>
      </c>
      <c r="F242" s="162"/>
      <c r="H242" s="2052"/>
    </row>
    <row r="243" spans="1:8" hidden="1">
      <c r="C243" s="161"/>
      <c r="E243" s="362"/>
      <c r="F243" s="162"/>
    </row>
    <row r="244" spans="1:8" hidden="1">
      <c r="A244" s="226" t="s">
        <v>1362</v>
      </c>
      <c r="C244" s="161"/>
      <c r="F244" s="162"/>
      <c r="H244" s="362">
        <f>SUM(F246:F248)*-1</f>
        <v>0</v>
      </c>
    </row>
    <row r="245" spans="1:8" hidden="1">
      <c r="A245" s="1637" t="s">
        <v>1363</v>
      </c>
      <c r="B245" s="1637"/>
      <c r="C245" s="1637"/>
      <c r="D245" s="1637"/>
      <c r="E245" s="1789" t="s">
        <v>1262</v>
      </c>
      <c r="F245" s="163" t="s">
        <v>976</v>
      </c>
    </row>
    <row r="246" spans="1:8" hidden="1">
      <c r="A246" s="3817" t="s">
        <v>380</v>
      </c>
      <c r="B246" s="3818"/>
      <c r="C246" s="3818"/>
      <c r="D246" s="3819"/>
      <c r="E246" s="2677"/>
      <c r="F246" s="2678"/>
      <c r="G246" s="1" t="str">
        <f>CHOOSE(SIGN(F246)+2,"Received","","Paid")</f>
        <v/>
      </c>
    </row>
    <row r="247" spans="1:8" hidden="1">
      <c r="A247" s="3820" t="s">
        <v>1404</v>
      </c>
      <c r="B247" s="3821"/>
      <c r="C247" s="3821"/>
      <c r="D247" s="3822"/>
      <c r="E247" s="2679"/>
      <c r="F247" s="2680">
        <f>'GST Rec'!H19</f>
        <v>0</v>
      </c>
    </row>
    <row r="248" spans="1:8" hidden="1">
      <c r="A248" s="3826" t="s">
        <v>1274</v>
      </c>
      <c r="B248" s="3827"/>
      <c r="C248" s="3827"/>
      <c r="D248" s="3828"/>
      <c r="E248" s="2681"/>
      <c r="F248" s="2682"/>
    </row>
    <row r="249" spans="1:8" hidden="1">
      <c r="C249" s="161"/>
      <c r="E249" s="162"/>
      <c r="F249" s="362"/>
    </row>
    <row r="250" spans="1:8" hidden="1">
      <c r="A250" s="1" t="s">
        <v>1364</v>
      </c>
      <c r="C250" s="161"/>
      <c r="E250" s="42">
        <f>'WP Index'!G5</f>
        <v>45473</v>
      </c>
      <c r="H250" s="362">
        <f>H242+H244</f>
        <v>0</v>
      </c>
    </row>
    <row r="251" spans="1:8" hidden="1">
      <c r="C251" s="161"/>
      <c r="E251" s="162"/>
      <c r="H251" s="362"/>
    </row>
    <row r="252" spans="1:8" hidden="1">
      <c r="A252" s="1" t="s">
        <v>1402</v>
      </c>
      <c r="C252" s="161"/>
      <c r="E252" s="42">
        <f>'WP Index'!G5</f>
        <v>45473</v>
      </c>
      <c r="H252" s="356">
        <f>H125+H123</f>
        <v>12500</v>
      </c>
    </row>
    <row r="253" spans="1:8" hidden="1">
      <c r="C253" s="161"/>
      <c r="E253" s="162"/>
      <c r="H253" s="362"/>
    </row>
    <row r="254" spans="1:8" hidden="1">
      <c r="A254" s="8" t="s">
        <v>1459</v>
      </c>
      <c r="B254" s="18"/>
      <c r="E254" s="14"/>
      <c r="F254" s="163" t="s">
        <v>976</v>
      </c>
      <c r="H254" s="356">
        <f>SUM(F255:F266)*-1</f>
        <v>0</v>
      </c>
    </row>
    <row r="255" spans="1:8" hidden="1">
      <c r="A255" s="1915">
        <f t="shared" ref="A255:A265" si="14">D113</f>
        <v>45108</v>
      </c>
      <c r="B255" s="18"/>
      <c r="E255" s="14"/>
      <c r="F255" s="141">
        <f t="shared" ref="F255:F265" si="15">F113</f>
        <v>0</v>
      </c>
      <c r="H255" s="356"/>
    </row>
    <row r="256" spans="1:8" hidden="1">
      <c r="A256" s="1916">
        <f t="shared" si="14"/>
        <v>45139</v>
      </c>
      <c r="B256" s="18"/>
      <c r="E256" s="14"/>
      <c r="F256" s="141">
        <f t="shared" si="15"/>
        <v>0</v>
      </c>
      <c r="H256" s="356"/>
    </row>
    <row r="257" spans="1:9" hidden="1">
      <c r="A257" s="1915">
        <f t="shared" si="14"/>
        <v>45170</v>
      </c>
      <c r="B257" s="8"/>
      <c r="E257" s="162"/>
      <c r="F257" s="141">
        <f t="shared" si="15"/>
        <v>0</v>
      </c>
    </row>
    <row r="258" spans="1:9" hidden="1">
      <c r="A258" s="1916">
        <f t="shared" si="14"/>
        <v>45200</v>
      </c>
      <c r="B258" s="8"/>
      <c r="E258" s="162"/>
      <c r="F258" s="141">
        <f t="shared" si="15"/>
        <v>0</v>
      </c>
    </row>
    <row r="259" spans="1:9" hidden="1">
      <c r="A259" s="1915">
        <f t="shared" si="14"/>
        <v>45231</v>
      </c>
      <c r="B259" s="8"/>
      <c r="E259" s="162"/>
      <c r="F259" s="141">
        <f t="shared" si="15"/>
        <v>0</v>
      </c>
    </row>
    <row r="260" spans="1:9" hidden="1">
      <c r="A260" s="1916">
        <f t="shared" si="14"/>
        <v>45261</v>
      </c>
      <c r="B260" s="8"/>
      <c r="E260" s="162"/>
      <c r="F260" s="141">
        <f t="shared" si="15"/>
        <v>0</v>
      </c>
    </row>
    <row r="261" spans="1:9" hidden="1">
      <c r="A261" s="1915">
        <f t="shared" si="14"/>
        <v>45292</v>
      </c>
      <c r="B261" s="8"/>
      <c r="E261" s="162"/>
      <c r="F261" s="141">
        <f t="shared" si="15"/>
        <v>0</v>
      </c>
    </row>
    <row r="262" spans="1:9" hidden="1">
      <c r="A262" s="1916">
        <f t="shared" si="14"/>
        <v>45323</v>
      </c>
      <c r="B262" s="8"/>
      <c r="E262" s="162"/>
      <c r="F262" s="141">
        <f t="shared" si="15"/>
        <v>0</v>
      </c>
    </row>
    <row r="263" spans="1:9" hidden="1">
      <c r="A263" s="1915">
        <f t="shared" si="14"/>
        <v>45352</v>
      </c>
      <c r="B263" s="8"/>
      <c r="E263" s="162"/>
      <c r="F263" s="141">
        <f t="shared" si="15"/>
        <v>0</v>
      </c>
    </row>
    <row r="264" spans="1:9" hidden="1">
      <c r="A264" s="1915">
        <f t="shared" si="14"/>
        <v>45383</v>
      </c>
      <c r="B264" s="8"/>
      <c r="E264" s="162"/>
      <c r="F264" s="141">
        <f t="shared" si="15"/>
        <v>0</v>
      </c>
    </row>
    <row r="265" spans="1:9" hidden="1">
      <c r="A265" s="1916">
        <f t="shared" si="14"/>
        <v>45413</v>
      </c>
      <c r="B265" s="8"/>
      <c r="E265" s="162"/>
      <c r="F265" s="141">
        <f t="shared" si="15"/>
        <v>0</v>
      </c>
    </row>
    <row r="266" spans="1:9" hidden="1">
      <c r="A266" s="8" t="s">
        <v>1274</v>
      </c>
      <c r="B266" s="8"/>
      <c r="E266" s="162"/>
      <c r="F266" s="2052">
        <v>0</v>
      </c>
    </row>
    <row r="267" spans="1:9" hidden="1">
      <c r="C267" s="161"/>
      <c r="E267" s="162"/>
      <c r="F267" s="362"/>
    </row>
    <row r="268" spans="1:9" ht="13.5" hidden="1" thickBot="1">
      <c r="A268" s="3" t="s">
        <v>1405</v>
      </c>
      <c r="C268" s="161"/>
      <c r="E268" s="42">
        <f>'WP Index'!G5</f>
        <v>45473</v>
      </c>
      <c r="H268" s="358">
        <f>SUM(H250:H267)</f>
        <v>12500</v>
      </c>
    </row>
    <row r="269" spans="1:9" ht="13.5" hidden="1" thickTop="1">
      <c r="E269" s="14"/>
      <c r="F269" s="362"/>
    </row>
    <row r="270" spans="1:9" hidden="1">
      <c r="E270" s="14"/>
      <c r="F270" s="362"/>
    </row>
    <row r="271" spans="1:9" hidden="1">
      <c r="A271" s="3823" t="s">
        <v>252</v>
      </c>
      <c r="B271" s="3824"/>
      <c r="C271" s="3824"/>
      <c r="D271" s="3824"/>
      <c r="E271" s="3824"/>
      <c r="F271" s="3824"/>
      <c r="G271" s="3824"/>
      <c r="H271" s="3825"/>
      <c r="I271" s="227"/>
    </row>
    <row r="272" spans="1:9" hidden="1"/>
    <row r="273" spans="1:8" hidden="1">
      <c r="A273" s="75" t="s">
        <v>1087</v>
      </c>
      <c r="B273" s="661"/>
      <c r="C273" s="661"/>
      <c r="D273" s="25" t="s">
        <v>1332</v>
      </c>
      <c r="E273" s="25" t="s">
        <v>961</v>
      </c>
      <c r="F273" s="50" t="s">
        <v>549</v>
      </c>
      <c r="G273" s="50" t="s">
        <v>550</v>
      </c>
      <c r="H273" s="51" t="s">
        <v>1232</v>
      </c>
    </row>
    <row r="274" spans="1:8" hidden="1">
      <c r="A274" s="149"/>
      <c r="D274" s="130"/>
      <c r="E274" s="130"/>
      <c r="F274" s="131"/>
      <c r="G274" s="131"/>
      <c r="H274" s="187"/>
    </row>
    <row r="275" spans="1:8" hidden="1">
      <c r="A275" s="149" t="s">
        <v>1296</v>
      </c>
      <c r="D275" s="676">
        <f>'WP Index'!E5</f>
        <v>45108</v>
      </c>
      <c r="E275" s="130"/>
      <c r="F275" s="410"/>
      <c r="G275" s="410"/>
      <c r="H275" s="2683"/>
    </row>
    <row r="276" spans="1:8" hidden="1">
      <c r="A276" s="149"/>
      <c r="D276" s="676"/>
      <c r="E276" s="130"/>
      <c r="F276" s="410"/>
      <c r="G276" s="410"/>
      <c r="H276" s="411"/>
    </row>
    <row r="277" spans="1:8" hidden="1">
      <c r="A277" s="3829" t="s">
        <v>2014</v>
      </c>
      <c r="B277" s="3830"/>
      <c r="C277" s="3831"/>
      <c r="D277" s="2686" t="str">
        <f>IF(E247="","",E247)</f>
        <v/>
      </c>
      <c r="E277" s="188"/>
      <c r="F277" s="2678" t="str">
        <f>IF(F247&lt;0,-F247,"")</f>
        <v/>
      </c>
      <c r="G277" s="2678">
        <f>IF(F247&gt;=0,F247,"")</f>
        <v>0</v>
      </c>
      <c r="H277" s="411">
        <f>SUM(H275,G277)-SUM(F277)</f>
        <v>0</v>
      </c>
    </row>
    <row r="278" spans="1:8" hidden="1">
      <c r="A278" s="2687" t="s">
        <v>2015</v>
      </c>
      <c r="B278" s="2688"/>
      <c r="C278" s="2689"/>
      <c r="D278" s="2690" t="str">
        <f t="shared" ref="D278:D288" si="16">IF(E113="","",E113)</f>
        <v/>
      </c>
      <c r="E278" s="188"/>
      <c r="F278" s="2699"/>
      <c r="G278" s="2680">
        <f t="shared" ref="G278:G288" si="17">F113</f>
        <v>0</v>
      </c>
      <c r="H278" s="411">
        <f>SUM(H277,G278)-SUM(F278)</f>
        <v>0</v>
      </c>
    </row>
    <row r="279" spans="1:8" hidden="1">
      <c r="A279" s="2687" t="s">
        <v>2016</v>
      </c>
      <c r="B279" s="2688"/>
      <c r="C279" s="2689"/>
      <c r="D279" s="2690" t="str">
        <f t="shared" si="16"/>
        <v/>
      </c>
      <c r="E279" s="188"/>
      <c r="F279" s="2699"/>
      <c r="G279" s="2680">
        <f t="shared" si="17"/>
        <v>0</v>
      </c>
      <c r="H279" s="411">
        <f t="shared" ref="H279:H296" si="18">SUM(H278,G279)-SUM(F279)</f>
        <v>0</v>
      </c>
    </row>
    <row r="280" spans="1:8" hidden="1">
      <c r="A280" s="3816" t="s">
        <v>2017</v>
      </c>
      <c r="B280" s="3794"/>
      <c r="C280" s="3795"/>
      <c r="D280" s="2690" t="str">
        <f t="shared" si="16"/>
        <v/>
      </c>
      <c r="E280" s="188"/>
      <c r="F280" s="2680" t="str">
        <f>IF(F257&lt;0,-F257,"")</f>
        <v/>
      </c>
      <c r="G280" s="2680">
        <f t="shared" si="17"/>
        <v>0</v>
      </c>
      <c r="H280" s="411">
        <f t="shared" si="18"/>
        <v>0</v>
      </c>
    </row>
    <row r="281" spans="1:8" hidden="1">
      <c r="A281" s="2691" t="s">
        <v>2018</v>
      </c>
      <c r="B281" s="2692"/>
      <c r="C281" s="2693"/>
      <c r="D281" s="2690" t="str">
        <f t="shared" si="16"/>
        <v/>
      </c>
      <c r="E281" s="188"/>
      <c r="F281" s="2680"/>
      <c r="G281" s="2680">
        <f t="shared" si="17"/>
        <v>0</v>
      </c>
      <c r="H281" s="411">
        <f t="shared" si="18"/>
        <v>0</v>
      </c>
    </row>
    <row r="282" spans="1:8" hidden="1">
      <c r="A282" s="2691" t="s">
        <v>2019</v>
      </c>
      <c r="B282" s="2692"/>
      <c r="C282" s="2693"/>
      <c r="D282" s="2690" t="str">
        <f t="shared" si="16"/>
        <v/>
      </c>
      <c r="E282" s="188"/>
      <c r="F282" s="2680"/>
      <c r="G282" s="2680">
        <f t="shared" si="17"/>
        <v>0</v>
      </c>
      <c r="H282" s="411">
        <f t="shared" si="18"/>
        <v>0</v>
      </c>
    </row>
    <row r="283" spans="1:8" hidden="1">
      <c r="A283" s="3816" t="s">
        <v>2020</v>
      </c>
      <c r="B283" s="3794"/>
      <c r="C283" s="3795"/>
      <c r="D283" s="2690" t="str">
        <f t="shared" si="16"/>
        <v/>
      </c>
      <c r="E283" s="188"/>
      <c r="F283" s="2680" t="str">
        <f>IF(F260&lt;0,-F260,"")</f>
        <v/>
      </c>
      <c r="G283" s="2680">
        <f t="shared" si="17"/>
        <v>0</v>
      </c>
      <c r="H283" s="411">
        <f t="shared" si="18"/>
        <v>0</v>
      </c>
    </row>
    <row r="284" spans="1:8" hidden="1">
      <c r="A284" s="2691" t="s">
        <v>2021</v>
      </c>
      <c r="B284" s="2692"/>
      <c r="C284" s="2693"/>
      <c r="D284" s="2690" t="str">
        <f t="shared" si="16"/>
        <v/>
      </c>
      <c r="E284" s="188"/>
      <c r="F284" s="2680"/>
      <c r="G284" s="2680">
        <f t="shared" si="17"/>
        <v>0</v>
      </c>
      <c r="H284" s="411">
        <f t="shared" si="18"/>
        <v>0</v>
      </c>
    </row>
    <row r="285" spans="1:8" hidden="1">
      <c r="A285" s="2691" t="s">
        <v>2022</v>
      </c>
      <c r="B285" s="2692"/>
      <c r="C285" s="2693"/>
      <c r="D285" s="2690" t="str">
        <f t="shared" si="16"/>
        <v/>
      </c>
      <c r="E285" s="188"/>
      <c r="F285" s="2680"/>
      <c r="G285" s="2680">
        <f t="shared" si="17"/>
        <v>0</v>
      </c>
      <c r="H285" s="411">
        <f t="shared" si="18"/>
        <v>0</v>
      </c>
    </row>
    <row r="286" spans="1:8" hidden="1">
      <c r="A286" s="3816" t="s">
        <v>2023</v>
      </c>
      <c r="B286" s="3794"/>
      <c r="C286" s="3795"/>
      <c r="D286" s="2690" t="str">
        <f t="shared" si="16"/>
        <v/>
      </c>
      <c r="E286" s="188"/>
      <c r="F286" s="2680" t="str">
        <f>IF(F263&lt;0,-F263,"")</f>
        <v/>
      </c>
      <c r="G286" s="2680">
        <f t="shared" si="17"/>
        <v>0</v>
      </c>
      <c r="H286" s="411">
        <f t="shared" si="18"/>
        <v>0</v>
      </c>
    </row>
    <row r="287" spans="1:8" hidden="1">
      <c r="A287" s="2691" t="s">
        <v>2024</v>
      </c>
      <c r="B287" s="2692"/>
      <c r="C287" s="2693"/>
      <c r="D287" s="2690" t="str">
        <f t="shared" si="16"/>
        <v/>
      </c>
      <c r="E287" s="188"/>
      <c r="F287" s="2680"/>
      <c r="G287" s="2680">
        <f t="shared" si="17"/>
        <v>0</v>
      </c>
      <c r="H287" s="411">
        <f t="shared" si="18"/>
        <v>0</v>
      </c>
    </row>
    <row r="288" spans="1:8" hidden="1">
      <c r="A288" s="2691" t="s">
        <v>2025</v>
      </c>
      <c r="B288" s="2692"/>
      <c r="C288" s="2693"/>
      <c r="D288" s="2690" t="str">
        <f t="shared" si="16"/>
        <v/>
      </c>
      <c r="E288" s="188"/>
      <c r="F288" s="2680"/>
      <c r="G288" s="2680">
        <f t="shared" si="17"/>
        <v>0</v>
      </c>
      <c r="H288" s="411">
        <f t="shared" si="18"/>
        <v>0</v>
      </c>
    </row>
    <row r="289" spans="1:8" hidden="1">
      <c r="A289" s="3793" t="str">
        <f>A246</f>
        <v>Balance Tax Payable / (Refund)</v>
      </c>
      <c r="B289" s="3794"/>
      <c r="C289" s="3795"/>
      <c r="D289" s="2695" t="str">
        <f>IF(E246="","",E246)</f>
        <v/>
      </c>
      <c r="E289" s="188"/>
      <c r="F289" s="2680" t="str">
        <f>IF(F246&lt;0,-F246,"")</f>
        <v/>
      </c>
      <c r="G289" s="2680">
        <f>IF(F246&gt;=0,F246,"")</f>
        <v>0</v>
      </c>
      <c r="H289" s="411">
        <f t="shared" si="18"/>
        <v>0</v>
      </c>
    </row>
    <row r="290" spans="1:8" hidden="1">
      <c r="A290" s="3793" t="str">
        <f>A248</f>
        <v>Other</v>
      </c>
      <c r="B290" s="3794"/>
      <c r="C290" s="3795"/>
      <c r="D290" s="2695" t="str">
        <f>IF(E248="","",E248)</f>
        <v/>
      </c>
      <c r="E290" s="188"/>
      <c r="F290" s="2680" t="str">
        <f>IF(F248&lt;0,-F248,"")</f>
        <v/>
      </c>
      <c r="G290" s="2680">
        <f>IF(F248&gt;=0,F248,"")</f>
        <v>0</v>
      </c>
      <c r="H290" s="411">
        <f>SUM(H289,G290)-SUM(F290)</f>
        <v>0</v>
      </c>
    </row>
    <row r="291" spans="1:8" hidden="1">
      <c r="A291" s="3793" t="str">
        <f>A266</f>
        <v>Other</v>
      </c>
      <c r="B291" s="3794"/>
      <c r="C291" s="3795"/>
      <c r="D291" s="2695"/>
      <c r="E291" s="188"/>
      <c r="F291" s="2680" t="str">
        <f>IF(F266&lt;0,-F266,"")</f>
        <v/>
      </c>
      <c r="G291" s="2680">
        <f>IF(F266&gt;=0,F266,"")</f>
        <v>0</v>
      </c>
      <c r="H291" s="411">
        <f t="shared" si="18"/>
        <v>0</v>
      </c>
    </row>
    <row r="292" spans="1:8" hidden="1">
      <c r="A292" s="3793" t="s">
        <v>175</v>
      </c>
      <c r="B292" s="3794"/>
      <c r="C292" s="3795"/>
      <c r="D292" s="2695"/>
      <c r="E292" s="188"/>
      <c r="F292" s="2680"/>
      <c r="G292" s="2680"/>
      <c r="H292" s="411">
        <f t="shared" si="18"/>
        <v>0</v>
      </c>
    </row>
    <row r="293" spans="1:8" hidden="1">
      <c r="A293" s="3793"/>
      <c r="B293" s="3794"/>
      <c r="C293" s="3795"/>
      <c r="D293" s="2695"/>
      <c r="E293" s="188"/>
      <c r="F293" s="2680"/>
      <c r="G293" s="2680"/>
      <c r="H293" s="411">
        <f t="shared" si="18"/>
        <v>0</v>
      </c>
    </row>
    <row r="294" spans="1:8" hidden="1">
      <c r="A294" s="3793"/>
      <c r="B294" s="3794"/>
      <c r="C294" s="3795"/>
      <c r="D294" s="2695"/>
      <c r="E294" s="188"/>
      <c r="F294" s="2680"/>
      <c r="G294" s="2680"/>
      <c r="H294" s="411">
        <f t="shared" si="18"/>
        <v>0</v>
      </c>
    </row>
    <row r="295" spans="1:8" hidden="1">
      <c r="A295" s="3793"/>
      <c r="B295" s="3794"/>
      <c r="C295" s="3795"/>
      <c r="D295" s="2695"/>
      <c r="E295" s="188"/>
      <c r="F295" s="2680"/>
      <c r="G295" s="2680"/>
      <c r="H295" s="411">
        <f t="shared" si="18"/>
        <v>0</v>
      </c>
    </row>
    <row r="296" spans="1:8" hidden="1">
      <c r="A296" s="3793"/>
      <c r="B296" s="3794"/>
      <c r="C296" s="3795"/>
      <c r="D296" s="2695"/>
      <c r="E296" s="188"/>
      <c r="F296" s="2680"/>
      <c r="G296" s="2680"/>
      <c r="H296" s="411">
        <f t="shared" si="18"/>
        <v>0</v>
      </c>
    </row>
    <row r="297" spans="1:8" hidden="1">
      <c r="A297" s="3796"/>
      <c r="B297" s="3797"/>
      <c r="C297" s="3798"/>
      <c r="D297" s="2698"/>
      <c r="E297" s="188"/>
      <c r="F297" s="2682"/>
      <c r="G297" s="2682"/>
      <c r="H297" s="411">
        <f>SUM(H296,G297)-SUM(F297)</f>
        <v>0</v>
      </c>
    </row>
    <row r="298" spans="1:8" hidden="1">
      <c r="A298" s="189"/>
      <c r="D298" s="677"/>
      <c r="E298" s="188"/>
      <c r="F298" s="412"/>
      <c r="G298" s="412"/>
      <c r="H298" s="411"/>
    </row>
    <row r="299" spans="1:8" ht="13.5" hidden="1" thickBot="1">
      <c r="A299" s="17" t="s">
        <v>1103</v>
      </c>
      <c r="B299" s="8"/>
      <c r="D299" s="669">
        <f>'WP Index'!G5</f>
        <v>45473</v>
      </c>
      <c r="E299" s="188"/>
      <c r="F299" s="410"/>
      <c r="G299" s="410"/>
      <c r="H299" s="397">
        <f>H297</f>
        <v>0</v>
      </c>
    </row>
    <row r="300" spans="1:8" ht="13.5" hidden="1" thickTop="1">
      <c r="A300" s="150"/>
      <c r="B300" s="148"/>
      <c r="C300" s="148"/>
      <c r="D300" s="148"/>
      <c r="E300" s="77" t="s">
        <v>1638</v>
      </c>
      <c r="F300" s="1370">
        <f>IF(H299&lt;=0,0,H299/COY_Tax_Rate*(1-COY_Tax_Rate))</f>
        <v>0</v>
      </c>
      <c r="G300" s="413"/>
      <c r="H300" s="414"/>
    </row>
    <row r="301" spans="1:8" hidden="1">
      <c r="A301" s="130"/>
      <c r="B301" s="130"/>
      <c r="C301" s="130"/>
      <c r="D301" s="410"/>
      <c r="E301" s="410"/>
      <c r="F301" s="410"/>
    </row>
    <row r="302" spans="1:8" hidden="1">
      <c r="A302" s="3" t="s">
        <v>216</v>
      </c>
    </row>
    <row r="303" spans="1:8" hidden="1"/>
    <row r="304" spans="1:8" hidden="1">
      <c r="A304" s="1" t="s">
        <v>217</v>
      </c>
      <c r="H304" s="2052"/>
    </row>
    <row r="305" spans="1:9" hidden="1"/>
    <row r="306" spans="1:9" hidden="1">
      <c r="A306" s="1" t="s">
        <v>218</v>
      </c>
      <c r="H306" s="356">
        <f>+H304*(TEXT(COY_Tax_Rate,"0.00%"))/(1-COY_Tax_Rate)</f>
        <v>0</v>
      </c>
    </row>
    <row r="307" spans="1:9" hidden="1"/>
    <row r="308" spans="1:9" ht="13.5" hidden="1" thickBot="1"/>
    <row r="309" spans="1:9" ht="13.5" hidden="1" thickBot="1">
      <c r="A309" s="3805" t="s">
        <v>1809</v>
      </c>
      <c r="B309" s="3806"/>
      <c r="C309" s="3806"/>
      <c r="D309" s="3806"/>
      <c r="E309" s="3806"/>
      <c r="F309" s="3806"/>
      <c r="G309" s="3806"/>
      <c r="H309" s="3807"/>
      <c r="I309" s="227"/>
    </row>
    <row r="310" spans="1:9" ht="38.25" hidden="1">
      <c r="A310" s="1588" t="s">
        <v>1810</v>
      </c>
      <c r="B310" s="3808" t="s">
        <v>548</v>
      </c>
      <c r="C310" s="3809"/>
      <c r="D310" s="3810"/>
      <c r="E310" s="1589" t="s">
        <v>1811</v>
      </c>
      <c r="F310" s="1590" t="s">
        <v>1812</v>
      </c>
      <c r="G310" s="1590" t="s">
        <v>1817</v>
      </c>
      <c r="H310" s="1591" t="s">
        <v>1232</v>
      </c>
    </row>
    <row r="311" spans="1:9" hidden="1">
      <c r="A311" s="2700">
        <f>YEAR($I$8)</f>
        <v>2024</v>
      </c>
      <c r="B311" s="3811"/>
      <c r="C311" s="3812"/>
      <c r="D311" s="3813"/>
      <c r="E311" s="2506">
        <f>-MIN(I11+I14+I15+I28+I51-I59-I69-I86,0)</f>
        <v>0</v>
      </c>
      <c r="F311" s="2503">
        <f>IF(E311=0,0,IF($I$88&gt;$E311+$G$317+SUM(F312:$F$317),$E311-$G311,MIN($I$88-SUM(F312:$F$317),E311-G311)))</f>
        <v>0</v>
      </c>
      <c r="G311" s="2703">
        <v>0</v>
      </c>
      <c r="H311" s="2503">
        <f>E311-F311-G311</f>
        <v>0</v>
      </c>
      <c r="I311" s="1592" t="str">
        <f t="shared" ref="I311:I316" si="19">IF(OR(H311&lt;0,G311&lt;0,F311&lt;0,E311&lt;0),"ERROR NEGATIVE","")</f>
        <v/>
      </c>
    </row>
    <row r="312" spans="1:9" hidden="1">
      <c r="A312" s="2701">
        <f>A311-1</f>
        <v>2023</v>
      </c>
      <c r="B312" s="3799"/>
      <c r="C312" s="3800"/>
      <c r="D312" s="3801"/>
      <c r="E312" s="2702">
        <v>0</v>
      </c>
      <c r="F312" s="2503">
        <f>IF(E312=0,0,IF($I$88&gt;$E312+$G$317+SUM(F313:$F$317),$E312-$G312,MIN($I$88-SUM(F313:$F$317),E312-G312)))</f>
        <v>0</v>
      </c>
      <c r="G312" s="2702">
        <v>0</v>
      </c>
      <c r="H312" s="2503">
        <f t="shared" ref="H312:H317" si="20">E312-F312-G312</f>
        <v>0</v>
      </c>
      <c r="I312" s="1592" t="str">
        <f t="shared" si="19"/>
        <v/>
      </c>
    </row>
    <row r="313" spans="1:9" hidden="1">
      <c r="A313" s="2701">
        <f>A312-1</f>
        <v>2022</v>
      </c>
      <c r="B313" s="3799"/>
      <c r="C313" s="3800"/>
      <c r="D313" s="3801"/>
      <c r="E313" s="2702">
        <v>0</v>
      </c>
      <c r="F313" s="2503">
        <f>IF(E313=0,0,IF($I$88&gt;$E313+$G$317+SUM(F314:$F$317),$E313-$G313,MIN($I$88-SUM(F314:$F$317),E313-G313)))</f>
        <v>0</v>
      </c>
      <c r="G313" s="2702">
        <v>0</v>
      </c>
      <c r="H313" s="2503">
        <f t="shared" si="20"/>
        <v>0</v>
      </c>
      <c r="I313" s="1592" t="str">
        <f t="shared" si="19"/>
        <v/>
      </c>
    </row>
    <row r="314" spans="1:9" hidden="1">
      <c r="A314" s="2701">
        <f>A313-1</f>
        <v>2021</v>
      </c>
      <c r="B314" s="3799"/>
      <c r="C314" s="3800"/>
      <c r="D314" s="3801"/>
      <c r="E314" s="2702">
        <v>0</v>
      </c>
      <c r="F314" s="2503">
        <f>IF(E314=0,0,IF($I$88&gt;$E314+$G$317+SUM(F315:$F$317),$E314-$G314,MIN($I$88-SUM(F315:$F$317),E314-G314)))</f>
        <v>0</v>
      </c>
      <c r="G314" s="2702">
        <v>0</v>
      </c>
      <c r="H314" s="2503">
        <f t="shared" si="20"/>
        <v>0</v>
      </c>
      <c r="I314" s="1592" t="str">
        <f t="shared" si="19"/>
        <v/>
      </c>
    </row>
    <row r="315" spans="1:9" hidden="1">
      <c r="A315" s="2701">
        <f>A314-1</f>
        <v>2020</v>
      </c>
      <c r="B315" s="3799"/>
      <c r="C315" s="3800"/>
      <c r="D315" s="3801"/>
      <c r="E315" s="2702">
        <v>0</v>
      </c>
      <c r="F315" s="2503">
        <f>IF(E315=0,0,IF($I$88&gt;$E315+$G$317+SUM(F316:$F$317),$E315-$G315,MIN($I$88-SUM(F316:$F$317),E315-G315)))</f>
        <v>0</v>
      </c>
      <c r="G315" s="2702">
        <v>0</v>
      </c>
      <c r="H315" s="2503">
        <f t="shared" si="20"/>
        <v>0</v>
      </c>
      <c r="I315" s="1592" t="str">
        <f t="shared" si="19"/>
        <v/>
      </c>
    </row>
    <row r="316" spans="1:9" hidden="1">
      <c r="A316" s="2701" t="str">
        <f>A315-1  &amp; " Prior"</f>
        <v>2019 Prior</v>
      </c>
      <c r="B316" s="3799"/>
      <c r="C316" s="3800"/>
      <c r="D316" s="3801"/>
      <c r="E316" s="2702">
        <v>0</v>
      </c>
      <c r="F316" s="2503">
        <f>IF(E316=0,0,IF($I$88&gt;$E316+$G$317+SUM(F317:$F$317),$E316-$G316,MIN($I$88-SUM(F317:$F$317),E316-G316)))</f>
        <v>0</v>
      </c>
      <c r="G316" s="2702">
        <v>0</v>
      </c>
      <c r="H316" s="2503">
        <f t="shared" si="20"/>
        <v>0</v>
      </c>
      <c r="I316" s="1592" t="str">
        <f t="shared" si="19"/>
        <v/>
      </c>
    </row>
    <row r="317" spans="1:9" hidden="1">
      <c r="A317" s="2701">
        <f>A311</f>
        <v>2024</v>
      </c>
      <c r="B317" s="3802" t="s">
        <v>2237</v>
      </c>
      <c r="C317" s="3803"/>
      <c r="D317" s="3804"/>
      <c r="E317" s="2501"/>
      <c r="F317" s="2504">
        <f>IF(E317=0,0,IF($I$88&gt;$E317+$G$317+SUM(F$317:$F318),$E317-$G317,MIN($I$88-SUM(F$317:$F318),E317-G317)))</f>
        <v>0</v>
      </c>
      <c r="G317" s="2704">
        <f>SUM('Loss Carry Back'!E39:E42)</f>
        <v>0</v>
      </c>
      <c r="H317" s="2503">
        <f t="shared" si="20"/>
        <v>0</v>
      </c>
      <c r="I317" s="1592"/>
    </row>
    <row r="318" spans="1:9" ht="13.5" hidden="1" thickBot="1">
      <c r="A318" s="3" t="s">
        <v>1814</v>
      </c>
      <c r="E318" s="2502">
        <f>SUM(E311:E317)</f>
        <v>0</v>
      </c>
      <c r="F318" s="140"/>
      <c r="G318" s="2502">
        <f>SUM(G311:G316)</f>
        <v>0</v>
      </c>
      <c r="H318" s="2502">
        <f>SUM(H311:H317)</f>
        <v>0</v>
      </c>
    </row>
    <row r="319" spans="1:9" ht="14.25" hidden="1" thickTop="1" thickBot="1">
      <c r="E319" s="1900"/>
    </row>
    <row r="320" spans="1:9" ht="13.5" hidden="1" thickBot="1">
      <c r="A320" s="3805" t="s">
        <v>1815</v>
      </c>
      <c r="B320" s="3806"/>
      <c r="C320" s="3806"/>
      <c r="D320" s="3806"/>
      <c r="E320" s="3806"/>
      <c r="F320" s="3806"/>
      <c r="G320" s="3806"/>
      <c r="H320" s="3807"/>
    </row>
    <row r="321" spans="1:9" ht="25.5" hidden="1">
      <c r="A321" s="1835" t="s">
        <v>1810</v>
      </c>
      <c r="B321" s="3808" t="s">
        <v>548</v>
      </c>
      <c r="C321" s="3809"/>
      <c r="D321" s="3810"/>
      <c r="E321" s="1589" t="s">
        <v>1811</v>
      </c>
      <c r="F321" s="1590" t="s">
        <v>1812</v>
      </c>
      <c r="G321" s="1590" t="s">
        <v>1813</v>
      </c>
      <c r="H321" s="1591" t="s">
        <v>1232</v>
      </c>
    </row>
    <row r="322" spans="1:9" hidden="1">
      <c r="A322" s="2700">
        <f>YEAR($I$8)</f>
        <v>2024</v>
      </c>
      <c r="B322" s="3811"/>
      <c r="C322" s="3812"/>
      <c r="D322" s="3813"/>
      <c r="E322" s="2703">
        <v>0</v>
      </c>
      <c r="F322" s="2503"/>
      <c r="G322" s="2703">
        <v>0</v>
      </c>
      <c r="H322" s="2503">
        <f>E322-F322-G322</f>
        <v>0</v>
      </c>
      <c r="I322" s="1592" t="str">
        <f t="shared" ref="I322:I327" si="21">IF(OR(H322&lt;0,G322&lt;0,F322&lt;0,E322&lt;0),"ERROR NEGATIVE","")</f>
        <v/>
      </c>
    </row>
    <row r="323" spans="1:9" hidden="1">
      <c r="A323" s="2701">
        <f>A322-1</f>
        <v>2023</v>
      </c>
      <c r="B323" s="3799"/>
      <c r="C323" s="3800"/>
      <c r="D323" s="3801"/>
      <c r="E323" s="2702">
        <v>0</v>
      </c>
      <c r="F323" s="2503"/>
      <c r="G323" s="2702">
        <v>0</v>
      </c>
      <c r="H323" s="2503">
        <f>E323-F323-G323</f>
        <v>0</v>
      </c>
      <c r="I323" s="1592" t="str">
        <f t="shared" si="21"/>
        <v/>
      </c>
    </row>
    <row r="324" spans="1:9" hidden="1">
      <c r="A324" s="2701">
        <f>A323-1</f>
        <v>2022</v>
      </c>
      <c r="B324" s="3799"/>
      <c r="C324" s="3800"/>
      <c r="D324" s="3801"/>
      <c r="E324" s="2702">
        <v>0</v>
      </c>
      <c r="F324" s="2503"/>
      <c r="G324" s="2702">
        <v>0</v>
      </c>
      <c r="H324" s="2503">
        <f t="shared" ref="H324:H327" si="22">E324-F324-G324</f>
        <v>0</v>
      </c>
      <c r="I324" s="1592" t="str">
        <f t="shared" si="21"/>
        <v/>
      </c>
    </row>
    <row r="325" spans="1:9" hidden="1">
      <c r="A325" s="2701">
        <f>A324-1</f>
        <v>2021</v>
      </c>
      <c r="B325" s="3799"/>
      <c r="C325" s="3800"/>
      <c r="D325" s="3801"/>
      <c r="E325" s="2702">
        <v>0</v>
      </c>
      <c r="F325" s="2503"/>
      <c r="G325" s="2702">
        <v>0</v>
      </c>
      <c r="H325" s="2503">
        <f t="shared" si="22"/>
        <v>0</v>
      </c>
      <c r="I325" s="1592" t="str">
        <f t="shared" si="21"/>
        <v/>
      </c>
    </row>
    <row r="326" spans="1:9" hidden="1">
      <c r="A326" s="2701">
        <f>A325-1</f>
        <v>2020</v>
      </c>
      <c r="B326" s="3799"/>
      <c r="C326" s="3800"/>
      <c r="D326" s="3801"/>
      <c r="E326" s="2702">
        <v>0</v>
      </c>
      <c r="F326" s="2503"/>
      <c r="G326" s="2702">
        <v>0</v>
      </c>
      <c r="H326" s="2503">
        <f t="shared" si="22"/>
        <v>0</v>
      </c>
      <c r="I326" s="1592" t="str">
        <f t="shared" si="21"/>
        <v/>
      </c>
    </row>
    <row r="327" spans="1:9" hidden="1">
      <c r="A327" s="2701" t="str">
        <f>A326-1  &amp; " Prior"</f>
        <v>2019 Prior</v>
      </c>
      <c r="B327" s="3802"/>
      <c r="C327" s="3803"/>
      <c r="D327" s="3804"/>
      <c r="E327" s="2704">
        <v>0</v>
      </c>
      <c r="F327" s="2504"/>
      <c r="G327" s="2704">
        <v>0</v>
      </c>
      <c r="H327" s="2503">
        <f t="shared" si="22"/>
        <v>0</v>
      </c>
      <c r="I327" s="1592" t="str">
        <f t="shared" si="21"/>
        <v/>
      </c>
    </row>
    <row r="328" spans="1:9" ht="13.5" hidden="1" thickBot="1">
      <c r="A328" s="3" t="s">
        <v>1816</v>
      </c>
      <c r="E328" s="140">
        <f>SUM(E322:E327)</f>
        <v>0</v>
      </c>
      <c r="F328" s="140"/>
      <c r="G328" s="140"/>
      <c r="H328" s="2505">
        <f>SUM(H322:H327)</f>
        <v>0</v>
      </c>
    </row>
    <row r="329" spans="1:9" ht="13.5" hidden="1" thickTop="1">
      <c r="A329" s="189"/>
      <c r="D329" s="677"/>
      <c r="E329" s="188"/>
      <c r="F329" s="412"/>
      <c r="G329" s="412"/>
      <c r="H329" s="410"/>
    </row>
    <row r="330" spans="1:9" hidden="1"/>
    <row r="331" spans="1:9" hidden="1"/>
    <row r="332" spans="1:9" hidden="1"/>
    <row r="333" spans="1:9" hidden="1">
      <c r="A333" s="3" t="s">
        <v>219</v>
      </c>
    </row>
    <row r="334" spans="1:9" hidden="1">
      <c r="A334" s="3742"/>
      <c r="B334" s="3743"/>
      <c r="C334" s="3743"/>
      <c r="D334" s="3743"/>
      <c r="E334" s="3743"/>
      <c r="F334" s="3743"/>
      <c r="G334" s="3743"/>
      <c r="H334" s="3744"/>
    </row>
    <row r="335" spans="1:9" hidden="1"/>
    <row r="336" spans="1:9" hidden="1"/>
  </sheetData>
  <customSheetViews>
    <customSheetView guid="{BCBE45D4-3C45-4659-992E-5C5D3E9FD81C}" fitToPage="1" hiddenRows="1" hiddenColumns="1" topLeftCell="A5">
      <selection activeCell="G236" sqref="G236"/>
      <rowBreaks count="2" manualBreakCount="2">
        <brk id="92" max="16383" man="1"/>
        <brk id="249" max="16383" man="1"/>
      </rowBreaks>
      <pageMargins left="0.59055118110236227" right="0.43307086614173229" top="0.6692913385826772" bottom="0.94488188976377963" header="0.51181102362204722" footer="0.39370078740157483"/>
      <printOptions horizontalCentered="1"/>
      <pageSetup paperSize="9" scale="61"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Rows="1" hiddenColumns="1">
      <rowBreaks count="2" manualBreakCount="2">
        <brk id="92" max="16383" man="1"/>
        <brk id="249" max="16383" man="1"/>
      </rowBreaks>
      <pageMargins left="0.59055118110236227" right="0.43307086614173229" top="0.6692913385826772" bottom="0.94488188976377963" header="0.51181102362204722" footer="0.39370078740157483"/>
      <printOptions horizontalCentered="1"/>
      <pageSetup paperSize="9" scale="61" fitToHeight="999" orientation="portrait" blackAndWhite="1" r:id="rId2"/>
      <headerFooter alignWithMargins="0">
        <oddFooter>&amp;L&amp;8Copyright Crowe Horwath (Aust) Pty Ltd 2016.  All rights reserved.
&amp;Z&amp;F[&amp;A]&amp;R&amp;8&amp;P/&amp;N</oddFooter>
      </headerFooter>
    </customSheetView>
  </customSheetViews>
  <mergeCells count="68">
    <mergeCell ref="B326:D326"/>
    <mergeCell ref="A6:I6"/>
    <mergeCell ref="H7:I7"/>
    <mergeCell ref="I9:I10"/>
    <mergeCell ref="D157:E157"/>
    <mergeCell ref="A289:C289"/>
    <mergeCell ref="A290:C290"/>
    <mergeCell ref="A291:C291"/>
    <mergeCell ref="A292:C292"/>
    <mergeCell ref="B310:D310"/>
    <mergeCell ref="B316:D316"/>
    <mergeCell ref="B314:D314"/>
    <mergeCell ref="B313:D313"/>
    <mergeCell ref="B312:D312"/>
    <mergeCell ref="B311:D311"/>
    <mergeCell ref="H161:I161"/>
    <mergeCell ref="J9:J10"/>
    <mergeCell ref="A9:G9"/>
    <mergeCell ref="A283:C283"/>
    <mergeCell ref="A286:C286"/>
    <mergeCell ref="A246:D246"/>
    <mergeCell ref="A247:D247"/>
    <mergeCell ref="A280:C280"/>
    <mergeCell ref="A271:H271"/>
    <mergeCell ref="A248:D248"/>
    <mergeCell ref="A239:H239"/>
    <mergeCell ref="F157:G157"/>
    <mergeCell ref="H157:I157"/>
    <mergeCell ref="A277:C277"/>
    <mergeCell ref="H158:I158"/>
    <mergeCell ref="H159:I159"/>
    <mergeCell ref="H160:I160"/>
    <mergeCell ref="A334:H334"/>
    <mergeCell ref="A293:C293"/>
    <mergeCell ref="A294:C294"/>
    <mergeCell ref="A295:C295"/>
    <mergeCell ref="A296:C296"/>
    <mergeCell ref="A297:C297"/>
    <mergeCell ref="B325:D325"/>
    <mergeCell ref="B327:D327"/>
    <mergeCell ref="A309:H309"/>
    <mergeCell ref="A320:H320"/>
    <mergeCell ref="B321:D321"/>
    <mergeCell ref="B322:D322"/>
    <mergeCell ref="B323:D323"/>
    <mergeCell ref="B317:D317"/>
    <mergeCell ref="B315:D315"/>
    <mergeCell ref="B324:D324"/>
    <mergeCell ref="H162:I162"/>
    <mergeCell ref="H163:I163"/>
    <mergeCell ref="H164:I164"/>
    <mergeCell ref="H165:I165"/>
    <mergeCell ref="H166:I166"/>
    <mergeCell ref="H167:I167"/>
    <mergeCell ref="H168:I168"/>
    <mergeCell ref="H169:I169"/>
    <mergeCell ref="H170:I170"/>
    <mergeCell ref="H171:I171"/>
    <mergeCell ref="H172:I172"/>
    <mergeCell ref="H173:I173"/>
    <mergeCell ref="H174:I174"/>
    <mergeCell ref="H175:I175"/>
    <mergeCell ref="H176:I176"/>
    <mergeCell ref="H177:I177"/>
    <mergeCell ref="H178:I178"/>
    <mergeCell ref="H179:I179"/>
    <mergeCell ref="H180:I180"/>
    <mergeCell ref="H181:I181"/>
  </mergeCells>
  <phoneticPr fontId="26" type="noConversion"/>
  <conditionalFormatting sqref="J60">
    <cfRule type="cellIs" dxfId="75" priority="1" stopIfTrue="1" operator="equal">
      <formula>#VALUE!</formula>
    </cfRule>
  </conditionalFormatting>
  <conditionalFormatting sqref="I60">
    <cfRule type="cellIs" dxfId="74" priority="2" stopIfTrue="1" operator="equal">
      <formula>0</formula>
    </cfRule>
  </conditionalFormatting>
  <conditionalFormatting sqref="H157:I181">
    <cfRule type="expression" dxfId="73" priority="3" stopIfTrue="1">
      <formula>PP="NO"</formula>
    </cfRule>
  </conditionalFormatting>
  <conditionalFormatting sqref="A181:G181 J181:XFD181">
    <cfRule type="expression" dxfId="72" priority="4" stopIfTrue="1">
      <formula>SUM($181:$181)=0</formula>
    </cfRule>
  </conditionalFormatting>
  <dataValidations disablePrompts="1" count="2">
    <dataValidation allowBlank="1" showInputMessage="1" promptTitle="Balance Tax" prompt="Enter payable as positive, refundable as negative" sqref="F246" xr:uid="{00000000-0002-0000-0600-000000000000}"/>
    <dataValidation allowBlank="1" showInputMessage="1" promptTitle="Opening Balance" prompt="Enter payable/liability as positive, refundable as negative" sqref="H242" xr:uid="{00000000-0002-0000-0600-000001000000}"/>
  </dataValidations>
  <hyperlinks>
    <hyperlink ref="H7" location="Tax_Reconciliation" display="Back to Workpaper Index" xr:uid="{00000000-0004-0000-0600-000000000000}"/>
    <hyperlink ref="A8" location="ClientName" display="ClientName" xr:uid="{00000000-0004-0000-0600-000001000000}"/>
    <hyperlink ref="C88" location="'Tax Rec'!A320" display="Tax losses deducted" xr:uid="{00000000-0004-0000-0600-000002000000}"/>
    <hyperlink ref="H7:I7" location="WPIndex!A1" display="Back to WP Index" xr:uid="{53D44F4B-EE39-45A1-8B9C-B2E835A8BA01}"/>
  </hyperlinks>
  <printOptions horizontalCentered="1"/>
  <pageMargins left="0.59055118110236227" right="0.43307086614173229" top="0.6692913385826772" bottom="0.94488188976377963" header="0.51181102362204722" footer="0.39370078740157483"/>
  <pageSetup paperSize="9" scale="67" fitToHeight="3" orientation="portrait" r:id="rId3"/>
  <headerFooter alignWithMargins="0">
    <oddFooter>&amp;L&amp;8© Findex (Aust) Pty Ltd.  All rights reserved.&amp;R&amp;8&amp;P/&amp;N</oddFooter>
  </headerFooter>
  <rowBreaks count="2" manualBreakCount="2">
    <brk id="96" max="16383" man="1"/>
    <brk id="269" max="16383" man="1"/>
  </rowBreaks>
  <drawing r:id="rId4"/>
  <legacyDrawing r:id="rId5"/>
  <controls>
    <mc:AlternateContent xmlns:mc="http://schemas.openxmlformats.org/markup-compatibility/2006">
      <mc:Choice Requires="x14">
        <control shapeId="106531" r:id="rId6" name="ToggleButton1">
          <controlPr defaultSize="0" autoLine="0" r:id="rId7">
            <anchor moveWithCells="1">
              <from>
                <xdr:col>3</xdr:col>
                <xdr:colOff>0</xdr:colOff>
                <xdr:row>0</xdr:row>
                <xdr:rowOff>57150</xdr:rowOff>
              </from>
              <to>
                <xdr:col>4</xdr:col>
                <xdr:colOff>133350</xdr:colOff>
                <xdr:row>3</xdr:row>
                <xdr:rowOff>38100</xdr:rowOff>
              </to>
            </anchor>
          </controlPr>
        </control>
      </mc:Choice>
      <mc:Fallback>
        <control shapeId="106531" r:id="rId6" name="ToggleButton1"/>
      </mc:Fallback>
    </mc:AlternateContent>
    <mc:AlternateContent xmlns:mc="http://schemas.openxmlformats.org/markup-compatibility/2006">
      <mc:Choice Requires="x14">
        <control shapeId="106533" r:id="rId8" name="ToggleButtonViewTaxRecReport">
          <controlPr defaultSize="0" autoLine="0" autoPict="0" r:id="rId9">
            <anchor moveWithCells="1">
              <from>
                <xdr:col>4</xdr:col>
                <xdr:colOff>9525</xdr:colOff>
                <xdr:row>0</xdr:row>
                <xdr:rowOff>38100</xdr:rowOff>
              </from>
              <to>
                <xdr:col>5</xdr:col>
                <xdr:colOff>0</xdr:colOff>
                <xdr:row>3</xdr:row>
                <xdr:rowOff>47625</xdr:rowOff>
              </to>
            </anchor>
          </controlPr>
        </control>
      </mc:Choice>
      <mc:Fallback>
        <control shapeId="106533" r:id="rId8" name="ToggleButtonViewTaxRecReport"/>
      </mc:Fallback>
    </mc:AlternateContent>
    <mc:AlternateContent xmlns:mc="http://schemas.openxmlformats.org/markup-compatibility/2006">
      <mc:Choice Requires="x14">
        <control shapeId="106538" r:id="rId10" name="Button 42">
          <controlPr defaultSize="0" print="0" autoFill="0" autoPict="0" macro="[0]!Taxrecbuttonquarterlymonthly">
            <anchor moveWithCells="1" sizeWithCells="1">
              <from>
                <xdr:col>4</xdr:col>
                <xdr:colOff>0</xdr:colOff>
                <xdr:row>109</xdr:row>
                <xdr:rowOff>161925</xdr:rowOff>
              </from>
              <to>
                <xdr:col>5</xdr:col>
                <xdr:colOff>1095375</xdr:colOff>
                <xdr:row>110</xdr:row>
                <xdr:rowOff>161925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x_Rec_Report_Sheet">
    <tabColor theme="8" tint="0.79998168889431442"/>
    <pageSetUpPr autoPageBreaks="0"/>
  </sheetPr>
  <dimension ref="A1:N86"/>
  <sheetViews>
    <sheetView showGridLines="0" zoomScaleNormal="100" workbookViewId="0">
      <selection sqref="A1:F1"/>
    </sheetView>
  </sheetViews>
  <sheetFormatPr defaultColWidth="9.140625" defaultRowHeight="12.75"/>
  <cols>
    <col min="1" max="1" width="2.5703125" style="980" customWidth="1"/>
    <col min="2" max="2" width="20.85546875" style="981" customWidth="1"/>
    <col min="3" max="3" width="11.5703125" style="982" customWidth="1"/>
    <col min="4" max="5" width="11.5703125" style="983" customWidth="1"/>
    <col min="6" max="6" width="11.5703125" style="986" customWidth="1"/>
    <col min="7" max="7" width="11" style="985" customWidth="1"/>
    <col min="8" max="8" width="13" style="986" customWidth="1"/>
    <col min="9" max="9" width="2.5703125" style="986" customWidth="1"/>
    <col min="10" max="11" width="8.85546875" style="984" customWidth="1"/>
    <col min="12" max="16384" width="9.140625" style="984"/>
  </cols>
  <sheetData>
    <row r="1" spans="1:14" s="989" customFormat="1" ht="31.5" customHeight="1">
      <c r="A1" s="987"/>
      <c r="B1" s="1992" t="str">
        <f>UPPER(ClientName)</f>
        <v>EXAMPLE TRUST</v>
      </c>
      <c r="C1" s="988"/>
      <c r="D1" s="988"/>
      <c r="E1" s="988"/>
      <c r="F1" s="988"/>
      <c r="G1" s="988"/>
      <c r="H1" s="988"/>
      <c r="I1" s="988"/>
    </row>
    <row r="2" spans="1:14" s="989" customFormat="1" ht="18.75" customHeight="1">
      <c r="A2" s="987"/>
      <c r="B2" s="1993" t="s">
        <v>1253</v>
      </c>
      <c r="C2" s="990"/>
      <c r="D2" s="990"/>
      <c r="E2" s="990"/>
      <c r="F2" s="990"/>
      <c r="G2" s="990"/>
      <c r="H2" s="990"/>
      <c r="I2" s="990"/>
    </row>
    <row r="3" spans="1:14" s="991" customFormat="1">
      <c r="A3" s="992"/>
      <c r="B3" s="1996" t="str">
        <f>"For The Year Ended " &amp; TEXT(Period_End,"dd mmmm yyyy")</f>
        <v>For The Year Ended 30 June 2024</v>
      </c>
      <c r="C3" s="993"/>
      <c r="D3" s="993"/>
      <c r="F3" s="993"/>
      <c r="G3" s="993"/>
      <c r="H3" s="993"/>
      <c r="I3" s="993"/>
      <c r="N3" s="3247" t="s">
        <v>2526</v>
      </c>
    </row>
    <row r="4" spans="1:14" s="991" customFormat="1" ht="5.25" customHeight="1">
      <c r="A4" s="992"/>
      <c r="B4" s="1990"/>
      <c r="C4" s="1990"/>
      <c r="D4" s="1990"/>
      <c r="E4" s="1990"/>
      <c r="F4" s="1990"/>
      <c r="G4" s="1990"/>
      <c r="H4" s="1990"/>
      <c r="I4" s="993"/>
    </row>
    <row r="5" spans="1:14" s="991" customFormat="1">
      <c r="A5" s="992"/>
      <c r="B5" s="1989"/>
      <c r="C5" s="1989"/>
      <c r="D5" s="1989"/>
      <c r="E5" s="1989"/>
      <c r="F5" s="1989" t="s">
        <v>208</v>
      </c>
      <c r="G5" s="1989"/>
      <c r="H5" s="1989">
        <f>YEAR(Period_End)</f>
        <v>2024</v>
      </c>
      <c r="I5" s="993"/>
    </row>
    <row r="6" spans="1:14" s="991" customFormat="1">
      <c r="A6" s="992"/>
      <c r="B6" s="1989"/>
      <c r="C6" s="1989"/>
      <c r="D6" s="1989"/>
      <c r="E6" s="1989"/>
      <c r="F6" s="1989" t="s">
        <v>208</v>
      </c>
      <c r="G6" s="1989"/>
      <c r="H6" s="1989" t="s">
        <v>1254</v>
      </c>
      <c r="I6" s="993"/>
    </row>
    <row r="7" spans="1:14" ht="20.25" customHeight="1">
      <c r="A7" s="1000"/>
      <c r="B7" s="1761" t="s">
        <v>1255</v>
      </c>
      <c r="C7" s="994"/>
      <c r="D7" s="995"/>
      <c r="E7" s="995"/>
      <c r="F7" s="998"/>
      <c r="G7" s="1005"/>
      <c r="H7" s="1762">
        <f>+'Tax Rec'!H11</f>
        <v>90000</v>
      </c>
      <c r="I7" s="996"/>
    </row>
    <row r="8" spans="1:14" customFormat="1" ht="12.75" customHeight="1">
      <c r="A8" s="306"/>
      <c r="F8" s="983"/>
      <c r="G8" s="1006"/>
      <c r="H8" s="1006"/>
    </row>
    <row r="9" spans="1:14" customFormat="1" ht="12.75" customHeight="1">
      <c r="A9" s="1002" t="s">
        <v>29</v>
      </c>
      <c r="F9" s="983"/>
      <c r="G9" s="1007"/>
      <c r="H9" s="1007"/>
    </row>
    <row r="10" spans="1:14" customFormat="1" ht="12.75" hidden="1" customHeight="1">
      <c r="A10" s="977" t="str">
        <f>'Tax Rec'!C14</f>
        <v>Net capital gains per tax calculations</v>
      </c>
      <c r="F10" s="983"/>
      <c r="G10" s="1007">
        <f>+'Tax Rec'!H14</f>
        <v>50000</v>
      </c>
      <c r="H10" s="1007"/>
    </row>
    <row r="11" spans="1:14" customFormat="1" ht="12.75" hidden="1" customHeight="1">
      <c r="A11" s="977" t="str">
        <f>'Tax Rec'!C15</f>
        <v>Franking credits</v>
      </c>
      <c r="F11" s="983"/>
      <c r="G11" s="1007">
        <f>+'Tax Rec'!H15</f>
        <v>0</v>
      </c>
      <c r="H11" s="1007"/>
    </row>
    <row r="12" spans="1:14" customFormat="1" ht="12.75" customHeight="1">
      <c r="A12" s="977" t="s">
        <v>208</v>
      </c>
      <c r="F12" s="983"/>
      <c r="G12" s="1007"/>
      <c r="H12" s="3582"/>
    </row>
    <row r="13" spans="1:14" customFormat="1" ht="12.75" customHeight="1">
      <c r="A13" s="1003" t="s">
        <v>32</v>
      </c>
      <c r="B13" s="823"/>
      <c r="F13" s="983"/>
      <c r="G13" s="1007"/>
      <c r="H13" s="1007"/>
    </row>
    <row r="14" spans="1:14" customFormat="1" ht="12.75" hidden="1" customHeight="1">
      <c r="A14" s="1004" t="str">
        <f>'Tax Rec'!C18 &amp; " " &amp; 'Tax Rec'!D18 &amp; " " &amp; 'Tax Rec'!E18</f>
        <v xml:space="preserve">Accrued interest income prior year now received  </v>
      </c>
      <c r="F14" s="983"/>
      <c r="G14" s="1007">
        <f>+'Tax Rec'!H18</f>
        <v>0</v>
      </c>
      <c r="H14" s="1007"/>
    </row>
    <row r="15" spans="1:14" customFormat="1" ht="12.75" hidden="1" customHeight="1">
      <c r="A15" s="1004" t="str">
        <f>'Tax Rec'!C19 &amp; " " &amp; 'Tax Rec'!D19 &amp; " " &amp; 'Tax Rec'!E19</f>
        <v xml:space="preserve">Taxable profit on sale of depreciating assets  </v>
      </c>
      <c r="F15" s="983"/>
      <c r="G15" s="1007">
        <f>+'Tax Rec'!H19</f>
        <v>0</v>
      </c>
      <c r="H15" s="1007"/>
    </row>
    <row r="16" spans="1:14" customFormat="1" ht="12.75" hidden="1" customHeight="1">
      <c r="A16" s="1004" t="str">
        <f>'Tax Rec'!C20 &amp; " " &amp; 'Tax Rec'!D20 &amp; " " &amp; 'Tax Rec'!E20</f>
        <v xml:space="preserve">Taxable distributions  </v>
      </c>
      <c r="F16" s="983"/>
      <c r="G16" s="1007">
        <f>+'Tax Rec'!H20</f>
        <v>0</v>
      </c>
      <c r="H16" s="1007"/>
    </row>
    <row r="17" spans="1:8" customFormat="1" ht="12.75" hidden="1" customHeight="1">
      <c r="A17" s="1004" t="str">
        <f>'Tax Rec'!C21 &amp; " " &amp; 'Tax Rec'!D21 &amp; " " &amp; 'Tax Rec'!E21</f>
        <v xml:space="preserve">Unrealised foreign exchange gains prior year  </v>
      </c>
      <c r="F17" s="983"/>
      <c r="G17" s="1007">
        <f>+'Tax Rec'!H21</f>
        <v>0</v>
      </c>
      <c r="H17" s="1007"/>
    </row>
    <row r="18" spans="1:8" customFormat="1" ht="12.75" hidden="1" customHeight="1">
      <c r="A18" s="1004" t="str">
        <f>'Tax Rec'!C22 &amp; " " &amp; 'Tax Rec'!D22 &amp; " " &amp; 'Tax Rec'!E22</f>
        <v xml:space="preserve">Other  </v>
      </c>
      <c r="F18" s="983"/>
      <c r="G18" s="1007">
        <f>+'Tax Rec'!H22</f>
        <v>0</v>
      </c>
      <c r="H18" s="1007"/>
    </row>
    <row r="19" spans="1:8" customFormat="1" ht="12.75" hidden="1" customHeight="1">
      <c r="A19" s="1004"/>
      <c r="B19" s="2507" t="s">
        <v>2238</v>
      </c>
      <c r="F19" s="983"/>
      <c r="G19" s="1007">
        <f>+'Tax Rec'!H23</f>
        <v>0</v>
      </c>
      <c r="H19" s="1007"/>
    </row>
    <row r="20" spans="1:8" customFormat="1" ht="12.75" hidden="1" customHeight="1">
      <c r="A20" s="1004"/>
      <c r="B20" s="2507" t="s">
        <v>2239</v>
      </c>
      <c r="F20" s="983"/>
      <c r="G20" s="1007">
        <f>+'Tax Rec'!H24</f>
        <v>0</v>
      </c>
      <c r="H20" s="1007"/>
    </row>
    <row r="21" spans="1:8" customFormat="1" ht="12.75" hidden="1" customHeight="1">
      <c r="A21" s="1004" t="str">
        <f>'Tax Rec'!C25 &amp; " " &amp; 'Tax Rec'!D25 &amp; " " &amp; 'Tax Rec'!E25</f>
        <v>Other   - as required</v>
      </c>
      <c r="F21" s="983"/>
      <c r="G21" s="1007">
        <f>+'Tax Rec'!H25</f>
        <v>0</v>
      </c>
      <c r="H21" s="1007"/>
    </row>
    <row r="22" spans="1:8" customFormat="1" ht="12.75" hidden="1" customHeight="1">
      <c r="A22" s="1004" t="str">
        <f>'Tax Rec'!C26 &amp; " " &amp; 'Tax Rec'!D26 &amp; " " &amp; 'Tax Rec'!E26</f>
        <v xml:space="preserve">   - as required</v>
      </c>
      <c r="F22" s="983"/>
      <c r="G22" s="1007">
        <f>+'Tax Rec'!H26</f>
        <v>0</v>
      </c>
      <c r="H22" s="1007"/>
    </row>
    <row r="23" spans="1:8" customFormat="1" ht="12.75" hidden="1" customHeight="1">
      <c r="A23" s="1004" t="str">
        <f>'Tax Rec'!C27 &amp; " " &amp; 'Tax Rec'!D27 &amp; " " &amp; 'Tax Rec'!E27</f>
        <v xml:space="preserve">   - as required</v>
      </c>
      <c r="F23" s="983"/>
      <c r="G23" s="1007">
        <f>+'Tax Rec'!H27</f>
        <v>0</v>
      </c>
      <c r="H23" s="1007"/>
    </row>
    <row r="24" spans="1:8" customFormat="1" ht="12.75" customHeight="1">
      <c r="A24" s="1004" t="str">
        <f>'Tax Rec'!C28 &amp; " " &amp; 'Tax Rec'!D28 &amp; " " &amp; 'Tax Rec'!E28</f>
        <v xml:space="preserve">  </v>
      </c>
      <c r="F24" s="983"/>
      <c r="G24" s="1007"/>
      <c r="H24" s="1007"/>
    </row>
    <row r="25" spans="1:8" customFormat="1" ht="12.75" customHeight="1">
      <c r="A25" s="1003" t="str">
        <f>'Tax Rec'!B29</f>
        <v>Non-Deductible Expenses</v>
      </c>
      <c r="B25" s="823"/>
      <c r="F25" s="983"/>
      <c r="G25" s="1007"/>
      <c r="H25" s="1007"/>
    </row>
    <row r="26" spans="1:8" customFormat="1" ht="12.75" hidden="1" customHeight="1">
      <c r="A26" s="1004" t="str">
        <f>'Tax Rec'!C30 &amp; " " &amp; 'Tax Rec'!D30 &amp; " " &amp; 'Tax Rec'!E30</f>
        <v>Accrued exps current year  - superannuation</v>
      </c>
      <c r="F26" s="983"/>
      <c r="G26" s="1007">
        <f>+'Tax Rec'!H30</f>
        <v>0</v>
      </c>
      <c r="H26" s="1007"/>
    </row>
    <row r="27" spans="1:8" customFormat="1" ht="12.75" hidden="1" customHeight="1">
      <c r="A27" s="1004" t="str">
        <f>'Tax Rec'!C31 &amp; " " &amp; 'Tax Rec'!D31 &amp; " " &amp; 'Tax Rec'!E31</f>
        <v xml:space="preserve">Amortisation per the accounts  </v>
      </c>
      <c r="F27" s="983"/>
      <c r="G27" s="1007">
        <f>+'Tax Rec'!H31</f>
        <v>0</v>
      </c>
      <c r="H27" s="1007"/>
    </row>
    <row r="28" spans="1:8" customFormat="1" ht="12.75" hidden="1" customHeight="1">
      <c r="A28" s="1004" t="str">
        <f>'Tax Rec'!C32 &amp; " " &amp; 'Tax Rec'!D32 &amp; " " &amp; 'Tax Rec'!E32</f>
        <v xml:space="preserve">Borrowing costs per the accounts  </v>
      </c>
      <c r="F28" s="983"/>
      <c r="G28" s="1007">
        <f>+'Tax Rec'!H32</f>
        <v>0</v>
      </c>
      <c r="H28" s="1007"/>
    </row>
    <row r="29" spans="1:8" customFormat="1" ht="12.75" hidden="1" customHeight="1">
      <c r="A29" s="1004" t="str">
        <f>'Tax Rec'!C33 &amp; " " &amp; 'Tax Rec'!D33 &amp; " " &amp; 'Tax Rec'!E33</f>
        <v xml:space="preserve">Capital losses per the accounts  </v>
      </c>
      <c r="F29" s="983"/>
      <c r="G29" s="1007">
        <f>+'Tax Rec'!H33</f>
        <v>0</v>
      </c>
      <c r="H29" s="1007"/>
    </row>
    <row r="30" spans="1:8" customFormat="1" ht="12.75" hidden="1" customHeight="1">
      <c r="A30" s="1004" t="str">
        <f>'Tax Rec'!C34 &amp; " " &amp; 'Tax Rec'!D34 &amp; " " &amp; 'Tax Rec'!E34</f>
        <v xml:space="preserve">Debt deductions denied by Thin Capitalisation  </v>
      </c>
      <c r="F30" s="983"/>
      <c r="G30" s="1007">
        <f>+'Tax Rec'!H34</f>
        <v>0</v>
      </c>
      <c r="H30" s="1007"/>
    </row>
    <row r="31" spans="1:8" customFormat="1" ht="12.75" hidden="1" customHeight="1">
      <c r="A31" s="1004" t="str">
        <f>'Tax Rec'!C35 &amp; " " &amp; 'Tax Rec'!D35 &amp; " " &amp; 'Tax Rec'!E35</f>
        <v xml:space="preserve">Depreciation per the accounts   </v>
      </c>
      <c r="F31" s="983"/>
      <c r="G31" s="1007">
        <f>+'Tax Rec'!H35</f>
        <v>0</v>
      </c>
      <c r="H31" s="1007"/>
    </row>
    <row r="32" spans="1:8" customFormat="1" ht="12.75" hidden="1" customHeight="1">
      <c r="A32" s="1004" t="str">
        <f>'Tax Rec'!C36 &amp; " " &amp; 'Tax Rec'!D36 &amp; " " &amp; 'Tax Rec'!E36</f>
        <v xml:space="preserve">Finance lease interest &amp; finance charges  </v>
      </c>
      <c r="F32" s="983"/>
      <c r="G32" s="1007">
        <f>+'Tax Rec'!H36</f>
        <v>0</v>
      </c>
      <c r="H32" s="1007"/>
    </row>
    <row r="33" spans="1:8" customFormat="1" ht="12.75" hidden="1" customHeight="1">
      <c r="A33" s="1004" t="str">
        <f>'Tax Rec'!C37 &amp; " " &amp; 'Tax Rec'!D37 &amp; " " &amp; 'Tax Rec'!E37</f>
        <v xml:space="preserve">Fringe benefits tax expense per the accounts  </v>
      </c>
      <c r="F33" s="983"/>
      <c r="G33" s="1007">
        <f>+'Tax Rec'!H37</f>
        <v>0</v>
      </c>
      <c r="H33" s="1007"/>
    </row>
    <row r="34" spans="1:8" customFormat="1" ht="12.75" hidden="1" customHeight="1">
      <c r="A34" s="1004" t="str">
        <f>'Tax Rec'!C38 &amp; " " &amp; 'Tax Rec'!D38 &amp; " " &amp; 'Tax Rec'!E38</f>
        <v xml:space="preserve">Loss on sale of assets per the accounts  </v>
      </c>
      <c r="F34" s="983"/>
      <c r="G34" s="1007">
        <f>+'Tax Rec'!H38</f>
        <v>0</v>
      </c>
      <c r="H34" s="1007"/>
    </row>
    <row r="35" spans="1:8" customFormat="1" ht="12.75" hidden="1" customHeight="1">
      <c r="A35" s="1004" t="str">
        <f>'Tax Rec'!C39 &amp; " " &amp; 'Tax Rec'!D39 &amp; " " &amp; 'Tax Rec'!E39</f>
        <v>Non-deductible expenses  - entertainment</v>
      </c>
      <c r="F35" s="983"/>
      <c r="G35" s="1007">
        <f>+'Tax Rec'!H39</f>
        <v>10000</v>
      </c>
      <c r="H35" s="1007"/>
    </row>
    <row r="36" spans="1:8" customFormat="1" ht="12.75" hidden="1" customHeight="1">
      <c r="A36" s="1004" t="str">
        <f>'Tax Rec'!C40 &amp; " " &amp; 'Tax Rec'!D40 &amp; " " &amp; 'Tax Rec'!E40</f>
        <v xml:space="preserve">  - legal expenses</v>
      </c>
      <c r="F36" s="983"/>
      <c r="G36" s="1007">
        <f>+'Tax Rec'!H40</f>
        <v>0</v>
      </c>
      <c r="H36" s="1007"/>
    </row>
    <row r="37" spans="1:8" customFormat="1" ht="12.75" hidden="1" customHeight="1">
      <c r="A37" s="1004" t="str">
        <f>'Tax Rec'!C41 &amp; " " &amp; 'Tax Rec'!D41 &amp; " " &amp; 'Tax Rec'!E41</f>
        <v xml:space="preserve">  - donations</v>
      </c>
      <c r="F37" s="983"/>
      <c r="G37" s="1007">
        <f>+'Tax Rec'!H41</f>
        <v>0</v>
      </c>
      <c r="H37" s="1007"/>
    </row>
    <row r="38" spans="1:8" customFormat="1" ht="12.75" hidden="1" customHeight="1">
      <c r="A38" s="1004" t="str">
        <f>'Tax Rec'!C42 &amp; " " &amp; 'Tax Rec'!D42 &amp; " " &amp; 'Tax Rec'!E42</f>
        <v xml:space="preserve">  - bad debts</v>
      </c>
      <c r="F38" s="983"/>
      <c r="G38" s="1007">
        <f>+'Tax Rec'!H42</f>
        <v>0</v>
      </c>
      <c r="H38" s="1007"/>
    </row>
    <row r="39" spans="1:8" customFormat="1" ht="12.75" hidden="1" customHeight="1">
      <c r="A39" s="1004" t="str">
        <f>'Tax Rec'!C43 &amp; " " &amp; 'Tax Rec'!D43 &amp; " " &amp; 'Tax Rec'!E43</f>
        <v xml:space="preserve">  - penalties &amp; fines</v>
      </c>
      <c r="F39" s="983"/>
      <c r="G39" s="1007">
        <f>+'Tax Rec'!H43</f>
        <v>0</v>
      </c>
      <c r="H39" s="1007"/>
    </row>
    <row r="40" spans="1:8" customFormat="1" ht="12.75" hidden="1" customHeight="1">
      <c r="A40" s="1004" t="str">
        <f>'Tax Rec'!C44 &amp; " " &amp; 'Tax Rec'!D44 &amp; " " &amp; 'Tax Rec'!E44</f>
        <v xml:space="preserve">Prepayments deducted prior year  </v>
      </c>
      <c r="F40" s="983"/>
      <c r="G40" s="1007">
        <f>+'Tax Rec'!H44</f>
        <v>0</v>
      </c>
      <c r="H40" s="1007"/>
    </row>
    <row r="41" spans="1:8" customFormat="1" ht="12.75" hidden="1" customHeight="1">
      <c r="A41" s="1004" t="str">
        <f>'Tax Rec'!C45 &amp; " " &amp; 'Tax Rec'!D45 &amp; " " &amp; 'Tax Rec'!E45</f>
        <v>Provisions balance current year  - annual leave</v>
      </c>
      <c r="F41" s="983"/>
      <c r="G41" s="1007">
        <f>+'Tax Rec'!H45</f>
        <v>0</v>
      </c>
      <c r="H41" s="1007"/>
    </row>
    <row r="42" spans="1:8" customFormat="1" ht="12.75" hidden="1" customHeight="1">
      <c r="A42" s="1004" t="str">
        <f>'Tax Rec'!C46 &amp; " " &amp; 'Tax Rec'!D46 &amp; " " &amp; 'Tax Rec'!E46</f>
        <v xml:space="preserve">  - long service leave</v>
      </c>
      <c r="F42" s="983"/>
      <c r="G42" s="1007">
        <f>+'Tax Rec'!H46</f>
        <v>0</v>
      </c>
      <c r="H42" s="1007"/>
    </row>
    <row r="43" spans="1:8" customFormat="1" ht="12.75" hidden="1" customHeight="1">
      <c r="A43" s="1004" t="str">
        <f>'Tax Rec'!C47 &amp; " " &amp; 'Tax Rec'!D47 &amp; " " &amp; 'Tax Rec'!E47</f>
        <v xml:space="preserve">Unrealised foreign exchange losses current year  </v>
      </c>
      <c r="F43" s="983"/>
      <c r="G43" s="1007">
        <f>+'Tax Rec'!H47</f>
        <v>0</v>
      </c>
      <c r="H43" s="1007"/>
    </row>
    <row r="44" spans="1:8" customFormat="1" ht="12.75" hidden="1" customHeight="1">
      <c r="A44" s="1004" t="str">
        <f>'Tax Rec'!C48 &amp; " " &amp; 'Tax Rec'!D48 &amp; " " &amp; 'Tax Rec'!E48</f>
        <v xml:space="preserve">Taxation Profit  </v>
      </c>
      <c r="F44" s="983"/>
      <c r="G44" s="1007">
        <f>+'Tax Rec'!H48</f>
        <v>0</v>
      </c>
      <c r="H44" s="1007"/>
    </row>
    <row r="45" spans="1:8" customFormat="1" ht="12.75" hidden="1" customHeight="1">
      <c r="A45" s="1004" t="str">
        <f>'Tax Rec'!C49 &amp; " " &amp; 'Tax Rec'!D49 &amp; " " &amp; 'Tax Rec'!E49</f>
        <v xml:space="preserve">Other  </v>
      </c>
      <c r="F45" s="983"/>
      <c r="G45" s="1007">
        <f>+'Tax Rec'!H49</f>
        <v>0</v>
      </c>
      <c r="H45" s="1007"/>
    </row>
    <row r="46" spans="1:8" customFormat="1" ht="12.75" hidden="1" customHeight="1">
      <c r="A46" s="1004" t="str">
        <f>'Tax Rec'!C50 &amp; " " &amp; 'Tax Rec'!D50 &amp; " " &amp; 'Tax Rec'!E50</f>
        <v xml:space="preserve">   - as required</v>
      </c>
      <c r="F46" s="983"/>
      <c r="G46" s="1007">
        <f>+'Tax Rec'!H50</f>
        <v>0</v>
      </c>
      <c r="H46" s="1008"/>
    </row>
    <row r="47" spans="1:8" customFormat="1" ht="12.75" customHeight="1">
      <c r="A47" s="1004" t="str">
        <f>'Tax Rec'!C51 &amp; " " &amp; 'Tax Rec'!D51 &amp; " " &amp; 'Tax Rec'!E51</f>
        <v xml:space="preserve">  </v>
      </c>
      <c r="F47" s="983"/>
      <c r="G47" s="1009"/>
      <c r="H47" s="1007">
        <f>SUM(G10:G46)</f>
        <v>60000</v>
      </c>
    </row>
    <row r="48" spans="1:8" customFormat="1" ht="12.75" customHeight="1">
      <c r="A48" s="1004" t="str">
        <f>'Tax Rec'!C52 &amp; " " &amp; 'Tax Rec'!D52 &amp; " " &amp; 'Tax Rec'!E52</f>
        <v xml:space="preserve">  </v>
      </c>
      <c r="F48" s="983"/>
      <c r="G48" s="1007"/>
      <c r="H48" s="1007"/>
    </row>
    <row r="49" spans="1:8" customFormat="1" ht="12.75" customHeight="1">
      <c r="A49" s="1002" t="str">
        <f>'Tax Rec'!A53</f>
        <v>Less:</v>
      </c>
      <c r="F49" s="983"/>
      <c r="G49" s="1007"/>
      <c r="H49" s="1007"/>
    </row>
    <row r="50" spans="1:8" customFormat="1" ht="12.75" hidden="1" customHeight="1">
      <c r="A50" s="1004" t="str">
        <f>'Tax Rec'!C54 &amp; " " &amp; 'Tax Rec'!D54 &amp; " " &amp; 'Tax Rec'!E54</f>
        <v xml:space="preserve">Capital works deductions  </v>
      </c>
      <c r="F50" s="983"/>
      <c r="G50" s="1007">
        <f>+'Tax Rec'!H54</f>
        <v>0</v>
      </c>
      <c r="H50" s="1007"/>
    </row>
    <row r="51" spans="1:8" customFormat="1" ht="12.75" hidden="1" customHeight="1">
      <c r="A51" s="1004" t="str">
        <f>'Tax Rec'!C55 &amp; " " &amp; 'Tax Rec'!D55 &amp; " " &amp; 'Tax Rec'!E55</f>
        <v xml:space="preserve">Decline in value of depreciating assets (tax depreciation)  </v>
      </c>
      <c r="F51" s="983"/>
      <c r="G51" s="1007">
        <f>+'Tax Rec'!H55</f>
        <v>0</v>
      </c>
      <c r="H51" s="1007"/>
    </row>
    <row r="52" spans="1:8" customFormat="1" ht="12.75" hidden="1" customHeight="1">
      <c r="A52" s="1004" t="str">
        <f>'Tax Rec'!C56 &amp; " " &amp; 'Tax Rec'!D56 &amp; " " &amp; 'Tax Rec'!E56</f>
        <v>SBE - general pool depreciation   - as required</v>
      </c>
      <c r="F52" s="983"/>
      <c r="G52" s="1007">
        <f>+'Tax Rec'!H56</f>
        <v>0</v>
      </c>
      <c r="H52" s="1007"/>
    </row>
    <row r="53" spans="1:8" customFormat="1" ht="12.75" hidden="1" customHeight="1">
      <c r="A53" s="1004" t="str">
        <f>'Tax Rec'!C57 &amp; " " &amp; 'Tax Rec'!D57 &amp; " " &amp; 'Tax Rec'!E57</f>
        <v>SBE - low value asset write off   - as required</v>
      </c>
      <c r="F53" s="983"/>
      <c r="G53" s="1007">
        <f>+'Tax Rec'!H57</f>
        <v>0</v>
      </c>
      <c r="H53" s="1007"/>
    </row>
    <row r="54" spans="1:8" customFormat="1" ht="12.75" hidden="1" customHeight="1">
      <c r="A54" s="1004" t="str">
        <f>'Tax Rec'!C58 &amp; " " &amp; 'Tax Rec'!D58 &amp; " " &amp; 'Tax Rec'!E58</f>
        <v xml:space="preserve">S. 40-880 deduction (business related capital costs deductible over 5 yrs)  </v>
      </c>
      <c r="F54" s="983"/>
      <c r="G54" s="1007">
        <f>+'Tax Rec'!H58</f>
        <v>0</v>
      </c>
      <c r="H54" s="1007"/>
    </row>
    <row r="55" spans="1:8" customFormat="1" ht="12.75" customHeight="1">
      <c r="A55" s="1004" t="str">
        <f>'Tax Rec'!C59 &amp; " " &amp; 'Tax Rec'!D59 &amp; " " &amp; 'Tax Rec'!E59</f>
        <v xml:space="preserve">  </v>
      </c>
      <c r="F55" s="983"/>
      <c r="G55" s="1007"/>
      <c r="H55" s="1007"/>
    </row>
    <row r="56" spans="1:8" customFormat="1" ht="12.75" customHeight="1">
      <c r="A56" s="1003" t="str">
        <f>'Tax Rec'!B60</f>
        <v>Other Income Not Included in Assessable Income</v>
      </c>
      <c r="B56" s="823"/>
      <c r="F56" s="983"/>
      <c r="G56" s="1007"/>
      <c r="H56" s="1007"/>
    </row>
    <row r="57" spans="1:8" customFormat="1" ht="12.75" hidden="1" customHeight="1">
      <c r="A57" s="1004" t="str">
        <f>'Tax Rec'!C61 &amp; " " &amp; 'Tax Rec'!D61 &amp; " " &amp; 'Tax Rec'!E61</f>
        <v xml:space="preserve">Accrued interest income current year not received  </v>
      </c>
      <c r="F57" s="983"/>
      <c r="G57" s="1007">
        <f>+'Tax Rec'!H61</f>
        <v>0</v>
      </c>
      <c r="H57" s="1007"/>
    </row>
    <row r="58" spans="1:8" customFormat="1" ht="12.75" hidden="1" customHeight="1">
      <c r="A58" s="1004" t="str">
        <f>'Tax Rec'!C62 &amp; " " &amp; 'Tax Rec'!D62 &amp; " " &amp; 'Tax Rec'!E62</f>
        <v xml:space="preserve">Capital profits per the accounts  </v>
      </c>
      <c r="F58" s="983"/>
      <c r="G58" s="1007">
        <f>+'Tax Rec'!H62</f>
        <v>100000</v>
      </c>
      <c r="H58" s="1007"/>
    </row>
    <row r="59" spans="1:8" customFormat="1" ht="12.75" hidden="1" customHeight="1">
      <c r="A59" s="1004" t="str">
        <f>'Tax Rec'!C63 &amp; " " &amp; 'Tax Rec'!D63 &amp; " " &amp; 'Tax Rec'!E63</f>
        <v xml:space="preserve">Net personal services income  </v>
      </c>
      <c r="F59" s="983"/>
      <c r="G59" s="1007">
        <f>+'Tax Rec'!H63</f>
        <v>0</v>
      </c>
      <c r="H59" s="1007"/>
    </row>
    <row r="60" spans="1:8" customFormat="1" ht="12.75" hidden="1" customHeight="1">
      <c r="A60" s="1004" t="str">
        <f>'Tax Rec'!C64 &amp; " " &amp; 'Tax Rec'!D64 &amp; " " &amp; 'Tax Rec'!E64</f>
        <v xml:space="preserve">Distributions per the accounts  </v>
      </c>
      <c r="F60" s="983"/>
      <c r="G60" s="1007">
        <f>+'Tax Rec'!H64</f>
        <v>0</v>
      </c>
      <c r="H60" s="1007"/>
    </row>
    <row r="61" spans="1:8" customFormat="1" ht="12.75" hidden="1" customHeight="1">
      <c r="A61" s="1004" t="str">
        <f>'Tax Rec'!C65 &amp; " " &amp; 'Tax Rec'!D65 &amp; " " &amp; 'Tax Rec'!E65</f>
        <v xml:space="preserve">Unrealised foreign exchange gains current year  </v>
      </c>
      <c r="F61" s="983"/>
      <c r="G61" s="1007">
        <f>+'Tax Rec'!H65</f>
        <v>0</v>
      </c>
      <c r="H61" s="1007"/>
    </row>
    <row r="62" spans="1:8" customFormat="1" ht="12.75" hidden="1" customHeight="1">
      <c r="A62" s="1004" t="str">
        <f>'Tax Rec'!C66 &amp; " " &amp; 'Tax Rec'!D66 &amp; " " &amp; 'Tax Rec'!E66</f>
        <v xml:space="preserve">Other  </v>
      </c>
      <c r="F62" s="983"/>
      <c r="G62" s="1007">
        <f>+'Tax Rec'!H66</f>
        <v>0</v>
      </c>
      <c r="H62" s="1007"/>
    </row>
    <row r="63" spans="1:8" customFormat="1" ht="12.75" hidden="1" customHeight="1">
      <c r="A63" s="1004" t="str">
        <f>'Tax Rec'!C67 &amp; " " &amp; 'Tax Rec'!D67 &amp; " " &amp; 'Tax Rec'!E67</f>
        <v>Other   - as required</v>
      </c>
      <c r="F63" s="983"/>
      <c r="G63" s="1007">
        <f>+'Tax Rec'!H67</f>
        <v>0</v>
      </c>
      <c r="H63" s="1007"/>
    </row>
    <row r="64" spans="1:8" customFormat="1" ht="12.75" hidden="1" customHeight="1">
      <c r="A64" s="1004" t="str">
        <f>'Tax Rec'!C68 &amp; " " &amp; 'Tax Rec'!D68 &amp; " " &amp; 'Tax Rec'!E68</f>
        <v xml:space="preserve">   - as required</v>
      </c>
      <c r="F64" s="983"/>
      <c r="G64" s="1007">
        <f>+'Tax Rec'!H68</f>
        <v>0</v>
      </c>
      <c r="H64" s="1007"/>
    </row>
    <row r="65" spans="1:8" customFormat="1" ht="12.75" customHeight="1">
      <c r="A65" s="1004" t="str">
        <f>'Tax Rec'!C69 &amp; " " &amp; 'Tax Rec'!D69 &amp; " " &amp; 'Tax Rec'!E69</f>
        <v xml:space="preserve">  </v>
      </c>
      <c r="B65" s="306"/>
      <c r="F65" s="983"/>
      <c r="G65" s="1007"/>
      <c r="H65" s="1007"/>
    </row>
    <row r="66" spans="1:8" customFormat="1" ht="12.75" customHeight="1">
      <c r="A66" s="1003" t="str">
        <f>'Tax Rec'!B70</f>
        <v>Other Deductible Expenses</v>
      </c>
      <c r="F66" s="983"/>
      <c r="G66" s="1007"/>
      <c r="H66" s="1007"/>
    </row>
    <row r="67" spans="1:8" customFormat="1" ht="12.75" hidden="1" customHeight="1">
      <c r="A67" s="1004" t="str">
        <f>'Tax Rec'!C71 &amp; " " &amp; 'Tax Rec'!D71 &amp; " " &amp; 'Tax Rec'!E71</f>
        <v>Accrued expenses prior year  - superannuation</v>
      </c>
      <c r="F67" s="983"/>
      <c r="G67" s="1007">
        <f>+'Tax Rec'!H71</f>
        <v>0</v>
      </c>
      <c r="H67" s="1007"/>
    </row>
    <row r="68" spans="1:8" customFormat="1" ht="12.75" hidden="1" customHeight="1">
      <c r="A68" s="1004" t="str">
        <f>'Tax Rec'!C72 &amp; " " &amp; 'Tax Rec'!D72 &amp; " " &amp; 'Tax Rec'!E72</f>
        <v xml:space="preserve">Blackhole expenses and intangibles  - </v>
      </c>
      <c r="F68" s="983"/>
      <c r="G68" s="1007">
        <f>+'Tax Rec'!H72</f>
        <v>0</v>
      </c>
      <c r="H68" s="1007"/>
    </row>
    <row r="69" spans="1:8" customFormat="1" ht="12.75" hidden="1" customHeight="1">
      <c r="A69" s="1004" t="str">
        <f>'Tax Rec'!C73 &amp; " " &amp; 'Tax Rec'!D73 &amp; " " &amp; 'Tax Rec'!E73</f>
        <v xml:space="preserve">Lease payments  </v>
      </c>
      <c r="F69" s="983"/>
      <c r="G69" s="1007">
        <f>+'Tax Rec'!H73</f>
        <v>0</v>
      </c>
      <c r="H69" s="1007"/>
    </row>
    <row r="70" spans="1:8" customFormat="1" ht="12.75" hidden="1" customHeight="1">
      <c r="A70" s="1004" t="str">
        <f>'Tax Rec'!C74 &amp; " " &amp; 'Tax Rec'!D74 &amp; " " &amp; 'Tax Rec'!E74</f>
        <v xml:space="preserve">Prepaid expenses deductible this year   </v>
      </c>
      <c r="F70" s="983"/>
      <c r="G70" s="1007">
        <f>+'Tax Rec'!H74</f>
        <v>0</v>
      </c>
      <c r="H70" s="1007"/>
    </row>
    <row r="71" spans="1:8" customFormat="1" ht="12.75" hidden="1" customHeight="1">
      <c r="A71" s="1004" t="str">
        <f>'Tax Rec'!C75 &amp; " " &amp; 'Tax Rec'!D75 &amp; " " &amp; 'Tax Rec'!E75</f>
        <v>Provisions prior year  - annual leave</v>
      </c>
      <c r="F71" s="983"/>
      <c r="G71" s="1007">
        <f>+'Tax Rec'!H75</f>
        <v>0</v>
      </c>
      <c r="H71" s="1007"/>
    </row>
    <row r="72" spans="1:8" customFormat="1" ht="12.75" hidden="1" customHeight="1">
      <c r="A72" s="1004" t="str">
        <f>'Tax Rec'!C76 &amp; " " &amp; 'Tax Rec'!D76 &amp; " " &amp; 'Tax Rec'!E76</f>
        <v xml:space="preserve">  - long service leave</v>
      </c>
      <c r="F72" s="983"/>
      <c r="G72" s="1007">
        <f>+'Tax Rec'!H76</f>
        <v>0</v>
      </c>
      <c r="H72" s="1007"/>
    </row>
    <row r="73" spans="1:8" customFormat="1" ht="12.75" hidden="1" customHeight="1">
      <c r="A73" s="1004" t="str">
        <f>'Tax Rec'!C77 &amp; " " &amp; 'Tax Rec'!D77 &amp; " " &amp; 'Tax Rec'!E77</f>
        <v xml:space="preserve">Tax deductible borrowing costs  </v>
      </c>
      <c r="F73" s="983"/>
      <c r="G73" s="1007">
        <f>+'Tax Rec'!H77</f>
        <v>0</v>
      </c>
      <c r="H73" s="1007"/>
    </row>
    <row r="74" spans="1:8" customFormat="1" ht="12.75" hidden="1" customHeight="1">
      <c r="A74" s="1004" t="str">
        <f>'Tax Rec'!C78 &amp; " " &amp; 'Tax Rec'!D78 &amp; " " &amp; 'Tax Rec'!E78</f>
        <v xml:space="preserve">Tax deductible fringe benefits tax expense  </v>
      </c>
      <c r="F74" s="983"/>
      <c r="G74" s="1007">
        <f>+'Tax Rec'!H78</f>
        <v>0</v>
      </c>
      <c r="H74" s="1007"/>
    </row>
    <row r="75" spans="1:8" customFormat="1" ht="12.75" hidden="1" customHeight="1">
      <c r="A75" s="1004" t="str">
        <f>'Tax Rec'!C79 &amp; " " &amp; 'Tax Rec'!D79 &amp; " " &amp; 'Tax Rec'!E79</f>
        <v xml:space="preserve">Tax loss on disposal of depreciating assets  </v>
      </c>
      <c r="F75" s="983"/>
      <c r="G75" s="1007">
        <f>+'Tax Rec'!H79</f>
        <v>0</v>
      </c>
      <c r="H75" s="1007"/>
    </row>
    <row r="76" spans="1:8" customFormat="1" ht="12.75" hidden="1" customHeight="1">
      <c r="A76" s="1004" t="str">
        <f>'Tax Rec'!C82 &amp; " " &amp; 'Tax Rec'!D82 &amp; " " &amp; 'Tax Rec'!E82</f>
        <v xml:space="preserve">Small business skills and training boost (20% bonus deduction for 2023 &amp; 2024 only)  </v>
      </c>
      <c r="F76" s="983"/>
      <c r="G76" s="1007">
        <f>+'Tax Rec'!H82</f>
        <v>0</v>
      </c>
      <c r="H76" s="1007"/>
    </row>
    <row r="77" spans="1:8" customFormat="1" ht="12.75" hidden="1" customHeight="1">
      <c r="A77" s="1004" t="str">
        <f>'Tax Rec'!C83 &amp; " " &amp; 'Tax Rec'!D83 &amp; " " &amp; 'Tax Rec'!E83</f>
        <v xml:space="preserve">Other  </v>
      </c>
      <c r="F77" s="983"/>
      <c r="G77" s="1007">
        <f>+'Tax Rec'!H83</f>
        <v>0</v>
      </c>
      <c r="H77" s="1007"/>
    </row>
    <row r="78" spans="1:8" customFormat="1" ht="12.75" hidden="1" customHeight="1">
      <c r="A78" s="1004" t="str">
        <f>'Tax Rec'!C84 &amp; " " &amp; 'Tax Rec'!D84 &amp; " " &amp; 'Tax Rec'!E84</f>
        <v xml:space="preserve">   - as required</v>
      </c>
      <c r="F78" s="983"/>
      <c r="G78" s="1007">
        <f>+'Tax Rec'!H84</f>
        <v>0</v>
      </c>
      <c r="H78" s="1007"/>
    </row>
    <row r="79" spans="1:8" customFormat="1" ht="12.75" hidden="1" customHeight="1">
      <c r="A79" s="1004" t="str">
        <f>'Tax Rec'!C85 &amp; " " &amp; 'Tax Rec'!D85 &amp; " " &amp; 'Tax Rec'!E85</f>
        <v xml:space="preserve">   - as required</v>
      </c>
      <c r="F79" s="983"/>
      <c r="G79" s="1007">
        <f>+'Tax Rec'!H85</f>
        <v>0</v>
      </c>
      <c r="H79" s="1008"/>
    </row>
    <row r="80" spans="1:8" customFormat="1" ht="12.75" customHeight="1">
      <c r="A80" s="1004" t="str">
        <f>'Tax Rec'!C86 &amp; " " &amp; 'Tax Rec'!D86 &amp; " " &amp; 'Tax Rec'!E86</f>
        <v xml:space="preserve">  </v>
      </c>
      <c r="F80" s="983"/>
      <c r="G80" s="1009"/>
      <c r="H80" s="1007">
        <f>-SUM(G50:G79)</f>
        <v>-100000</v>
      </c>
    </row>
    <row r="81" spans="1:9" customFormat="1" ht="12.75" customHeight="1">
      <c r="A81" s="1004" t="str">
        <f>'Tax Rec'!C87 &amp; " " &amp; 'Tax Rec'!D87 &amp; " " &amp; 'Tax Rec'!E87</f>
        <v xml:space="preserve">  </v>
      </c>
      <c r="F81" s="983"/>
      <c r="G81" s="1007"/>
      <c r="H81" s="1007"/>
    </row>
    <row r="82" spans="1:9" customFormat="1" ht="12.75" customHeight="1">
      <c r="A82" s="1004" t="str">
        <f>'Tax Rec'!C88 &amp; " " &amp; 'Tax Rec'!D88 &amp; " " &amp; 'Tax Rec'!E88</f>
        <v xml:space="preserve">Tax losses deducted  </v>
      </c>
      <c r="F82" s="983"/>
      <c r="G82" s="1008"/>
      <c r="H82" s="1007">
        <f>-'Tax Rec'!H88</f>
        <v>0</v>
      </c>
    </row>
    <row r="83" spans="1:9" customFormat="1" ht="12.75" customHeight="1">
      <c r="A83" s="1004" t="str">
        <f>'Tax Rec'!C89 &amp; " " &amp; 'Tax Rec'!D89 &amp; " " &amp; 'Tax Rec'!E89</f>
        <v xml:space="preserve">Tax losses transferred in  </v>
      </c>
      <c r="F83" s="983"/>
      <c r="G83" s="1008"/>
      <c r="H83" s="1007">
        <f>-'Tax Rec'!H89</f>
        <v>0</v>
      </c>
    </row>
    <row r="84" spans="1:9" customFormat="1" ht="12.75" customHeight="1">
      <c r="F84" s="983"/>
      <c r="G84" s="1008"/>
      <c r="H84" s="1007"/>
    </row>
    <row r="85" spans="1:9" s="1001" customFormat="1" ht="20.100000000000001" customHeight="1">
      <c r="A85" s="1000"/>
      <c r="B85" s="1763" t="s">
        <v>1256</v>
      </c>
      <c r="C85" s="997"/>
      <c r="D85" s="997"/>
      <c r="E85" s="997"/>
      <c r="F85" s="983"/>
      <c r="G85" s="1008"/>
      <c r="H85" s="1764">
        <f>SUM(H7:H84)</f>
        <v>50000</v>
      </c>
      <c r="I85" s="999"/>
    </row>
    <row r="86" spans="1:9">
      <c r="G86" s="1010"/>
    </row>
  </sheetData>
  <customSheetViews>
    <customSheetView guid="{BCBE45D4-3C45-4659-992E-5C5D3E9FD81C}" showGridLines="0" fitToPage="1" hiddenRows="1">
      <selection activeCell="N80" sqref="N80"/>
      <pageMargins left="0.59055118110236227" right="0.43307086614173229" top="0.6692913385826772" bottom="0.94488188976377963" header="0.51181102362204722" footer="0.39370078740157483"/>
      <printOptions horizontalCentered="1"/>
      <pageSetup paperSize="9" scale="97" firstPageNumber="0" fitToHeight="999" orientation="portrait" r:id="rId1"/>
      <headerFooter alignWithMargins="0"/>
    </customSheetView>
    <customSheetView guid="{C24F3A9E-A8AA-4925-82D2-3EFABA416C15}" showGridLines="0" fitToPage="1" hiddenRows="1">
      <selection activeCell="N80" sqref="N80"/>
      <pageMargins left="0.59055118110236227" right="0.43307086614173229" top="0.6692913385826772" bottom="0.94488188976377963" header="0.51181102362204722" footer="0.39370078740157483"/>
      <printOptions horizontalCentered="1"/>
      <pageSetup paperSize="9" scale="97" firstPageNumber="0" fitToHeight="999" orientation="portrait" r:id="rId2"/>
      <headerFooter alignWithMargins="0"/>
    </customSheetView>
  </customSheetViews>
  <phoneticPr fontId="19" type="noConversion"/>
  <hyperlinks>
    <hyperlink ref="N3" location="'WPIndex'!A1" display="Back to Workpaper Index" xr:uid="{CA2B8F62-5E44-4DEC-8A25-7BA85D75025D}"/>
  </hyperlinks>
  <printOptions horizontalCentered="1"/>
  <pageMargins left="0.43307086614173229" right="0.43307086614173229" top="0.6692913385826772" bottom="0.94488188976377963" header="0.51181102362204722" footer="0.39370078740157483"/>
  <pageSetup paperSize="9" firstPageNumber="0" fitToHeight="999"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25957" r:id="rId6" name="Button 5">
              <controlPr defaultSize="0" print="0" autoFill="0" autoPict="0" macro="[0]!FormatFinancialTaxRec">
                <anchor moveWithCells="1">
                  <from>
                    <xdr:col>9</xdr:col>
                    <xdr:colOff>0</xdr:colOff>
                    <xdr:row>1</xdr:row>
                    <xdr:rowOff>114300</xdr:rowOff>
                  </from>
                  <to>
                    <xdr:col>10</xdr:col>
                    <xdr:colOff>247650</xdr:colOff>
                    <xdr:row>4</xdr:row>
                    <xdr:rowOff>95250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37D30-532B-48F5-B760-242E2BBC2EA9}">
  <sheetPr codeName="Sheet12">
    <tabColor theme="8" tint="0.79998168889431442"/>
  </sheetPr>
  <dimension ref="A1:I234"/>
  <sheetViews>
    <sheetView zoomScaleNormal="100" workbookViewId="0">
      <selection sqref="A1:F1"/>
    </sheetView>
  </sheetViews>
  <sheetFormatPr defaultColWidth="9.140625" defaultRowHeight="12.75"/>
  <cols>
    <col min="1" max="1" width="14.5703125" style="3426" customWidth="1"/>
    <col min="2" max="2" width="15" style="3426" customWidth="1"/>
    <col min="3" max="3" width="10.85546875" style="3426" bestFit="1" customWidth="1"/>
    <col min="4" max="4" width="15" style="3426" bestFit="1" customWidth="1"/>
    <col min="5" max="5" width="24" style="3426" customWidth="1"/>
    <col min="6" max="6" width="16.28515625" style="3426" bestFit="1" customWidth="1"/>
    <col min="7" max="7" width="12.85546875" style="3426" bestFit="1" customWidth="1"/>
    <col min="8" max="8" width="0" style="3426" hidden="1" customWidth="1"/>
    <col min="9" max="16384" width="9.140625" style="3426"/>
  </cols>
  <sheetData>
    <row r="1" spans="1:9" ht="15">
      <c r="D1" s="3427"/>
      <c r="E1" s="3428" t="s">
        <v>2425</v>
      </c>
      <c r="F1" s="3576" t="s">
        <v>2804</v>
      </c>
    </row>
    <row r="2" spans="1:9" ht="15.75">
      <c r="D2" s="3429"/>
      <c r="E2" s="3429"/>
      <c r="F2" s="3430"/>
    </row>
    <row r="3" spans="1:9">
      <c r="D3" s="3430"/>
      <c r="E3" s="3431" t="s">
        <v>1163</v>
      </c>
      <c r="F3" s="3431" t="s">
        <v>1262</v>
      </c>
    </row>
    <row r="4" spans="1:9" ht="17.25" customHeight="1">
      <c r="D4" s="3432" t="s">
        <v>332</v>
      </c>
      <c r="E4" s="2617" t="str">
        <f>IF(PreparedBy="","",PreparedBy)</f>
        <v/>
      </c>
      <c r="F4" s="2618" t="str">
        <f>IF(DatePrepared="","",DatePrepared)</f>
        <v/>
      </c>
    </row>
    <row r="5" spans="1:9" ht="17.25" customHeight="1">
      <c r="D5" s="3432" t="s">
        <v>333</v>
      </c>
      <c r="E5" s="3433"/>
      <c r="F5" s="3434"/>
    </row>
    <row r="6" spans="1:9" ht="3.75" customHeight="1"/>
    <row r="7" spans="1:9" ht="15.75">
      <c r="A7" s="3835" t="s">
        <v>2587</v>
      </c>
      <c r="B7" s="3836"/>
      <c r="C7" s="3836"/>
      <c r="D7" s="3836"/>
      <c r="E7" s="3836"/>
      <c r="F7" s="3837"/>
      <c r="G7" s="3429"/>
      <c r="H7" s="3429"/>
    </row>
    <row r="8" spans="1:9" s="3435" customFormat="1">
      <c r="B8" s="3436"/>
      <c r="C8" s="3436"/>
      <c r="D8" s="3436"/>
      <c r="E8" s="3436"/>
      <c r="F8" s="3456" t="s">
        <v>2526</v>
      </c>
      <c r="G8" s="3436"/>
      <c r="H8" s="3399" t="s">
        <v>2526</v>
      </c>
      <c r="I8" s="3437"/>
    </row>
    <row r="9" spans="1:9" s="3435" customFormat="1" ht="15.75">
      <c r="A9" s="1771" t="str">
        <f>"CLIENT NAME:   "&amp;IF(ClientName="[ENTER CLIENT NAME]","",ClientName)</f>
        <v>CLIENT NAME:   Example Trust</v>
      </c>
      <c r="B9" s="3436"/>
      <c r="C9" s="3436"/>
      <c r="D9" s="3436"/>
      <c r="E9" s="3436"/>
      <c r="F9" s="3438"/>
      <c r="G9" s="3436"/>
      <c r="H9" s="3436"/>
      <c r="I9" s="3437"/>
    </row>
    <row r="10" spans="1:9" s="3435" customFormat="1">
      <c r="A10" s="3424" t="str">
        <f>"CLIENT CODE:   "&amp;'WP Index'!E4</f>
        <v>CLIENT CODE:   99999</v>
      </c>
      <c r="B10" s="3436"/>
      <c r="C10" s="3436"/>
      <c r="D10" s="3436"/>
      <c r="E10" s="3440" t="s">
        <v>951</v>
      </c>
      <c r="F10" s="3441">
        <f>'WP Index'!G5</f>
        <v>45473</v>
      </c>
      <c r="H10" s="3441">
        <v>45107</v>
      </c>
      <c r="I10" s="3437"/>
    </row>
    <row r="11" spans="1:9" s="3435" customFormat="1">
      <c r="A11" s="3439"/>
      <c r="B11" s="3436"/>
      <c r="C11" s="3436"/>
      <c r="D11" s="3436"/>
      <c r="E11" s="3440"/>
      <c r="F11" s="3441"/>
      <c r="H11" s="3441"/>
      <c r="I11" s="3437"/>
    </row>
    <row r="12" spans="1:9" ht="127.5" customHeight="1">
      <c r="A12" s="3838" t="s">
        <v>2588</v>
      </c>
      <c r="B12" s="3838"/>
      <c r="C12" s="3838"/>
      <c r="D12" s="3838"/>
      <c r="E12" s="3838"/>
      <c r="F12" s="3838"/>
    </row>
    <row r="13" spans="1:9">
      <c r="A13" s="3442"/>
      <c r="B13" s="3442"/>
      <c r="C13" s="3442"/>
      <c r="D13" s="3442"/>
      <c r="E13" s="3442"/>
      <c r="F13" s="3442"/>
    </row>
    <row r="14" spans="1:9">
      <c r="A14" s="3443" t="s">
        <v>2589</v>
      </c>
    </row>
    <row r="15" spans="1:9">
      <c r="A15" s="3443"/>
    </row>
    <row r="16" spans="1:9" ht="13.5" thickBot="1"/>
    <row r="17" spans="1:8">
      <c r="A17" s="3444" t="s">
        <v>2590</v>
      </c>
      <c r="B17" s="3839">
        <f>F10</f>
        <v>45473</v>
      </c>
      <c r="C17" s="3839"/>
      <c r="D17" s="3839"/>
      <c r="E17" s="3445"/>
      <c r="F17" s="3446"/>
      <c r="H17" s="3447" t="s">
        <v>2591</v>
      </c>
    </row>
    <row r="18" spans="1:8">
      <c r="A18" s="3448" t="s">
        <v>2592</v>
      </c>
      <c r="B18" s="3840"/>
      <c r="C18" s="3840"/>
      <c r="D18" s="3840"/>
      <c r="E18" s="3460"/>
      <c r="F18" s="3449"/>
    </row>
    <row r="19" spans="1:8">
      <c r="A19" s="3448" t="s">
        <v>2593</v>
      </c>
      <c r="B19" s="3840"/>
      <c r="C19" s="3840"/>
      <c r="D19" s="3840"/>
      <c r="E19" s="3460"/>
      <c r="F19" s="3449"/>
      <c r="H19" s="3426" t="s">
        <v>2594</v>
      </c>
    </row>
    <row r="20" spans="1:8">
      <c r="A20" s="3448" t="s">
        <v>2595</v>
      </c>
      <c r="B20" s="3840" t="s">
        <v>2594</v>
      </c>
      <c r="C20" s="3840"/>
      <c r="D20" s="3840"/>
      <c r="E20" s="3461" t="s">
        <v>2616</v>
      </c>
      <c r="F20" s="3457">
        <f>'Tax Rec'!I11</f>
        <v>90000</v>
      </c>
      <c r="H20" s="3426" t="s">
        <v>2596</v>
      </c>
    </row>
    <row r="21" spans="1:8">
      <c r="A21" s="3448"/>
      <c r="B21" s="3460"/>
      <c r="C21" s="3460"/>
      <c r="D21" s="3460"/>
      <c r="E21" s="3460"/>
      <c r="F21" s="3449"/>
      <c r="H21" s="3426" t="s">
        <v>2597</v>
      </c>
    </row>
    <row r="22" spans="1:8">
      <c r="A22" s="3448"/>
      <c r="B22" s="3460"/>
      <c r="C22" s="3460"/>
      <c r="D22" s="3460"/>
      <c r="E22" s="3462" t="s">
        <v>2617</v>
      </c>
      <c r="F22" s="3449"/>
    </row>
    <row r="23" spans="1:8">
      <c r="A23" s="3448" t="s">
        <v>1961</v>
      </c>
      <c r="B23" s="3459"/>
      <c r="C23" s="3458" t="s">
        <v>2598</v>
      </c>
      <c r="D23" s="3459"/>
      <c r="E23" s="3458" t="s">
        <v>2599</v>
      </c>
      <c r="F23" s="3450">
        <f>'Tax Rec'!E160</f>
        <v>45000</v>
      </c>
    </row>
    <row r="24" spans="1:8">
      <c r="A24" s="3448" t="s">
        <v>1962</v>
      </c>
      <c r="B24" s="3459"/>
      <c r="C24" s="3458" t="s">
        <v>2600</v>
      </c>
      <c r="D24" s="3459"/>
      <c r="E24" s="3458" t="s">
        <v>2601</v>
      </c>
      <c r="F24" s="3450">
        <f>'Tax Rec'!E161</f>
        <v>0</v>
      </c>
    </row>
    <row r="25" spans="1:8">
      <c r="A25" s="3448" t="s">
        <v>1963</v>
      </c>
      <c r="B25" s="3459"/>
      <c r="C25" s="3458" t="s">
        <v>2602</v>
      </c>
      <c r="D25" s="3459"/>
      <c r="E25" s="3458" t="s">
        <v>2603</v>
      </c>
      <c r="F25" s="3450">
        <f>'Tax Rec'!E162</f>
        <v>0</v>
      </c>
    </row>
    <row r="26" spans="1:8">
      <c r="A26" s="3448" t="s">
        <v>1964</v>
      </c>
      <c r="B26" s="3459"/>
      <c r="C26" s="3458" t="s">
        <v>2604</v>
      </c>
      <c r="D26" s="3459"/>
      <c r="E26" s="3458" t="s">
        <v>2605</v>
      </c>
      <c r="F26" s="3450">
        <f>'Tax Rec'!E163</f>
        <v>0</v>
      </c>
    </row>
    <row r="27" spans="1:8">
      <c r="A27" s="3448" t="s">
        <v>1965</v>
      </c>
      <c r="B27" s="3459"/>
      <c r="C27" s="3458" t="s">
        <v>2606</v>
      </c>
      <c r="D27" s="3459"/>
      <c r="E27" s="3458" t="s">
        <v>2607</v>
      </c>
      <c r="F27" s="3450">
        <f>'Tax Rec'!E164</f>
        <v>0</v>
      </c>
    </row>
    <row r="28" spans="1:8">
      <c r="A28" s="3448"/>
      <c r="B28" s="3458"/>
      <c r="C28" s="3458"/>
      <c r="D28" s="3458"/>
      <c r="E28" s="3458" t="s">
        <v>1129</v>
      </c>
      <c r="F28" s="3467">
        <f>SUM(F23:F27)</f>
        <v>45000</v>
      </c>
    </row>
    <row r="29" spans="1:8" ht="13.5" thickBot="1">
      <c r="A29" s="3463"/>
      <c r="B29" s="3464"/>
      <c r="C29" s="3464"/>
      <c r="D29" s="3464"/>
      <c r="E29" s="3451" t="s">
        <v>1339</v>
      </c>
      <c r="F29" s="3465">
        <f>F20-F28</f>
        <v>45000</v>
      </c>
    </row>
    <row r="30" spans="1:8">
      <c r="A30" s="3460"/>
      <c r="B30" s="3460"/>
      <c r="C30" s="3460"/>
      <c r="D30" s="3460"/>
      <c r="E30" s="3460"/>
      <c r="F30" s="3466"/>
    </row>
    <row r="32" spans="1:8">
      <c r="A32" s="3426" t="str">
        <f>"Dear "&amp;$B23</f>
        <v xml:space="preserve">Dear </v>
      </c>
      <c r="G32" s="3447" t="s">
        <v>1961</v>
      </c>
    </row>
    <row r="34" spans="1:7">
      <c r="A34" s="3447" t="s">
        <v>2608</v>
      </c>
    </row>
    <row r="36" spans="1:7" ht="25.5" customHeight="1">
      <c r="A36" s="3838" t="str">
        <f>IF($B$20="Individual Trustee","I act as the trustee of "&amp;$B$18&amp;" and have ",IF($B$20="Corporate Trustee",$B$19&amp;" acts as the trustee of "&amp;$B$18&amp;" and has ",IF($B$20="Multiple Trustees","We act as the trustees of "&amp;$B$18&amp;" and have ","")))&amp;"resolved in the income year ended "&amp;TEXT($B$17,"d mmmm yyyy")&amp;" to make you presently entitled to "&amp;TEXT($F23,"$###,##0.00")&amp;" (Appointment)."</f>
        <v>I act as the trustee of  and have resolved in the income year ended 30 June 2024 to make you presently entitled to $45,000.00 (Appointment).</v>
      </c>
      <c r="B36" s="3838"/>
      <c r="C36" s="3838"/>
      <c r="D36" s="3838"/>
      <c r="E36" s="3838"/>
      <c r="F36" s="3442"/>
      <c r="G36" s="3442"/>
    </row>
    <row r="38" spans="1:7" ht="51" customHeight="1">
      <c r="A38" s="3838" t="str">
        <f>"The purpose of this letter is to inform you of the Appointment and to request that you confirm that you have been notified of the Appointment, and that you are aware of your entitlement from the Trust, "&amp;"by signing the acknowledgement at the bottom of this page and returning this document to the "&amp;IF($B$20="Multiple Trustees","Trustees.","Trustee.")</f>
        <v>The purpose of this letter is to inform you of the Appointment and to request that you confirm that you have been notified of the Appointment, and that you are aware of your entitlement from the Trust, by signing the acknowledgement at the bottom of this page and returning this document to the Trustee.</v>
      </c>
      <c r="B38" s="3838"/>
      <c r="C38" s="3838"/>
      <c r="D38" s="3838"/>
      <c r="E38" s="3838"/>
      <c r="F38" s="3442"/>
      <c r="G38" s="3442"/>
    </row>
    <row r="40" spans="1:7">
      <c r="A40" s="3426" t="s">
        <v>2609</v>
      </c>
    </row>
    <row r="43" spans="1:7">
      <c r="A43" s="3426">
        <f>$B$19</f>
        <v>0</v>
      </c>
    </row>
    <row r="44" spans="1:7">
      <c r="A44" s="3426" t="str">
        <f>IF($B$20="Multiple Trustees","Trustees","Trustee")</f>
        <v>Trustee</v>
      </c>
    </row>
    <row r="46" spans="1:7">
      <c r="A46" s="3452"/>
      <c r="B46" s="3452"/>
      <c r="C46" s="3452"/>
      <c r="D46" s="3452"/>
      <c r="E46" s="3452"/>
    </row>
    <row r="49" spans="1:7" ht="25.5" customHeight="1">
      <c r="A49" s="3838" t="str">
        <f>"I, "&amp;IF(ISBLANK($D23),$B23,$B23&amp;" "&amp;$D23)&amp;", hereby acknowledge that I am aware that I have been made presently entitled to the Appointment."</f>
        <v>I, , hereby acknowledge that I am aware that I have been made presently entitled to the Appointment.</v>
      </c>
      <c r="B49" s="3838"/>
      <c r="C49" s="3838"/>
      <c r="D49" s="3838"/>
      <c r="E49" s="3838"/>
      <c r="F49" s="3442"/>
      <c r="G49" s="3442"/>
    </row>
    <row r="50" spans="1:7">
      <c r="A50" s="3442"/>
      <c r="B50" s="3442"/>
      <c r="C50" s="3442"/>
      <c r="D50" s="3442"/>
      <c r="E50" s="3442"/>
      <c r="F50" s="3442"/>
      <c r="G50" s="3442"/>
    </row>
    <row r="51" spans="1:7">
      <c r="A51" s="3426" t="str">
        <f>"I ask that the "&amp;IF($B$20="Multiple Trustees","Trustees","Trustee")&amp;" (select the appropriate option):"</f>
        <v>I ask that the Trustee (select the appropriate option):</v>
      </c>
    </row>
    <row r="53" spans="1:7" ht="45" customHeight="1">
      <c r="A53" s="3453" t="s">
        <v>2610</v>
      </c>
      <c r="B53" s="3834" t="s">
        <v>2611</v>
      </c>
      <c r="C53" s="3834"/>
      <c r="D53" s="3834"/>
      <c r="E53" s="3834"/>
      <c r="F53" s="3454"/>
      <c r="G53" s="3454"/>
    </row>
    <row r="54" spans="1:7" ht="45" customHeight="1">
      <c r="A54" s="3453" t="s">
        <v>2610</v>
      </c>
      <c r="B54" s="3834" t="s">
        <v>2612</v>
      </c>
      <c r="C54" s="3834"/>
      <c r="D54" s="3834"/>
      <c r="E54" s="3834"/>
      <c r="F54" s="3454"/>
      <c r="G54" s="3454"/>
    </row>
    <row r="55" spans="1:7" ht="45" customHeight="1">
      <c r="A55" s="3453" t="s">
        <v>2610</v>
      </c>
      <c r="B55" s="3834" t="s">
        <v>2613</v>
      </c>
      <c r="C55" s="3834"/>
      <c r="D55" s="3834"/>
      <c r="E55" s="3834"/>
      <c r="F55" s="3454"/>
      <c r="G55" s="3454"/>
    </row>
    <row r="56" spans="1:7">
      <c r="A56" s="3455"/>
      <c r="B56" s="3455"/>
      <c r="C56" s="3455"/>
      <c r="D56" s="3455"/>
      <c r="E56" s="3455"/>
      <c r="F56" s="3454"/>
      <c r="G56" s="3454"/>
    </row>
    <row r="58" spans="1:7">
      <c r="A58" s="3426" t="s">
        <v>2614</v>
      </c>
      <c r="B58" s="3452"/>
      <c r="C58" s="3452"/>
    </row>
    <row r="61" spans="1:7">
      <c r="A61" s="3426" t="s">
        <v>1116</v>
      </c>
      <c r="B61" s="3452"/>
      <c r="C61" s="3452"/>
    </row>
    <row r="64" spans="1:7">
      <c r="A64" s="3426" t="s">
        <v>2615</v>
      </c>
      <c r="B64" s="3452"/>
      <c r="C64" s="3452"/>
    </row>
    <row r="67" spans="1:7">
      <c r="A67" s="3426" t="s">
        <v>2810</v>
      </c>
    </row>
    <row r="68" spans="1:7" ht="26.1" customHeight="1">
      <c r="A68" s="3426" t="s">
        <v>2807</v>
      </c>
      <c r="B68" s="3452"/>
      <c r="C68" s="3452"/>
    </row>
    <row r="69" spans="1:7" ht="26.1" customHeight="1">
      <c r="A69" s="3426" t="s">
        <v>2808</v>
      </c>
      <c r="B69" s="3452"/>
      <c r="C69" s="3452"/>
    </row>
    <row r="70" spans="1:7" ht="26.1" customHeight="1">
      <c r="A70" s="3426" t="s">
        <v>2809</v>
      </c>
      <c r="B70" s="3452"/>
      <c r="C70" s="3452"/>
    </row>
    <row r="73" spans="1:7">
      <c r="A73" s="3426" t="str">
        <f>"Dear "&amp;$B24</f>
        <v xml:space="preserve">Dear </v>
      </c>
      <c r="G73" s="3447" t="s">
        <v>1962</v>
      </c>
    </row>
    <row r="75" spans="1:7">
      <c r="A75" s="3447" t="s">
        <v>2608</v>
      </c>
    </row>
    <row r="77" spans="1:7" ht="25.5" customHeight="1">
      <c r="A77" s="3838" t="str">
        <f>IF($B$20="Individual Trustee","I act as the trustee of "&amp;$B$18&amp;" and have ",IF($B$20="Corporate Trustee",$B$19&amp;" acts as the trustee of "&amp;$B$18&amp;" and has ",IF($B$20="Multiple Trustees","We act as the trustees of "&amp;$B$18&amp;" and have ","")))&amp;"resolved in the income year ended "&amp;TEXT($B$17,"d mmmm yyyy")&amp;" to make you presently entitled to "&amp;TEXT($F24,"$###,##0.00")&amp;" (Appointment)."</f>
        <v>I act as the trustee of  and have resolved in the income year ended 30 June 2024 to make you presently entitled to $0.00 (Appointment).</v>
      </c>
      <c r="B77" s="3838"/>
      <c r="C77" s="3838"/>
      <c r="D77" s="3838"/>
      <c r="E77" s="3838"/>
      <c r="F77" s="3442"/>
      <c r="G77" s="3442"/>
    </row>
    <row r="79" spans="1:7" ht="51" customHeight="1">
      <c r="A79" s="3838" t="str">
        <f>"The purpose of this letter is to inform you of the Appointment and to request that you confirm that you have been notified of the Appointment, and that you are aware of your entitlement from the Trust, "&amp;"by signing the acknowledgement at the bottom of this page and returning this document to the "&amp;IF($B$20="Multiple Trustees","Trustees.","Trustee.")</f>
        <v>The purpose of this letter is to inform you of the Appointment and to request that you confirm that you have been notified of the Appointment, and that you are aware of your entitlement from the Trust, by signing the acknowledgement at the bottom of this page and returning this document to the Trustee.</v>
      </c>
      <c r="B79" s="3838"/>
      <c r="C79" s="3838"/>
      <c r="D79" s="3838"/>
      <c r="E79" s="3838"/>
      <c r="F79" s="3442"/>
      <c r="G79" s="3442"/>
    </row>
    <row r="81" spans="1:7">
      <c r="A81" s="3426" t="s">
        <v>2609</v>
      </c>
    </row>
    <row r="84" spans="1:7">
      <c r="A84" s="3426">
        <f>$B$19</f>
        <v>0</v>
      </c>
    </row>
    <row r="85" spans="1:7">
      <c r="A85" s="3426" t="str">
        <f>IF($B$20="Multiple Trustees","Trustees","Trustee")</f>
        <v>Trustee</v>
      </c>
    </row>
    <row r="87" spans="1:7">
      <c r="A87" s="3452"/>
      <c r="B87" s="3452"/>
      <c r="C87" s="3452"/>
      <c r="D87" s="3452"/>
      <c r="E87" s="3452"/>
    </row>
    <row r="90" spans="1:7" ht="25.5" customHeight="1">
      <c r="A90" s="3838" t="str">
        <f>"I, "&amp;IF(ISBLANK($D24),$B24,$B24&amp;" "&amp;$D24)&amp;", hereby acknowledge that I am aware that I have been made presently entitled to the Appointment."</f>
        <v>I, , hereby acknowledge that I am aware that I have been made presently entitled to the Appointment.</v>
      </c>
      <c r="B90" s="3838"/>
      <c r="C90" s="3838"/>
      <c r="D90" s="3838"/>
      <c r="E90" s="3838"/>
      <c r="F90" s="3442"/>
      <c r="G90" s="3442"/>
    </row>
    <row r="91" spans="1:7">
      <c r="A91" s="3442"/>
      <c r="B91" s="3442"/>
      <c r="C91" s="3442"/>
      <c r="D91" s="3442"/>
      <c r="E91" s="3442"/>
      <c r="F91" s="3442"/>
      <c r="G91" s="3442"/>
    </row>
    <row r="92" spans="1:7">
      <c r="A92" s="3426" t="str">
        <f>"I ask that the "&amp;IF($B$20="Multiple Trustees","Trustees","Trustee")&amp;" (select the appropriate option):"</f>
        <v>I ask that the Trustee (select the appropriate option):</v>
      </c>
    </row>
    <row r="94" spans="1:7" ht="45" customHeight="1">
      <c r="A94" s="3453" t="s">
        <v>2610</v>
      </c>
      <c r="B94" s="3834" t="s">
        <v>2611</v>
      </c>
      <c r="C94" s="3834"/>
      <c r="D94" s="3834"/>
      <c r="E94" s="3834"/>
      <c r="F94" s="3454"/>
      <c r="G94" s="3454"/>
    </row>
    <row r="95" spans="1:7" ht="45" customHeight="1">
      <c r="A95" s="3453" t="s">
        <v>2610</v>
      </c>
      <c r="B95" s="3834" t="s">
        <v>2612</v>
      </c>
      <c r="C95" s="3834"/>
      <c r="D95" s="3834"/>
      <c r="E95" s="3834"/>
      <c r="F95" s="3454"/>
      <c r="G95" s="3454"/>
    </row>
    <row r="96" spans="1:7" ht="45" customHeight="1">
      <c r="A96" s="3453" t="s">
        <v>2610</v>
      </c>
      <c r="B96" s="3834" t="s">
        <v>2613</v>
      </c>
      <c r="C96" s="3834"/>
      <c r="D96" s="3834"/>
      <c r="E96" s="3834"/>
      <c r="F96" s="3454"/>
      <c r="G96" s="3454"/>
    </row>
    <row r="99" spans="1:3">
      <c r="A99" s="3426" t="s">
        <v>2614</v>
      </c>
      <c r="B99" s="3452"/>
      <c r="C99" s="3452"/>
    </row>
    <row r="102" spans="1:3">
      <c r="A102" s="3426" t="s">
        <v>1116</v>
      </c>
      <c r="B102" s="3452"/>
      <c r="C102" s="3452"/>
    </row>
    <row r="105" spans="1:3">
      <c r="A105" s="3426" t="s">
        <v>2615</v>
      </c>
      <c r="B105" s="3452"/>
      <c r="C105" s="3452"/>
    </row>
    <row r="108" spans="1:3">
      <c r="A108" s="3426" t="s">
        <v>2810</v>
      </c>
    </row>
    <row r="109" spans="1:3" ht="26.1" customHeight="1">
      <c r="A109" s="3426" t="s">
        <v>2807</v>
      </c>
      <c r="B109" s="3452"/>
      <c r="C109" s="3452"/>
    </row>
    <row r="110" spans="1:3" ht="26.1" customHeight="1">
      <c r="A110" s="3426" t="s">
        <v>2808</v>
      </c>
      <c r="B110" s="3452"/>
      <c r="C110" s="3452"/>
    </row>
    <row r="111" spans="1:3" ht="26.1" customHeight="1">
      <c r="A111" s="3426" t="s">
        <v>2809</v>
      </c>
      <c r="B111" s="3452"/>
      <c r="C111" s="3452"/>
    </row>
    <row r="114" spans="1:7">
      <c r="A114" s="3426" t="str">
        <f>"Dear "&amp;$B25</f>
        <v xml:space="preserve">Dear </v>
      </c>
      <c r="G114" s="3447" t="s">
        <v>1963</v>
      </c>
    </row>
    <row r="116" spans="1:7">
      <c r="A116" s="3447" t="s">
        <v>2608</v>
      </c>
    </row>
    <row r="118" spans="1:7" ht="25.5" customHeight="1">
      <c r="A118" s="3838" t="str">
        <f>IF($B$20="Individual Trustee","I act as the trustee of "&amp;$B$18&amp;" and have ",IF($B$20="Corporate Trustee",$B$19&amp;" acts as the trustee of "&amp;$B$18&amp;" and has ",IF($B$20="Multiple Trustees","We act as the trustees of "&amp;$B$18&amp;" and have ","")))&amp;"resolved in the income year ended "&amp;TEXT($B$17,"d mmmm yyyy")&amp;" to make you presently entitled to "&amp;TEXT($F25,"$###,##0.00")&amp;" (Appointment)."</f>
        <v>I act as the trustee of  and have resolved in the income year ended 30 June 2024 to make you presently entitled to $0.00 (Appointment).</v>
      </c>
      <c r="B118" s="3838"/>
      <c r="C118" s="3838"/>
      <c r="D118" s="3838"/>
      <c r="E118" s="3838"/>
      <c r="F118" s="3442"/>
      <c r="G118" s="3442"/>
    </row>
    <row r="120" spans="1:7" ht="51" customHeight="1">
      <c r="A120" s="3838" t="str">
        <f>"The purpose of this letter is to inform you of the Appointment and to request that you confirm that you have been notified of the Appointment, and that you are aware of your entitlement from the Trust, "&amp;"by signing the acknowledgement at the bottom of this page and returning this document to the "&amp;IF($B$20="Multiple Trustees","Trustees.","Trustee.")</f>
        <v>The purpose of this letter is to inform you of the Appointment and to request that you confirm that you have been notified of the Appointment, and that you are aware of your entitlement from the Trust, by signing the acknowledgement at the bottom of this page and returning this document to the Trustee.</v>
      </c>
      <c r="B120" s="3838"/>
      <c r="C120" s="3838"/>
      <c r="D120" s="3838"/>
      <c r="E120" s="3838"/>
      <c r="F120" s="3442"/>
      <c r="G120" s="3442"/>
    </row>
    <row r="122" spans="1:7">
      <c r="A122" s="3426" t="s">
        <v>2609</v>
      </c>
    </row>
    <row r="125" spans="1:7">
      <c r="A125" s="3426">
        <f>$B$19</f>
        <v>0</v>
      </c>
    </row>
    <row r="126" spans="1:7">
      <c r="A126" s="3426" t="str">
        <f>IF($B$20="Multiple Trustees","Trustees","Trustee")</f>
        <v>Trustee</v>
      </c>
    </row>
    <row r="128" spans="1:7">
      <c r="A128" s="3452"/>
      <c r="B128" s="3452"/>
      <c r="C128" s="3452"/>
      <c r="D128" s="3452"/>
      <c r="E128" s="3452"/>
    </row>
    <row r="131" spans="1:7" ht="25.5" customHeight="1">
      <c r="A131" s="3838" t="str">
        <f>"I, "&amp;IF(ISBLANK($D25),$B25,$B25&amp;" "&amp;$D25)&amp;", hereby acknowledge that I am aware that I have been made presently entitled to the Appointment."</f>
        <v>I, , hereby acknowledge that I am aware that I have been made presently entitled to the Appointment.</v>
      </c>
      <c r="B131" s="3838"/>
      <c r="C131" s="3838"/>
      <c r="D131" s="3838"/>
      <c r="E131" s="3838"/>
      <c r="F131" s="3442"/>
      <c r="G131" s="3442"/>
    </row>
    <row r="132" spans="1:7">
      <c r="A132" s="3442"/>
      <c r="B132" s="3442"/>
      <c r="C132" s="3442"/>
      <c r="D132" s="3442"/>
      <c r="E132" s="3442"/>
      <c r="F132" s="3442"/>
      <c r="G132" s="3442"/>
    </row>
    <row r="133" spans="1:7">
      <c r="A133" s="3426" t="str">
        <f>"I ask that the "&amp;IF($B$20="Multiple Trustees","Trustees","Trustee")&amp;" (select the appropriate option):"</f>
        <v>I ask that the Trustee (select the appropriate option):</v>
      </c>
    </row>
    <row r="135" spans="1:7" ht="45" customHeight="1">
      <c r="A135" s="3453" t="s">
        <v>2610</v>
      </c>
      <c r="B135" s="3834" t="s">
        <v>2611</v>
      </c>
      <c r="C135" s="3834"/>
      <c r="D135" s="3834"/>
      <c r="E135" s="3834"/>
      <c r="F135" s="3454"/>
      <c r="G135" s="3454"/>
    </row>
    <row r="136" spans="1:7" ht="45" customHeight="1">
      <c r="A136" s="3453" t="s">
        <v>2610</v>
      </c>
      <c r="B136" s="3834" t="s">
        <v>2612</v>
      </c>
      <c r="C136" s="3834"/>
      <c r="D136" s="3834"/>
      <c r="E136" s="3834"/>
      <c r="F136" s="3454"/>
      <c r="G136" s="3454"/>
    </row>
    <row r="137" spans="1:7" ht="45" customHeight="1">
      <c r="A137" s="3453" t="s">
        <v>2610</v>
      </c>
      <c r="B137" s="3834" t="s">
        <v>2613</v>
      </c>
      <c r="C137" s="3834"/>
      <c r="D137" s="3834"/>
      <c r="E137" s="3834"/>
      <c r="F137" s="3454"/>
      <c r="G137" s="3454"/>
    </row>
    <row r="138" spans="1:7">
      <c r="A138" s="3455"/>
      <c r="B138" s="3455"/>
      <c r="C138" s="3455"/>
      <c r="D138" s="3455"/>
      <c r="E138" s="3455"/>
      <c r="F138" s="3454"/>
      <c r="G138" s="3454"/>
    </row>
    <row r="140" spans="1:7">
      <c r="A140" s="3426" t="s">
        <v>2614</v>
      </c>
      <c r="B140" s="3452"/>
      <c r="C140" s="3452"/>
    </row>
    <row r="143" spans="1:7">
      <c r="A143" s="3426" t="s">
        <v>1116</v>
      </c>
      <c r="B143" s="3452"/>
      <c r="C143" s="3452"/>
    </row>
    <row r="146" spans="1:7">
      <c r="A146" s="3426" t="s">
        <v>2615</v>
      </c>
      <c r="B146" s="3452"/>
      <c r="C146" s="3452"/>
    </row>
    <row r="149" spans="1:7">
      <c r="A149" s="3426" t="s">
        <v>2810</v>
      </c>
    </row>
    <row r="150" spans="1:7" ht="26.1" customHeight="1">
      <c r="A150" s="3426" t="s">
        <v>2807</v>
      </c>
      <c r="B150" s="3452"/>
      <c r="C150" s="3452"/>
    </row>
    <row r="151" spans="1:7" ht="26.1" customHeight="1">
      <c r="A151" s="3426" t="s">
        <v>2808</v>
      </c>
      <c r="B151" s="3452"/>
      <c r="C151" s="3452"/>
    </row>
    <row r="152" spans="1:7" ht="26.1" customHeight="1">
      <c r="A152" s="3426" t="s">
        <v>2809</v>
      </c>
      <c r="B152" s="3452"/>
      <c r="C152" s="3452"/>
    </row>
    <row r="155" spans="1:7">
      <c r="A155" s="3426" t="str">
        <f>"Dear "&amp;$B26</f>
        <v xml:space="preserve">Dear </v>
      </c>
      <c r="G155" s="3447" t="s">
        <v>1964</v>
      </c>
    </row>
    <row r="157" spans="1:7">
      <c r="A157" s="3447" t="s">
        <v>2608</v>
      </c>
    </row>
    <row r="159" spans="1:7" ht="25.5" customHeight="1">
      <c r="A159" s="3838" t="str">
        <f>IF($B$20="Individual Trustee","I act as the trustee of "&amp;$B$18&amp;" and have ",IF($B$20="Corporate Trustee",$B$19&amp;" acts as the trustee of "&amp;$B$18&amp;" and has ",IF($B$20="Multiple Trustees","We act as the trustees of "&amp;$B$18&amp;" and have ","")))&amp;"resolved in the income year ended "&amp;TEXT($B$17,"d mmmm yyyy")&amp;" to make you presently entitled to "&amp;TEXT($F26,"$###,##0.00")&amp;" (Appointment)."</f>
        <v>I act as the trustee of  and have resolved in the income year ended 30 June 2024 to make you presently entitled to $0.00 (Appointment).</v>
      </c>
      <c r="B159" s="3838"/>
      <c r="C159" s="3838"/>
      <c r="D159" s="3838"/>
      <c r="E159" s="3838"/>
      <c r="F159" s="3442"/>
      <c r="G159" s="3442"/>
    </row>
    <row r="161" spans="1:7" ht="51" customHeight="1">
      <c r="A161" s="3838" t="str">
        <f>"The purpose of this letter is to inform you of the Appointment and to request that you confirm that you have been notified of the Appointment, and that you are aware of your entitlement from the Trust, "&amp;"by signing the acknowledgement at the bottom of this page and returning this document to the "&amp;IF($B$20="Multiple Trustees","Trustees.","Trustee.")</f>
        <v>The purpose of this letter is to inform you of the Appointment and to request that you confirm that you have been notified of the Appointment, and that you are aware of your entitlement from the Trust, by signing the acknowledgement at the bottom of this page and returning this document to the Trustee.</v>
      </c>
      <c r="B161" s="3838"/>
      <c r="C161" s="3838"/>
      <c r="D161" s="3838"/>
      <c r="E161" s="3838"/>
      <c r="F161" s="3442"/>
      <c r="G161" s="3442"/>
    </row>
    <row r="163" spans="1:7">
      <c r="A163" s="3426" t="s">
        <v>2609</v>
      </c>
    </row>
    <row r="166" spans="1:7">
      <c r="A166" s="3426">
        <f>$B$19</f>
        <v>0</v>
      </c>
    </row>
    <row r="167" spans="1:7">
      <c r="A167" s="3426" t="str">
        <f>IF($B$20="Multiple Trustees","Trustees","Trustee")</f>
        <v>Trustee</v>
      </c>
    </row>
    <row r="169" spans="1:7">
      <c r="A169" s="3452"/>
      <c r="B169" s="3452"/>
      <c r="C169" s="3452"/>
      <c r="D169" s="3452"/>
      <c r="E169" s="3452"/>
    </row>
    <row r="172" spans="1:7" ht="25.5" customHeight="1">
      <c r="A172" s="3838" t="str">
        <f>"I, "&amp;IF(ISBLANK($D26),$B26,$B26&amp;" "&amp;$D26)&amp;", hereby acknowledge that I am aware that I have been made presently entitled to the Appointment."</f>
        <v>I, , hereby acknowledge that I am aware that I have been made presently entitled to the Appointment.</v>
      </c>
      <c r="B172" s="3838"/>
      <c r="C172" s="3838"/>
      <c r="D172" s="3838"/>
      <c r="E172" s="3838"/>
      <c r="F172" s="3442"/>
      <c r="G172" s="3442"/>
    </row>
    <row r="173" spans="1:7">
      <c r="A173" s="3442"/>
      <c r="B173" s="3442"/>
      <c r="C173" s="3442"/>
      <c r="D173" s="3442"/>
      <c r="E173" s="3442"/>
      <c r="F173" s="3442"/>
      <c r="G173" s="3442"/>
    </row>
    <row r="174" spans="1:7">
      <c r="A174" s="3426" t="str">
        <f>"I ask that the "&amp;IF($B$20="Multiple Trustees","Trustees","Trustee")&amp;" (select the appropriate option):"</f>
        <v>I ask that the Trustee (select the appropriate option):</v>
      </c>
    </row>
    <row r="176" spans="1:7" ht="45" customHeight="1">
      <c r="A176" s="3453" t="s">
        <v>2610</v>
      </c>
      <c r="B176" s="3834" t="s">
        <v>2611</v>
      </c>
      <c r="C176" s="3834"/>
      <c r="D176" s="3834"/>
      <c r="E176" s="3834"/>
      <c r="F176" s="3454"/>
      <c r="G176" s="3454"/>
    </row>
    <row r="177" spans="1:7" ht="45" customHeight="1">
      <c r="A177" s="3453" t="s">
        <v>2610</v>
      </c>
      <c r="B177" s="3834" t="s">
        <v>2612</v>
      </c>
      <c r="C177" s="3834"/>
      <c r="D177" s="3834"/>
      <c r="E177" s="3834"/>
      <c r="F177" s="3454"/>
      <c r="G177" s="3454"/>
    </row>
    <row r="178" spans="1:7" ht="45" customHeight="1">
      <c r="A178" s="3453" t="s">
        <v>2610</v>
      </c>
      <c r="B178" s="3834" t="s">
        <v>2613</v>
      </c>
      <c r="C178" s="3834"/>
      <c r="D178" s="3834"/>
      <c r="E178" s="3834"/>
      <c r="F178" s="3454"/>
      <c r="G178" s="3454"/>
    </row>
    <row r="179" spans="1:7">
      <c r="A179" s="3455"/>
      <c r="B179" s="3455"/>
      <c r="C179" s="3455"/>
      <c r="D179" s="3455"/>
      <c r="E179" s="3455"/>
      <c r="F179" s="3454"/>
      <c r="G179" s="3454"/>
    </row>
    <row r="181" spans="1:7">
      <c r="A181" s="3426" t="s">
        <v>2614</v>
      </c>
      <c r="B181" s="3452"/>
      <c r="C181" s="3452"/>
    </row>
    <row r="184" spans="1:7">
      <c r="A184" s="3426" t="s">
        <v>1116</v>
      </c>
      <c r="B184" s="3452"/>
      <c r="C184" s="3452"/>
    </row>
    <row r="187" spans="1:7">
      <c r="A187" s="3426" t="s">
        <v>2615</v>
      </c>
      <c r="B187" s="3452"/>
      <c r="C187" s="3452"/>
    </row>
    <row r="190" spans="1:7">
      <c r="A190" s="3426" t="s">
        <v>2810</v>
      </c>
    </row>
    <row r="191" spans="1:7" ht="26.1" customHeight="1">
      <c r="A191" s="3426" t="s">
        <v>2807</v>
      </c>
      <c r="B191" s="3452"/>
      <c r="C191" s="3452"/>
    </row>
    <row r="192" spans="1:7" ht="26.1" customHeight="1">
      <c r="A192" s="3426" t="s">
        <v>2808</v>
      </c>
      <c r="B192" s="3452"/>
      <c r="C192" s="3452"/>
    </row>
    <row r="193" spans="1:7" ht="26.1" customHeight="1">
      <c r="A193" s="3426" t="s">
        <v>2809</v>
      </c>
      <c r="B193" s="3452"/>
      <c r="C193" s="3452"/>
    </row>
    <row r="196" spans="1:7">
      <c r="A196" s="3426" t="str">
        <f>"Dear "&amp;$B27</f>
        <v xml:space="preserve">Dear </v>
      </c>
      <c r="G196" s="3447" t="s">
        <v>1965</v>
      </c>
    </row>
    <row r="198" spans="1:7">
      <c r="A198" s="3447" t="s">
        <v>2608</v>
      </c>
    </row>
    <row r="200" spans="1:7" ht="25.5" customHeight="1">
      <c r="A200" s="3838" t="str">
        <f>IF($B$20="Individual Trustee","I act as the trustee of "&amp;$B$18&amp;" and have ",IF($B$20="Corporate Trustee",$B$19&amp;" acts as the trustee of "&amp;$B$18&amp;" and has ",IF($B$20="Multiple Trustees","We act as the trustees of "&amp;$B$18&amp;" and have ","")))&amp;"resolved in the income year ended "&amp;TEXT($B$17,"d mmmm yyyy")&amp;" to make you presently entitled to "&amp;TEXT($F27,"$###,##0.00")&amp;" (Appointment)."</f>
        <v>I act as the trustee of  and have resolved in the income year ended 30 June 2024 to make you presently entitled to $0.00 (Appointment).</v>
      </c>
      <c r="B200" s="3838"/>
      <c r="C200" s="3838"/>
      <c r="D200" s="3838"/>
      <c r="E200" s="3838"/>
      <c r="F200" s="3442"/>
      <c r="G200" s="3442"/>
    </row>
    <row r="202" spans="1:7" ht="51" customHeight="1">
      <c r="A202" s="3838" t="str">
        <f>"The purpose of this letter is to inform you of the Appointment and to request that you confirm that you have been notified of the Appointment, and that you are aware of your entitlement from the Trust, "&amp;"by signing the acknowledgement at the bottom of this page and returning this document to the "&amp;IF($B$20="Multiple Trustees","Trustees.","Trustee.")</f>
        <v>The purpose of this letter is to inform you of the Appointment and to request that you confirm that you have been notified of the Appointment, and that you are aware of your entitlement from the Trust, by signing the acknowledgement at the bottom of this page and returning this document to the Trustee.</v>
      </c>
      <c r="B202" s="3838"/>
      <c r="C202" s="3838"/>
      <c r="D202" s="3838"/>
      <c r="E202" s="3838"/>
      <c r="F202" s="3442"/>
      <c r="G202" s="3442"/>
    </row>
    <row r="204" spans="1:7">
      <c r="A204" s="3426" t="s">
        <v>2609</v>
      </c>
    </row>
    <row r="207" spans="1:7">
      <c r="A207" s="3426">
        <f>$B$19</f>
        <v>0</v>
      </c>
    </row>
    <row r="208" spans="1:7">
      <c r="A208" s="3426" t="str">
        <f>IF($B$20="Multiple Trustees","Trustees","Trustee")</f>
        <v>Trustee</v>
      </c>
    </row>
    <row r="210" spans="1:7">
      <c r="A210" s="3452"/>
      <c r="B210" s="3452"/>
      <c r="C210" s="3452"/>
      <c r="D210" s="3452"/>
      <c r="E210" s="3452"/>
    </row>
    <row r="213" spans="1:7" ht="25.5" customHeight="1">
      <c r="A213" s="3838" t="str">
        <f>"I, "&amp;IF(ISBLANK($D27),$B27,$B27&amp;" "&amp;$D27)&amp;", hereby acknowledge that I am aware that I have been made presently entitled to the Appointment."</f>
        <v>I, , hereby acknowledge that I am aware that I have been made presently entitled to the Appointment.</v>
      </c>
      <c r="B213" s="3838"/>
      <c r="C213" s="3838"/>
      <c r="D213" s="3838"/>
      <c r="E213" s="3838"/>
      <c r="F213" s="3442"/>
      <c r="G213" s="3442"/>
    </row>
    <row r="214" spans="1:7">
      <c r="A214" s="3442"/>
      <c r="B214" s="3442"/>
      <c r="C214" s="3442"/>
      <c r="D214" s="3442"/>
      <c r="E214" s="3442"/>
      <c r="F214" s="3442"/>
      <c r="G214" s="3442"/>
    </row>
    <row r="215" spans="1:7">
      <c r="A215" s="3426" t="str">
        <f>"I ask that the "&amp;IF($B$20="Multiple Trustees","Trustees","Trustee")&amp;" (select the appropriate option):"</f>
        <v>I ask that the Trustee (select the appropriate option):</v>
      </c>
    </row>
    <row r="217" spans="1:7" ht="45" customHeight="1">
      <c r="A217" s="3453" t="s">
        <v>2610</v>
      </c>
      <c r="B217" s="3834" t="s">
        <v>2611</v>
      </c>
      <c r="C217" s="3834"/>
      <c r="D217" s="3834"/>
      <c r="E217" s="3834"/>
      <c r="F217" s="3454"/>
      <c r="G217" s="3454"/>
    </row>
    <row r="218" spans="1:7" ht="45" customHeight="1">
      <c r="A218" s="3453" t="s">
        <v>2610</v>
      </c>
      <c r="B218" s="3834" t="s">
        <v>2612</v>
      </c>
      <c r="C218" s="3834"/>
      <c r="D218" s="3834"/>
      <c r="E218" s="3834"/>
      <c r="F218" s="3454"/>
      <c r="G218" s="3454"/>
    </row>
    <row r="219" spans="1:7" ht="45" customHeight="1">
      <c r="A219" s="3453" t="s">
        <v>2610</v>
      </c>
      <c r="B219" s="3834" t="s">
        <v>2613</v>
      </c>
      <c r="C219" s="3834"/>
      <c r="D219" s="3834"/>
      <c r="E219" s="3834"/>
      <c r="F219" s="3454"/>
      <c r="G219" s="3454"/>
    </row>
    <row r="220" spans="1:7">
      <c r="A220" s="3455"/>
      <c r="B220" s="3455"/>
      <c r="C220" s="3455"/>
      <c r="D220" s="3455"/>
      <c r="E220" s="3455"/>
      <c r="F220" s="3454"/>
      <c r="G220" s="3454"/>
    </row>
    <row r="222" spans="1:7">
      <c r="A222" s="3426" t="s">
        <v>2614</v>
      </c>
      <c r="B222" s="3452"/>
      <c r="C222" s="3452"/>
    </row>
    <row r="225" spans="1:3">
      <c r="A225" s="3426" t="s">
        <v>1116</v>
      </c>
      <c r="B225" s="3452"/>
      <c r="C225" s="3452"/>
    </row>
    <row r="228" spans="1:3">
      <c r="A228" s="3426" t="s">
        <v>2615</v>
      </c>
      <c r="B228" s="3452"/>
      <c r="C228" s="3452"/>
    </row>
    <row r="231" spans="1:3">
      <c r="A231" s="3426" t="s">
        <v>2810</v>
      </c>
    </row>
    <row r="232" spans="1:3" ht="26.1" customHeight="1">
      <c r="A232" s="3426" t="s">
        <v>2807</v>
      </c>
      <c r="B232" s="3452"/>
      <c r="C232" s="3452"/>
    </row>
    <row r="233" spans="1:3" ht="26.1" customHeight="1">
      <c r="A233" s="3426" t="s">
        <v>2808</v>
      </c>
      <c r="B233" s="3452"/>
      <c r="C233" s="3452"/>
    </row>
    <row r="234" spans="1:3" ht="26.1" customHeight="1">
      <c r="A234" s="3426" t="s">
        <v>2809</v>
      </c>
      <c r="B234" s="3452"/>
      <c r="C234" s="3452"/>
    </row>
  </sheetData>
  <mergeCells count="36">
    <mergeCell ref="B219:E219"/>
    <mergeCell ref="A159:E159"/>
    <mergeCell ref="A161:E161"/>
    <mergeCell ref="A172:E172"/>
    <mergeCell ref="B176:E176"/>
    <mergeCell ref="B177:E177"/>
    <mergeCell ref="B178:E178"/>
    <mergeCell ref="A200:E200"/>
    <mergeCell ref="A202:E202"/>
    <mergeCell ref="A213:E213"/>
    <mergeCell ref="B217:E217"/>
    <mergeCell ref="B218:E218"/>
    <mergeCell ref="B137:E137"/>
    <mergeCell ref="A77:E77"/>
    <mergeCell ref="A79:E79"/>
    <mergeCell ref="A90:E90"/>
    <mergeCell ref="B94:E94"/>
    <mergeCell ref="B95:E95"/>
    <mergeCell ref="B96:E96"/>
    <mergeCell ref="A118:E118"/>
    <mergeCell ref="A120:E120"/>
    <mergeCell ref="A131:E131"/>
    <mergeCell ref="B135:E135"/>
    <mergeCell ref="B136:E136"/>
    <mergeCell ref="B55:E55"/>
    <mergeCell ref="A7:F7"/>
    <mergeCell ref="A12:F12"/>
    <mergeCell ref="B17:D17"/>
    <mergeCell ref="B18:D18"/>
    <mergeCell ref="B19:D19"/>
    <mergeCell ref="B20:D20"/>
    <mergeCell ref="A36:E36"/>
    <mergeCell ref="A38:E38"/>
    <mergeCell ref="A49:E49"/>
    <mergeCell ref="B53:E53"/>
    <mergeCell ref="B54:E54"/>
  </mergeCells>
  <conditionalFormatting sqref="F29:F30">
    <cfRule type="cellIs" dxfId="71" priority="1" operator="lessThan">
      <formula>0</formula>
    </cfRule>
    <cfRule type="cellIs" dxfId="70" priority="2" operator="greaterThan">
      <formula>0</formula>
    </cfRule>
  </conditionalFormatting>
  <dataValidations disablePrompts="1" count="1">
    <dataValidation type="list" allowBlank="1" showInputMessage="1" showErrorMessage="1" sqref="B20" xr:uid="{32FACFEC-B5E5-433B-9B77-870A57C7D615}">
      <formula1>$H$19:$H$21</formula1>
    </dataValidation>
  </dataValidations>
  <hyperlinks>
    <hyperlink ref="A14" r:id="rId1" display="Refer to PCG 2022/2" xr:uid="{FFA52B24-5B00-422C-9077-BC487398AE6A}"/>
    <hyperlink ref="H8" location="'WPIndex'!A1" display="Back to Workpaper Index" xr:uid="{B35A9385-4510-405A-9EB9-98D3E5BC8B6C}"/>
    <hyperlink ref="F8" location="WPIndex!A1" display="Back to WP Index" xr:uid="{2B5A1099-47AC-4515-88E9-AEA49FC3322F}"/>
    <hyperlink ref="A9" location="ClientName" display="ClientName" xr:uid="{9E986149-30C3-4181-BE3E-18EF5DA31C8B}"/>
  </hyperlinks>
  <pageMargins left="0.7" right="0.7" top="1.1599999999999999" bottom="0.75" header="0.3" footer="0.3"/>
  <pageSetup paperSize="9" orientation="portrait" r:id="rId2"/>
  <rowBreaks count="4" manualBreakCount="4">
    <brk id="72" max="4" man="1"/>
    <brk id="113" max="4" man="1"/>
    <brk id="154" max="4" man="1"/>
    <brk id="195" max="4" man="1"/>
  </rowBreaks>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BE_Worksheet_Sheet">
    <tabColor theme="8" tint="0.79998168889431442"/>
    <pageSetUpPr fitToPage="1"/>
  </sheetPr>
  <dimension ref="A1:AT136"/>
  <sheetViews>
    <sheetView topLeftCell="E1" zoomScaleNormal="100" workbookViewId="0">
      <selection sqref="A1:F1"/>
    </sheetView>
  </sheetViews>
  <sheetFormatPr defaultColWidth="9.140625" defaultRowHeight="12.75"/>
  <cols>
    <col min="1" max="1" width="8.85546875" style="1" hidden="1" customWidth="1"/>
    <col min="2" max="2" width="7.140625" style="1" hidden="1" customWidth="1"/>
    <col min="3" max="3" width="17.5703125" style="1479" hidden="1" customWidth="1"/>
    <col min="4" max="4" width="20" style="1479" hidden="1" customWidth="1"/>
    <col min="5" max="6" width="19" style="1" customWidth="1"/>
    <col min="7" max="7" width="19" style="14" customWidth="1"/>
    <col min="8" max="10" width="19" style="1" customWidth="1"/>
    <col min="11" max="12" width="19" style="1" hidden="1" customWidth="1"/>
    <col min="13" max="13" width="3.42578125" style="1" customWidth="1"/>
    <col min="14" max="14" width="1.7109375" style="1" customWidth="1"/>
    <col min="15" max="15" width="13.7109375" style="1" customWidth="1"/>
    <col min="16" max="16" width="1.7109375" style="1" customWidth="1"/>
    <col min="17" max="17" width="13.7109375" style="1" customWidth="1"/>
    <col min="18" max="18" width="1.7109375" style="1" customWidth="1"/>
    <col min="19" max="19" width="13.7109375" style="1" customWidth="1"/>
    <col min="20" max="20" width="15.28515625" style="1" customWidth="1"/>
    <col min="21" max="21" width="11.85546875" style="1" customWidth="1"/>
    <col min="22" max="22" width="1.5703125" style="1" customWidth="1"/>
    <col min="23" max="23" width="11.5703125" style="1" customWidth="1"/>
    <col min="24" max="24" width="2.140625" style="1" customWidth="1"/>
    <col min="25" max="25" width="13.5703125" style="1" customWidth="1"/>
    <col min="26" max="26" width="8.28515625" style="1" hidden="1" customWidth="1"/>
    <col min="27" max="28" width="9.140625" style="1" customWidth="1"/>
    <col min="29" max="32" width="11" style="1" customWidth="1"/>
    <col min="33" max="33" width="43.28515625" style="1" hidden="1" customWidth="1"/>
    <col min="34" max="39" width="15.7109375" style="1" hidden="1" customWidth="1"/>
    <col min="40" max="40" width="17.140625" style="1" hidden="1" customWidth="1"/>
    <col min="41" max="41" width="22" style="1" hidden="1" customWidth="1"/>
    <col min="42" max="42" width="14.42578125" style="1" hidden="1" customWidth="1"/>
    <col min="43" max="43" width="13.140625" style="1" hidden="1" customWidth="1"/>
    <col min="44" max="44" width="14.7109375" style="1" hidden="1" customWidth="1"/>
    <col min="45" max="45" width="14.140625" style="1" hidden="1" customWidth="1"/>
    <col min="46" max="46" width="12" style="1" hidden="1" customWidth="1"/>
    <col min="47" max="49" width="9.140625" style="1" customWidth="1"/>
    <col min="50" max="16384" width="9.140625" style="1"/>
  </cols>
  <sheetData>
    <row r="1" spans="5:46">
      <c r="S1" s="2613" t="s">
        <v>2425</v>
      </c>
      <c r="T1" s="3576" t="s">
        <v>2758</v>
      </c>
    </row>
    <row r="2" spans="5:46" ht="19.5" customHeight="1">
      <c r="E2" s="740"/>
      <c r="F2" s="740"/>
      <c r="G2" s="740"/>
      <c r="H2" s="40"/>
      <c r="I2" s="40"/>
      <c r="J2" s="40"/>
      <c r="K2" s="40"/>
      <c r="S2" s="71" t="s">
        <v>2426</v>
      </c>
      <c r="T2" s="2622"/>
    </row>
    <row r="3" spans="5:46" ht="19.5" customHeight="1">
      <c r="E3" s="740"/>
      <c r="F3" s="740"/>
      <c r="G3" s="740"/>
      <c r="H3" s="40"/>
      <c r="I3" s="40"/>
      <c r="J3" s="40"/>
      <c r="K3" s="40"/>
    </row>
    <row r="4" spans="5:46" ht="15.75">
      <c r="E4" s="740"/>
      <c r="F4" s="740"/>
      <c r="G4" s="740"/>
      <c r="H4" s="40"/>
      <c r="I4" s="40"/>
      <c r="J4" s="40"/>
      <c r="K4" s="40"/>
      <c r="S4" s="11" t="s">
        <v>1163</v>
      </c>
      <c r="T4" s="709" t="s">
        <v>1262</v>
      </c>
      <c r="AG4" s="1479" t="s">
        <v>440</v>
      </c>
    </row>
    <row r="5" spans="5:46" ht="19.5" customHeight="1">
      <c r="E5" s="740"/>
      <c r="F5" s="740"/>
      <c r="G5" s="740"/>
      <c r="H5" s="40"/>
      <c r="I5" s="40"/>
      <c r="J5" s="40"/>
      <c r="K5" s="40"/>
      <c r="Q5" s="71" t="s">
        <v>332</v>
      </c>
      <c r="S5" s="2617" t="str">
        <f>IF(PreparedBy="","",PreparedBy)</f>
        <v/>
      </c>
      <c r="T5" s="2618" t="str">
        <f>IF(DatePrepared="","",DatePrepared)</f>
        <v/>
      </c>
      <c r="AG5" s="1479" t="s">
        <v>441</v>
      </c>
    </row>
    <row r="6" spans="5:46" ht="19.5" customHeight="1">
      <c r="E6" s="740"/>
      <c r="F6" s="740"/>
      <c r="G6" s="740"/>
      <c r="H6" s="40"/>
      <c r="I6" s="40"/>
      <c r="J6" s="40"/>
      <c r="K6" s="40"/>
      <c r="Q6" s="71" t="s">
        <v>333</v>
      </c>
      <c r="S6" s="2619"/>
      <c r="T6" s="2620"/>
    </row>
    <row r="7" spans="5:46" ht="3.6" customHeight="1">
      <c r="E7" s="740"/>
      <c r="F7" s="740"/>
      <c r="G7" s="740"/>
      <c r="H7" s="40"/>
      <c r="I7" s="40"/>
      <c r="J7" s="40"/>
      <c r="K7" s="40"/>
      <c r="U7" s="71"/>
    </row>
    <row r="8" spans="5:46" ht="15.75">
      <c r="E8" s="3704" t="str">
        <f>STS_Sheet</f>
        <v>Small Business Entity Depreciation and Average Turnover</v>
      </c>
      <c r="F8" s="3705"/>
      <c r="G8" s="3705"/>
      <c r="H8" s="3705"/>
      <c r="I8" s="3705"/>
      <c r="J8" s="3705"/>
      <c r="K8" s="3705"/>
      <c r="L8" s="3705"/>
      <c r="M8" s="3705"/>
      <c r="N8" s="3705"/>
      <c r="O8" s="3705"/>
      <c r="P8" s="3705"/>
      <c r="Q8" s="3705"/>
      <c r="R8" s="3705"/>
      <c r="S8" s="3705"/>
      <c r="T8" s="3706"/>
      <c r="U8" s="1569"/>
      <c r="Z8" s="32"/>
    </row>
    <row r="9" spans="5:46">
      <c r="S9" s="3841" t="s">
        <v>2526</v>
      </c>
      <c r="T9" s="3841"/>
      <c r="Z9" s="32"/>
    </row>
    <row r="10" spans="5:46" ht="15.75">
      <c r="E10" s="1167" t="str">
        <f>"CLIENT NAME:   "&amp;IF(ClientName="[ENTER CLIENT NAME]","",ClientName)</f>
        <v>CLIENT NAME:   Example Trust</v>
      </c>
      <c r="Z10" s="32"/>
      <c r="AG10" s="22" t="s">
        <v>2216</v>
      </c>
      <c r="AH10" s="2154">
        <v>40725</v>
      </c>
      <c r="AI10" s="2154">
        <v>41091</v>
      </c>
      <c r="AJ10" s="2154">
        <v>41730</v>
      </c>
      <c r="AK10" s="2154">
        <v>42136</v>
      </c>
      <c r="AL10" s="2154">
        <v>43494</v>
      </c>
      <c r="AM10" s="2154">
        <v>43557</v>
      </c>
      <c r="AN10" s="2154">
        <v>43902</v>
      </c>
      <c r="AO10" s="2154">
        <v>44110</v>
      </c>
      <c r="AP10" s="2154">
        <v>45108</v>
      </c>
      <c r="AQ10" s="49"/>
      <c r="AR10" s="49"/>
    </row>
    <row r="11" spans="5:46">
      <c r="E11" s="9" t="str">
        <f>"CLIENT CODE:   "&amp;'WP Index'!E4</f>
        <v>CLIENT CODE:   99999</v>
      </c>
      <c r="S11" s="47" t="s">
        <v>951</v>
      </c>
      <c r="T11" s="591">
        <f>Period_End</f>
        <v>45473</v>
      </c>
      <c r="U11" s="1532"/>
      <c r="W11" s="47"/>
      <c r="Z11" s="32"/>
      <c r="AG11" s="1479"/>
      <c r="AH11" s="1479">
        <v>1</v>
      </c>
      <c r="AI11" s="1479">
        <v>2</v>
      </c>
      <c r="AJ11" s="1479">
        <v>3</v>
      </c>
      <c r="AK11" s="1479">
        <v>4</v>
      </c>
      <c r="AL11" s="1479">
        <v>5</v>
      </c>
      <c r="AM11" s="1479">
        <v>6</v>
      </c>
      <c r="AN11" s="1479">
        <v>7</v>
      </c>
      <c r="AO11" s="1479">
        <v>8</v>
      </c>
      <c r="AP11" s="1479">
        <v>9</v>
      </c>
    </row>
    <row r="12" spans="5:46">
      <c r="AG12" s="2093" t="s">
        <v>2217</v>
      </c>
      <c r="AH12" s="2062">
        <v>1000</v>
      </c>
      <c r="AI12" s="2062">
        <v>6500</v>
      </c>
      <c r="AJ12" s="2062">
        <v>1000</v>
      </c>
      <c r="AK12" s="2062">
        <v>20000</v>
      </c>
      <c r="AL12" s="2062">
        <v>25000</v>
      </c>
      <c r="AM12" s="2062">
        <v>30000</v>
      </c>
      <c r="AN12" s="2062">
        <v>150000</v>
      </c>
      <c r="AO12" s="2062">
        <v>5000000000</v>
      </c>
      <c r="AP12" s="2062">
        <v>20000</v>
      </c>
    </row>
    <row r="13" spans="5:46">
      <c r="E13" s="1592" t="s">
        <v>2218</v>
      </c>
      <c r="H13" s="45"/>
      <c r="I13" s="45"/>
      <c r="J13" s="45"/>
      <c r="K13" s="45"/>
      <c r="L13" s="574"/>
      <c r="M13" s="574"/>
      <c r="N13" s="574"/>
      <c r="O13" s="574"/>
      <c r="P13" s="574"/>
      <c r="Q13" s="574"/>
      <c r="R13" s="574"/>
      <c r="S13" s="574"/>
      <c r="T13" s="45"/>
      <c r="U13" s="45"/>
      <c r="V13" s="45"/>
      <c r="W13" s="6"/>
    </row>
    <row r="14" spans="5:46">
      <c r="E14" s="1592"/>
      <c r="H14" s="45"/>
      <c r="I14" s="45"/>
      <c r="J14" s="45"/>
      <c r="K14" s="45"/>
      <c r="L14" s="574"/>
      <c r="M14" s="574"/>
      <c r="N14" s="574"/>
      <c r="O14" s="574"/>
      <c r="P14" s="574"/>
      <c r="Q14" s="574"/>
      <c r="R14" s="574"/>
      <c r="S14" s="574"/>
      <c r="T14" s="45"/>
      <c r="U14" s="45"/>
      <c r="V14" s="45"/>
      <c r="W14" s="2290"/>
      <c r="AG14" s="22" t="s">
        <v>2229</v>
      </c>
      <c r="AH14" s="2154">
        <v>41090</v>
      </c>
      <c r="AI14" s="2154">
        <v>41455</v>
      </c>
      <c r="AJ14" s="2154">
        <v>41820</v>
      </c>
      <c r="AK14" s="2154">
        <v>42185</v>
      </c>
      <c r="AL14" s="2154">
        <v>42551</v>
      </c>
      <c r="AM14" s="2154">
        <v>42916</v>
      </c>
      <c r="AN14" s="2154">
        <v>43281</v>
      </c>
      <c r="AO14" s="2154">
        <v>43646</v>
      </c>
      <c r="AP14" s="2154">
        <v>44012</v>
      </c>
      <c r="AQ14" s="2154">
        <v>44377</v>
      </c>
      <c r="AR14" s="2154">
        <v>44742</v>
      </c>
      <c r="AS14" s="2154">
        <v>45107</v>
      </c>
      <c r="AT14" s="2154">
        <v>45473</v>
      </c>
    </row>
    <row r="15" spans="5:46">
      <c r="E15" s="1592"/>
      <c r="H15" s="45"/>
      <c r="I15" s="45"/>
      <c r="J15" s="45"/>
      <c r="K15" s="45"/>
      <c r="L15" s="574"/>
      <c r="M15" s="574"/>
      <c r="N15" s="574"/>
      <c r="O15" s="574"/>
      <c r="P15" s="574"/>
      <c r="Q15" s="574"/>
      <c r="R15" s="574"/>
      <c r="S15" s="574"/>
      <c r="T15" s="45"/>
      <c r="U15" s="45"/>
      <c r="V15" s="45"/>
      <c r="W15" s="2290"/>
      <c r="AG15" s="1479"/>
      <c r="AH15" s="1479">
        <v>1</v>
      </c>
      <c r="AI15" s="1479">
        <v>2</v>
      </c>
      <c r="AJ15" s="1479">
        <v>3</v>
      </c>
      <c r="AK15" s="1479">
        <v>4</v>
      </c>
      <c r="AL15" s="1479">
        <v>5</v>
      </c>
      <c r="AM15" s="1479">
        <v>6</v>
      </c>
      <c r="AN15" s="1479">
        <v>7</v>
      </c>
      <c r="AO15" s="1479">
        <v>8</v>
      </c>
      <c r="AP15" s="1">
        <v>9</v>
      </c>
      <c r="AQ15" s="1">
        <v>10</v>
      </c>
      <c r="AR15" s="1">
        <v>11</v>
      </c>
      <c r="AS15" s="1">
        <v>12</v>
      </c>
      <c r="AT15" s="1">
        <v>13</v>
      </c>
    </row>
    <row r="16" spans="5:46">
      <c r="E16" s="3" t="s">
        <v>220</v>
      </c>
      <c r="F16" s="45"/>
      <c r="G16" s="45"/>
      <c r="H16" s="45"/>
      <c r="I16" s="45"/>
      <c r="J16" s="45"/>
      <c r="K16" s="45"/>
      <c r="L16" s="45"/>
      <c r="M16" s="45"/>
      <c r="N16" s="45"/>
      <c r="O16" s="6" t="s">
        <v>17</v>
      </c>
      <c r="P16" s="311"/>
      <c r="Q16" s="6" t="s">
        <v>1115</v>
      </c>
      <c r="R16" s="311"/>
      <c r="S16" s="6" t="s">
        <v>1796</v>
      </c>
      <c r="T16" s="3"/>
      <c r="U16" s="45"/>
      <c r="V16" s="45"/>
      <c r="W16" s="6"/>
      <c r="X16" s="3"/>
      <c r="Y16" s="6"/>
      <c r="Z16" s="6" t="s">
        <v>1286</v>
      </c>
      <c r="AG16" s="2093" t="s">
        <v>2217</v>
      </c>
      <c r="AH16" s="2062">
        <v>1000</v>
      </c>
      <c r="AI16" s="2062">
        <v>6500</v>
      </c>
      <c r="AJ16" s="2062">
        <v>1000</v>
      </c>
      <c r="AK16" s="2062">
        <v>20000</v>
      </c>
      <c r="AL16" s="2062">
        <v>20000</v>
      </c>
      <c r="AM16" s="2062">
        <v>20000</v>
      </c>
      <c r="AN16" s="2062">
        <v>20000</v>
      </c>
      <c r="AO16" s="2062">
        <v>30000</v>
      </c>
      <c r="AP16" s="2062">
        <v>150000</v>
      </c>
      <c r="AQ16" s="2062">
        <v>150000</v>
      </c>
      <c r="AR16" s="2062">
        <v>150000</v>
      </c>
      <c r="AS16" s="2062">
        <v>5000000</v>
      </c>
      <c r="AT16" s="2062">
        <v>20000</v>
      </c>
    </row>
    <row r="17" spans="1:45">
      <c r="E17" s="148"/>
      <c r="F17" s="45"/>
      <c r="G17" s="45"/>
      <c r="H17" s="148"/>
      <c r="I17" s="148"/>
      <c r="J17" s="168"/>
      <c r="K17" s="45"/>
      <c r="L17" s="45"/>
      <c r="M17" s="45"/>
      <c r="N17" s="45"/>
      <c r="O17" s="6" t="s">
        <v>1202</v>
      </c>
      <c r="P17" s="45"/>
      <c r="Q17" s="45"/>
      <c r="R17" s="45"/>
      <c r="S17" s="6" t="s">
        <v>1797</v>
      </c>
    </row>
    <row r="18" spans="1:45">
      <c r="E18" s="575" t="str">
        <f xml:space="preserve"> "SBE Pool Balance 30-Jun-"&amp;YEAR(Period_Start)&amp;" (Closing Balance)"</f>
        <v>SBE Pool Balance 30-Jun-2023 (Closing Balance)</v>
      </c>
      <c r="F18" s="16"/>
      <c r="G18" s="576"/>
      <c r="H18" s="16"/>
      <c r="I18" s="16"/>
      <c r="J18" s="2875"/>
      <c r="K18" s="45"/>
      <c r="L18" s="1570"/>
      <c r="M18" s="1570"/>
      <c r="N18" s="1570"/>
      <c r="O18" s="1571"/>
      <c r="P18" s="1572"/>
      <c r="Q18" s="1573"/>
      <c r="R18" s="1572"/>
      <c r="S18" s="1573"/>
    </row>
    <row r="19" spans="1:45">
      <c r="E19" s="149"/>
      <c r="F19" s="8"/>
      <c r="G19" s="1566"/>
      <c r="H19" s="8"/>
      <c r="I19" s="8"/>
      <c r="J19" s="1577"/>
      <c r="K19" s="45"/>
      <c r="L19" s="1570"/>
      <c r="M19" s="1570"/>
      <c r="N19" s="1570"/>
      <c r="O19" s="1574"/>
      <c r="P19" s="1572"/>
      <c r="Q19" s="1575"/>
      <c r="R19" s="1572"/>
      <c r="S19" s="1575"/>
    </row>
    <row r="20" spans="1:45">
      <c r="E20" s="149" t="s">
        <v>21</v>
      </c>
      <c r="F20" s="130"/>
      <c r="G20" s="130"/>
      <c r="H20" s="130"/>
      <c r="I20" s="130"/>
      <c r="J20" s="2876"/>
      <c r="K20" s="45"/>
      <c r="L20" s="1570"/>
      <c r="M20" s="1570"/>
      <c r="N20" s="1570"/>
      <c r="O20" s="1574"/>
      <c r="P20" s="1572"/>
      <c r="Q20" s="1575"/>
      <c r="R20" s="1572"/>
      <c r="S20" s="1575"/>
      <c r="T20" s="8"/>
    </row>
    <row r="21" spans="1:45">
      <c r="E21" s="149"/>
      <c r="F21" s="130"/>
      <c r="G21" s="130"/>
      <c r="H21" s="130"/>
      <c r="I21" s="130"/>
      <c r="J21" s="1576">
        <f>IF(J20&gt;0,J18-J20,J18+J20)</f>
        <v>0</v>
      </c>
      <c r="K21" s="45"/>
      <c r="L21" s="1570"/>
      <c r="M21" s="1570"/>
      <c r="N21" s="1570"/>
      <c r="O21" s="1574">
        <f>+J21</f>
        <v>0</v>
      </c>
      <c r="P21" s="1572"/>
      <c r="Q21" s="1575"/>
      <c r="R21" s="1572"/>
      <c r="S21" s="1575"/>
      <c r="T21" s="8"/>
    </row>
    <row r="22" spans="1:45">
      <c r="E22" s="150"/>
      <c r="F22" s="148"/>
      <c r="G22" s="148"/>
      <c r="H22" s="148"/>
      <c r="I22" s="148"/>
      <c r="J22" s="1578"/>
      <c r="K22" s="1580"/>
      <c r="L22" s="1570"/>
      <c r="M22" s="1572"/>
      <c r="N22" s="1570"/>
      <c r="O22" s="1574"/>
      <c r="P22" s="1572"/>
      <c r="Q22" s="1575"/>
      <c r="R22" s="1572"/>
      <c r="S22" s="1575"/>
      <c r="T22" s="8"/>
      <c r="AM22" s="1479"/>
    </row>
    <row r="23" spans="1:45">
      <c r="E23" s="45"/>
      <c r="F23" s="45"/>
      <c r="G23" s="45"/>
      <c r="H23" s="45"/>
      <c r="I23" s="45"/>
      <c r="J23" s="1570"/>
      <c r="K23" s="1570"/>
      <c r="L23" s="1570"/>
      <c r="M23" s="1572"/>
      <c r="N23" s="1570"/>
      <c r="O23" s="1574"/>
      <c r="P23" s="1572"/>
      <c r="Q23" s="1575"/>
      <c r="R23" s="1572"/>
      <c r="S23" s="1575"/>
      <c r="T23" s="8"/>
    </row>
    <row r="24" spans="1:45" s="216" customFormat="1">
      <c r="A24" s="1"/>
      <c r="B24" s="1"/>
      <c r="C24" s="2087"/>
      <c r="D24" s="2088"/>
      <c r="E24" s="29" t="s">
        <v>22</v>
      </c>
      <c r="F24" s="57"/>
      <c r="G24" s="57"/>
      <c r="H24" s="578"/>
      <c r="I24" s="578"/>
      <c r="J24" s="578"/>
      <c r="K24" s="2301"/>
      <c r="L24" s="578"/>
      <c r="M24" s="2291"/>
      <c r="N24" s="1570"/>
      <c r="O24" s="1574"/>
      <c r="P24" s="1574"/>
      <c r="Q24" s="1574"/>
      <c r="R24" s="1572"/>
      <c r="S24" s="1575"/>
      <c r="T24" s="8"/>
      <c r="U24" s="8"/>
      <c r="V24" s="1"/>
      <c r="AD24" s="1"/>
      <c r="AE24" s="1"/>
      <c r="AF24" s="1"/>
      <c r="AG24" s="1"/>
      <c r="AH24" s="1"/>
      <c r="AI24" s="1"/>
      <c r="AJ24" s="1"/>
      <c r="AK24" s="1"/>
      <c r="AL24" s="1"/>
      <c r="AM24" s="1"/>
      <c r="AN24" s="1"/>
      <c r="AO24" s="1"/>
      <c r="AP24" s="1"/>
      <c r="AQ24" s="1"/>
      <c r="AR24" s="1"/>
      <c r="AS24" s="1"/>
    </row>
    <row r="25" spans="1:45" s="216" customFormat="1">
      <c r="A25" s="1"/>
      <c r="B25" s="1"/>
      <c r="C25" s="2089"/>
      <c r="D25" s="2090"/>
      <c r="E25" s="2091" t="s">
        <v>1805</v>
      </c>
      <c r="F25" s="2152"/>
      <c r="G25" s="2152"/>
      <c r="H25" s="130"/>
      <c r="I25" s="130"/>
      <c r="J25" s="130"/>
      <c r="K25" s="130"/>
      <c r="L25" s="2298"/>
      <c r="M25" s="1579"/>
      <c r="N25" s="1570"/>
      <c r="O25" s="1574"/>
      <c r="P25" s="1574"/>
      <c r="Q25" s="1574"/>
      <c r="R25" s="1572"/>
      <c r="S25" s="1575"/>
      <c r="T25" s="8"/>
      <c r="U25" s="8"/>
      <c r="V25" s="1"/>
      <c r="AD25" s="1"/>
      <c r="AE25" s="1"/>
      <c r="AF25" s="1"/>
      <c r="AG25" s="1"/>
      <c r="AH25" s="1"/>
      <c r="AI25" s="1"/>
      <c r="AJ25" s="1"/>
      <c r="AK25" s="1"/>
      <c r="AL25" s="1"/>
      <c r="AM25" s="1"/>
      <c r="AN25" s="1"/>
      <c r="AO25" s="1"/>
      <c r="AP25" s="1"/>
      <c r="AQ25" s="1"/>
      <c r="AR25" s="1"/>
      <c r="AS25" s="1"/>
    </row>
    <row r="26" spans="1:45" ht="64.5" customHeight="1">
      <c r="C26" s="2169" t="s">
        <v>2040</v>
      </c>
      <c r="D26" s="2172" t="s">
        <v>2041</v>
      </c>
      <c r="E26" s="945" t="s">
        <v>2049</v>
      </c>
      <c r="F26" s="2164" t="s">
        <v>23</v>
      </c>
      <c r="G26" s="2164" t="s">
        <v>413</v>
      </c>
      <c r="H26" s="2164" t="s">
        <v>414</v>
      </c>
      <c r="I26" s="945" t="s">
        <v>2050</v>
      </c>
      <c r="J26" s="2164" t="s">
        <v>2048</v>
      </c>
      <c r="K26" s="945" t="s">
        <v>2222</v>
      </c>
      <c r="L26" s="945" t="s">
        <v>2223</v>
      </c>
      <c r="M26" s="1579"/>
      <c r="O26" s="1574"/>
      <c r="P26" s="1574"/>
      <c r="Q26" s="1572"/>
      <c r="R26" s="1575"/>
      <c r="S26" s="1574"/>
      <c r="T26" s="8"/>
    </row>
    <row r="27" spans="1:45">
      <c r="C27" s="2165">
        <f t="shared" ref="C27:C37" si="0">IFERROR(HLOOKUP(E27,$AH$10:$AP$11,2,1),0)</f>
        <v>0</v>
      </c>
      <c r="D27" s="2292">
        <f t="shared" ref="D27:D37" si="1">IFERROR(HLOOKUP(C27,$AH$11:$AP$12,2,0),0)</f>
        <v>0</v>
      </c>
      <c r="E27" s="2877"/>
      <c r="F27" s="2878"/>
      <c r="G27" s="2879"/>
      <c r="H27" s="2880"/>
      <c r="I27" s="2881"/>
      <c r="J27" s="2163">
        <f>G27*(1-H27)</f>
        <v>0</v>
      </c>
      <c r="K27" s="2163">
        <f t="shared" ref="K27:K37" si="2">J27+S27</f>
        <v>0</v>
      </c>
      <c r="L27" s="2163">
        <f>IF(AND(I27="Yes",G27&gt;=150000,E27&gt;=43902,E27&lt;=44110),1,0)</f>
        <v>0</v>
      </c>
      <c r="M27" s="1579"/>
      <c r="O27" s="1574"/>
      <c r="P27" s="1574"/>
      <c r="Q27" s="1572"/>
      <c r="R27" s="1575"/>
      <c r="S27" s="1574">
        <f t="shared" ref="S27:S37" si="3">IF(J27&lt;D27,-J27,0)</f>
        <v>0</v>
      </c>
      <c r="T27" s="8"/>
    </row>
    <row r="28" spans="1:45">
      <c r="C28" s="2165">
        <f t="shared" si="0"/>
        <v>0</v>
      </c>
      <c r="D28" s="2292">
        <f t="shared" si="1"/>
        <v>0</v>
      </c>
      <c r="E28" s="2877"/>
      <c r="F28" s="2882"/>
      <c r="G28" s="2883"/>
      <c r="H28" s="2884"/>
      <c r="I28" s="2881"/>
      <c r="J28" s="2156">
        <f t="shared" ref="J28:J35" si="4">G28*(1-H28)</f>
        <v>0</v>
      </c>
      <c r="K28" s="2156">
        <f t="shared" si="2"/>
        <v>0</v>
      </c>
      <c r="L28" s="2156">
        <f t="shared" ref="L28:L37" si="5">IF(AND(I28="Yes",G28&gt;=150000,E28&gt;=43902,E28&lt;=44110),1,0)</f>
        <v>0</v>
      </c>
      <c r="M28" s="1579"/>
      <c r="O28" s="1574"/>
      <c r="P28" s="1574"/>
      <c r="Q28" s="1572"/>
      <c r="R28" s="1575"/>
      <c r="S28" s="1574">
        <f t="shared" si="3"/>
        <v>0</v>
      </c>
      <c r="T28" s="8"/>
    </row>
    <row r="29" spans="1:45">
      <c r="C29" s="2165">
        <f t="shared" si="0"/>
        <v>0</v>
      </c>
      <c r="D29" s="2292">
        <f t="shared" si="1"/>
        <v>0</v>
      </c>
      <c r="E29" s="2877"/>
      <c r="F29" s="2882"/>
      <c r="G29" s="2883"/>
      <c r="H29" s="2884"/>
      <c r="I29" s="2881"/>
      <c r="J29" s="2156">
        <f t="shared" si="4"/>
        <v>0</v>
      </c>
      <c r="K29" s="2156">
        <f t="shared" si="2"/>
        <v>0</v>
      </c>
      <c r="L29" s="2156">
        <f t="shared" si="5"/>
        <v>0</v>
      </c>
      <c r="M29" s="1579"/>
      <c r="O29" s="1574"/>
      <c r="P29" s="1574"/>
      <c r="Q29" s="1572"/>
      <c r="R29" s="1575"/>
      <c r="S29" s="1574">
        <f t="shared" si="3"/>
        <v>0</v>
      </c>
      <c r="T29" s="8"/>
    </row>
    <row r="30" spans="1:45">
      <c r="C30" s="2165">
        <f t="shared" si="0"/>
        <v>0</v>
      </c>
      <c r="D30" s="2292">
        <f t="shared" si="1"/>
        <v>0</v>
      </c>
      <c r="E30" s="2885"/>
      <c r="F30" s="2882"/>
      <c r="G30" s="2883"/>
      <c r="H30" s="2884"/>
      <c r="I30" s="2881"/>
      <c r="J30" s="2156">
        <f t="shared" si="4"/>
        <v>0</v>
      </c>
      <c r="K30" s="2156">
        <f t="shared" si="2"/>
        <v>0</v>
      </c>
      <c r="L30" s="2156">
        <f t="shared" si="5"/>
        <v>0</v>
      </c>
      <c r="M30" s="1579"/>
      <c r="O30" s="1574"/>
      <c r="P30" s="1574"/>
      <c r="Q30" s="1572"/>
      <c r="R30" s="1575"/>
      <c r="S30" s="1574">
        <f t="shared" si="3"/>
        <v>0</v>
      </c>
      <c r="T30" s="8"/>
    </row>
    <row r="31" spans="1:45">
      <c r="C31" s="2165">
        <f t="shared" si="0"/>
        <v>0</v>
      </c>
      <c r="D31" s="2292">
        <f t="shared" si="1"/>
        <v>0</v>
      </c>
      <c r="E31" s="2877"/>
      <c r="F31" s="2878"/>
      <c r="G31" s="2879"/>
      <c r="H31" s="2880"/>
      <c r="I31" s="2881"/>
      <c r="J31" s="2156">
        <f t="shared" si="4"/>
        <v>0</v>
      </c>
      <c r="K31" s="2156">
        <f t="shared" si="2"/>
        <v>0</v>
      </c>
      <c r="L31" s="2156">
        <f t="shared" si="5"/>
        <v>0</v>
      </c>
      <c r="M31" s="1579"/>
      <c r="O31" s="1574"/>
      <c r="P31" s="1574"/>
      <c r="Q31" s="1572"/>
      <c r="R31" s="1575"/>
      <c r="S31" s="1574">
        <f t="shared" si="3"/>
        <v>0</v>
      </c>
      <c r="T31" s="8"/>
    </row>
    <row r="32" spans="1:45">
      <c r="C32" s="2165">
        <f t="shared" si="0"/>
        <v>0</v>
      </c>
      <c r="D32" s="2292">
        <f t="shared" si="1"/>
        <v>0</v>
      </c>
      <c r="E32" s="2877"/>
      <c r="F32" s="2882"/>
      <c r="G32" s="2883"/>
      <c r="H32" s="2884"/>
      <c r="I32" s="2881"/>
      <c r="J32" s="2156">
        <f t="shared" si="4"/>
        <v>0</v>
      </c>
      <c r="K32" s="2156">
        <f t="shared" si="2"/>
        <v>0</v>
      </c>
      <c r="L32" s="2156">
        <f t="shared" si="5"/>
        <v>0</v>
      </c>
      <c r="M32" s="1579"/>
      <c r="O32" s="1574"/>
      <c r="P32" s="1574"/>
      <c r="Q32" s="1572"/>
      <c r="R32" s="1575"/>
      <c r="S32" s="1574">
        <f t="shared" si="3"/>
        <v>0</v>
      </c>
      <c r="T32" s="8"/>
    </row>
    <row r="33" spans="1:20">
      <c r="C33" s="2165">
        <f t="shared" si="0"/>
        <v>0</v>
      </c>
      <c r="D33" s="2292">
        <f t="shared" si="1"/>
        <v>0</v>
      </c>
      <c r="E33" s="2877"/>
      <c r="F33" s="2882"/>
      <c r="G33" s="2883"/>
      <c r="H33" s="2884"/>
      <c r="I33" s="2881"/>
      <c r="J33" s="2156">
        <f t="shared" si="4"/>
        <v>0</v>
      </c>
      <c r="K33" s="2156">
        <f t="shared" si="2"/>
        <v>0</v>
      </c>
      <c r="L33" s="2156">
        <f t="shared" si="5"/>
        <v>0</v>
      </c>
      <c r="M33" s="1579"/>
      <c r="O33" s="1574"/>
      <c r="P33" s="1574"/>
      <c r="Q33" s="1572"/>
      <c r="R33" s="1575"/>
      <c r="S33" s="1574">
        <f>IF(J33&lt;D33,-J33,0)</f>
        <v>0</v>
      </c>
      <c r="T33" s="8"/>
    </row>
    <row r="34" spans="1:20">
      <c r="C34" s="2165">
        <f t="shared" si="0"/>
        <v>0</v>
      </c>
      <c r="D34" s="2292">
        <f t="shared" si="1"/>
        <v>0</v>
      </c>
      <c r="E34" s="2885"/>
      <c r="F34" s="2886"/>
      <c r="G34" s="2887"/>
      <c r="H34" s="2884"/>
      <c r="I34" s="2881"/>
      <c r="J34" s="2156">
        <f t="shared" si="4"/>
        <v>0</v>
      </c>
      <c r="K34" s="2156">
        <f t="shared" si="2"/>
        <v>0</v>
      </c>
      <c r="L34" s="2156">
        <f t="shared" si="5"/>
        <v>0</v>
      </c>
      <c r="M34" s="1579"/>
      <c r="O34" s="1574"/>
      <c r="P34" s="1574"/>
      <c r="Q34" s="1572"/>
      <c r="R34" s="1575"/>
      <c r="S34" s="1574">
        <f t="shared" si="3"/>
        <v>0</v>
      </c>
      <c r="T34" s="8"/>
    </row>
    <row r="35" spans="1:20">
      <c r="C35" s="2165">
        <f t="shared" si="0"/>
        <v>0</v>
      </c>
      <c r="D35" s="2292">
        <f t="shared" si="1"/>
        <v>0</v>
      </c>
      <c r="E35" s="2888"/>
      <c r="F35" s="2886"/>
      <c r="G35" s="2887"/>
      <c r="H35" s="2884"/>
      <c r="I35" s="2881"/>
      <c r="J35" s="2156">
        <f t="shared" si="4"/>
        <v>0</v>
      </c>
      <c r="K35" s="2156">
        <f t="shared" si="2"/>
        <v>0</v>
      </c>
      <c r="L35" s="2156">
        <f t="shared" si="5"/>
        <v>0</v>
      </c>
      <c r="M35" s="1579"/>
      <c r="O35" s="1574"/>
      <c r="P35" s="1574"/>
      <c r="Q35" s="1572"/>
      <c r="R35" s="1575"/>
      <c r="S35" s="1574">
        <f t="shared" si="3"/>
        <v>0</v>
      </c>
      <c r="T35" s="8"/>
    </row>
    <row r="36" spans="1:20">
      <c r="C36" s="2165">
        <f t="shared" si="0"/>
        <v>0</v>
      </c>
      <c r="D36" s="2292">
        <f t="shared" si="1"/>
        <v>0</v>
      </c>
      <c r="E36" s="2888"/>
      <c r="F36" s="2886"/>
      <c r="G36" s="2887"/>
      <c r="H36" s="2884"/>
      <c r="I36" s="2881"/>
      <c r="J36" s="2156">
        <f>G36*(1-H36)</f>
        <v>0</v>
      </c>
      <c r="K36" s="2156">
        <f t="shared" si="2"/>
        <v>0</v>
      </c>
      <c r="L36" s="2156">
        <f t="shared" si="5"/>
        <v>0</v>
      </c>
      <c r="M36" s="1579"/>
      <c r="O36" s="1574"/>
      <c r="P36" s="1574"/>
      <c r="Q36" s="1572"/>
      <c r="R36" s="1575"/>
      <c r="S36" s="1574">
        <f t="shared" si="3"/>
        <v>0</v>
      </c>
      <c r="T36" s="8"/>
    </row>
    <row r="37" spans="1:20">
      <c r="C37" s="2293">
        <f t="shared" si="0"/>
        <v>0</v>
      </c>
      <c r="D37" s="2294">
        <f t="shared" si="1"/>
        <v>0</v>
      </c>
      <c r="E37" s="2889"/>
      <c r="F37" s="2890"/>
      <c r="G37" s="2891"/>
      <c r="H37" s="2892"/>
      <c r="I37" s="2893"/>
      <c r="J37" s="2157">
        <f>G37*(1-H37)</f>
        <v>0</v>
      </c>
      <c r="K37" s="2157">
        <f t="shared" si="2"/>
        <v>0</v>
      </c>
      <c r="L37" s="2157">
        <f t="shared" si="5"/>
        <v>0</v>
      </c>
      <c r="M37" s="1579"/>
      <c r="O37" s="1574"/>
      <c r="P37" s="1574"/>
      <c r="Q37" s="1572"/>
      <c r="R37" s="1575"/>
      <c r="S37" s="1574">
        <f t="shared" si="3"/>
        <v>0</v>
      </c>
      <c r="T37" s="8"/>
    </row>
    <row r="38" spans="1:20">
      <c r="C38" s="1528"/>
      <c r="D38" s="1528"/>
      <c r="E38" s="2051"/>
      <c r="F38" s="452"/>
      <c r="G38" s="1567"/>
      <c r="H38" s="579"/>
      <c r="I38" s="579"/>
      <c r="J38" s="2160"/>
      <c r="K38" s="2160"/>
      <c r="M38" s="1579"/>
      <c r="O38" s="1574"/>
      <c r="P38" s="1574"/>
      <c r="Q38" s="1572"/>
      <c r="R38" s="1575"/>
      <c r="S38" s="1574"/>
      <c r="T38" s="8"/>
    </row>
    <row r="39" spans="1:20">
      <c r="C39" s="1528"/>
      <c r="D39" s="1528"/>
      <c r="E39" s="2051"/>
      <c r="F39" s="1568" t="s">
        <v>2051</v>
      </c>
      <c r="G39" s="1567"/>
      <c r="H39" s="579"/>
      <c r="I39" s="579"/>
      <c r="J39" s="2160">
        <f>SUM(J27:J37)</f>
        <v>0</v>
      </c>
      <c r="K39" s="2160"/>
      <c r="M39" s="1579"/>
      <c r="O39" s="1574"/>
      <c r="P39" s="1574"/>
      <c r="Q39" s="1572"/>
      <c r="R39" s="1575"/>
      <c r="S39" s="1574"/>
      <c r="T39" s="8"/>
    </row>
    <row r="40" spans="1:20">
      <c r="C40" s="1528"/>
      <c r="D40" s="1528"/>
      <c r="E40" s="2051"/>
      <c r="F40" s="452"/>
      <c r="G40" s="1567"/>
      <c r="H40" s="579"/>
      <c r="I40" s="579"/>
      <c r="J40" s="2160"/>
      <c r="K40" s="2160"/>
      <c r="M40" s="1579"/>
      <c r="O40" s="1574"/>
      <c r="P40" s="1574"/>
      <c r="Q40" s="1572"/>
      <c r="R40" s="1575"/>
      <c r="S40" s="1574"/>
      <c r="T40" s="8"/>
    </row>
    <row r="41" spans="1:20">
      <c r="C41" s="1528"/>
      <c r="D41" s="1528"/>
      <c r="E41" s="2158"/>
      <c r="F41" s="130" t="s">
        <v>1798</v>
      </c>
      <c r="G41" s="130"/>
      <c r="H41" s="130"/>
      <c r="I41" s="130"/>
      <c r="J41" s="2161">
        <f>S41</f>
        <v>0</v>
      </c>
      <c r="K41" s="2161"/>
      <c r="M41" s="1579"/>
      <c r="O41" s="1574"/>
      <c r="P41" s="1574"/>
      <c r="Q41" s="1572"/>
      <c r="R41" s="1575"/>
      <c r="S41" s="1574">
        <f>SUM(S27:S37)</f>
        <v>0</v>
      </c>
      <c r="T41" s="8"/>
    </row>
    <row r="42" spans="1:20">
      <c r="A42" s="2158"/>
      <c r="C42" s="1528"/>
      <c r="D42" s="1528"/>
      <c r="E42" s="2051"/>
      <c r="F42" s="130"/>
      <c r="G42" s="130"/>
      <c r="H42" s="130"/>
      <c r="I42" s="130"/>
      <c r="J42" s="2161"/>
      <c r="K42" s="2161"/>
      <c r="M42" s="1579"/>
      <c r="O42" s="1574"/>
      <c r="P42" s="1574"/>
      <c r="Q42" s="1572"/>
      <c r="R42" s="1575"/>
      <c r="S42" s="1574"/>
      <c r="T42" s="8"/>
    </row>
    <row r="43" spans="1:20">
      <c r="A43" s="2158"/>
      <c r="C43" s="1528"/>
      <c r="D43" s="1528"/>
      <c r="E43" s="2051"/>
      <c r="F43" s="1528" t="s">
        <v>1799</v>
      </c>
      <c r="G43" s="580"/>
      <c r="H43" s="579"/>
      <c r="I43" s="579"/>
      <c r="J43" s="2162">
        <f>J39+J41</f>
        <v>0</v>
      </c>
      <c r="K43" s="2162"/>
      <c r="M43" s="1579"/>
      <c r="O43" s="1574">
        <f>J43</f>
        <v>0</v>
      </c>
      <c r="P43" s="1574">
        <f>+J43</f>
        <v>0</v>
      </c>
      <c r="Q43" s="1572"/>
      <c r="R43" s="1575"/>
      <c r="S43" s="1574"/>
      <c r="T43" s="8"/>
    </row>
    <row r="44" spans="1:20">
      <c r="A44" s="2158"/>
      <c r="C44" s="1528"/>
      <c r="D44" s="2299"/>
      <c r="E44" s="150"/>
      <c r="F44" s="2153"/>
      <c r="G44" s="2153"/>
      <c r="H44" s="2153"/>
      <c r="I44" s="2153"/>
      <c r="J44" s="2159"/>
      <c r="K44" s="2159"/>
      <c r="L44" s="2171"/>
      <c r="M44" s="2168"/>
      <c r="O44" s="1574"/>
      <c r="P44" s="1574"/>
      <c r="Q44" s="1574"/>
      <c r="R44" s="1572"/>
      <c r="S44" s="1575"/>
      <c r="T44" s="8"/>
    </row>
    <row r="45" spans="1:20">
      <c r="A45" s="2158"/>
      <c r="C45" s="1528"/>
      <c r="D45" s="1528"/>
      <c r="E45" s="45"/>
      <c r="F45" s="45"/>
      <c r="G45" s="45"/>
      <c r="H45" s="45"/>
      <c r="I45" s="45"/>
      <c r="J45" s="1570"/>
      <c r="K45" s="1570"/>
      <c r="L45" s="1570"/>
      <c r="M45" s="1570"/>
      <c r="N45" s="1570"/>
      <c r="O45" s="1574"/>
      <c r="P45" s="1572"/>
      <c r="Q45" s="1575"/>
      <c r="R45" s="1572"/>
      <c r="S45" s="1575"/>
      <c r="T45" s="8"/>
    </row>
    <row r="46" spans="1:20">
      <c r="A46" s="2158"/>
      <c r="B46" s="8"/>
      <c r="C46" s="1528"/>
      <c r="D46" s="1528"/>
      <c r="E46" s="29" t="s">
        <v>24</v>
      </c>
      <c r="F46" s="578"/>
      <c r="G46" s="578"/>
      <c r="H46" s="578"/>
      <c r="I46" s="578"/>
      <c r="J46" s="2291"/>
      <c r="K46" s="1572"/>
      <c r="L46" s="1570"/>
      <c r="M46" s="1570"/>
      <c r="N46" s="1570"/>
      <c r="O46" s="1574"/>
      <c r="P46" s="1572"/>
      <c r="Q46" s="1575"/>
      <c r="R46" s="1572"/>
      <c r="S46" s="1575"/>
      <c r="T46" s="8"/>
    </row>
    <row r="47" spans="1:20">
      <c r="A47" s="2158"/>
      <c r="B47" s="8"/>
      <c r="C47" s="1528"/>
      <c r="D47" s="1528"/>
      <c r="E47" s="2051"/>
      <c r="F47" s="130"/>
      <c r="G47" s="130"/>
      <c r="H47" s="130"/>
      <c r="I47" s="130"/>
      <c r="J47" s="1579"/>
      <c r="K47" s="1572"/>
      <c r="L47" s="1570"/>
      <c r="M47" s="1570"/>
      <c r="N47" s="1570"/>
      <c r="O47" s="1574"/>
      <c r="P47" s="1572"/>
      <c r="Q47" s="1575"/>
      <c r="R47" s="1572"/>
      <c r="S47" s="1575"/>
      <c r="T47" s="8"/>
    </row>
    <row r="48" spans="1:20" ht="38.25">
      <c r="A48" s="2158"/>
      <c r="B48" s="8"/>
      <c r="C48" s="1528"/>
      <c r="D48" s="1528"/>
      <c r="E48" s="2295" t="s">
        <v>2029</v>
      </c>
      <c r="F48" s="11" t="s">
        <v>23</v>
      </c>
      <c r="G48" s="11" t="s">
        <v>25</v>
      </c>
      <c r="H48" s="11" t="s">
        <v>414</v>
      </c>
      <c r="I48" s="577"/>
      <c r="J48" s="1579"/>
      <c r="K48" s="1572"/>
      <c r="L48" s="1570"/>
      <c r="M48" s="1570"/>
      <c r="N48" s="1570"/>
      <c r="O48" s="1574"/>
      <c r="P48" s="1572"/>
      <c r="Q48" s="1575"/>
      <c r="R48" s="1572"/>
      <c r="S48" s="1575"/>
      <c r="T48" s="8"/>
    </row>
    <row r="49" spans="1:20">
      <c r="A49" s="2158"/>
      <c r="B49" s="8"/>
      <c r="C49" s="1528"/>
      <c r="D49" s="1528"/>
      <c r="E49" s="2894" t="s">
        <v>441</v>
      </c>
      <c r="F49" s="2894"/>
      <c r="G49" s="2895"/>
      <c r="H49" s="2896"/>
      <c r="I49" s="1635">
        <f>G49*(1-H49)</f>
        <v>0</v>
      </c>
      <c r="J49" s="1579"/>
      <c r="K49" s="1572"/>
      <c r="L49" s="1570"/>
      <c r="M49" s="1570"/>
      <c r="N49" s="1570"/>
      <c r="O49" s="1574"/>
      <c r="P49" s="1572"/>
      <c r="Q49" s="1575"/>
      <c r="R49" s="1572"/>
      <c r="S49" s="1575"/>
      <c r="T49" s="8"/>
    </row>
    <row r="50" spans="1:20">
      <c r="A50" s="2158"/>
      <c r="B50" s="8"/>
      <c r="C50" s="1528"/>
      <c r="D50" s="1528"/>
      <c r="E50" s="2894" t="s">
        <v>441</v>
      </c>
      <c r="F50" s="2882"/>
      <c r="G50" s="2897"/>
      <c r="H50" s="2898"/>
      <c r="I50" s="1636">
        <f>G50*(1-H50)</f>
        <v>0</v>
      </c>
      <c r="J50" s="1579"/>
      <c r="K50" s="1572"/>
      <c r="L50" s="1570"/>
      <c r="M50" s="1570"/>
      <c r="N50" s="1570"/>
      <c r="O50" s="1574"/>
      <c r="P50" s="1572"/>
      <c r="Q50" s="1575"/>
      <c r="R50" s="1572"/>
      <c r="S50" s="1575"/>
      <c r="T50" s="8"/>
    </row>
    <row r="51" spans="1:20">
      <c r="A51" s="2158"/>
      <c r="B51" s="8"/>
      <c r="C51" s="1528"/>
      <c r="D51" s="1528"/>
      <c r="E51" s="2894" t="s">
        <v>441</v>
      </c>
      <c r="F51" s="2899"/>
      <c r="G51" s="2900"/>
      <c r="H51" s="2901"/>
      <c r="I51" s="1634">
        <f>G51*(1-H51)</f>
        <v>0</v>
      </c>
      <c r="J51" s="1579"/>
      <c r="K51" s="1572"/>
      <c r="L51" s="1570"/>
      <c r="M51" s="1570"/>
      <c r="N51" s="1570"/>
      <c r="O51" s="1574"/>
      <c r="P51" s="1572"/>
      <c r="Q51" s="1575"/>
      <c r="R51" s="1572"/>
      <c r="S51" s="1575"/>
      <c r="T51" s="8"/>
    </row>
    <row r="52" spans="1:20">
      <c r="A52" s="2158"/>
      <c r="B52" s="8"/>
      <c r="C52" s="1528"/>
      <c r="D52" s="1528"/>
      <c r="E52" s="2051"/>
      <c r="F52" s="130"/>
      <c r="G52" s="581"/>
      <c r="H52" s="579"/>
      <c r="J52" s="1579"/>
      <c r="K52" s="1572"/>
      <c r="L52" s="1570"/>
      <c r="M52" s="1570"/>
      <c r="N52" s="1570"/>
      <c r="O52" s="1575"/>
      <c r="P52" s="1580"/>
      <c r="Q52" s="1575"/>
      <c r="R52" s="1580"/>
      <c r="S52" s="1575"/>
      <c r="T52" s="8"/>
    </row>
    <row r="53" spans="1:20">
      <c r="A53" s="2158"/>
      <c r="B53" s="8"/>
      <c r="C53" s="1528"/>
      <c r="D53" s="1528"/>
      <c r="E53" s="2051"/>
      <c r="F53" s="130"/>
      <c r="G53" s="581"/>
      <c r="H53" s="579"/>
      <c r="J53" s="1579"/>
      <c r="K53" s="1572"/>
      <c r="L53" s="1570"/>
      <c r="M53" s="1570"/>
      <c r="N53" s="1570"/>
      <c r="O53" s="1575"/>
      <c r="P53" s="1580"/>
      <c r="Q53" s="1575"/>
      <c r="R53" s="1580"/>
      <c r="S53" s="1575"/>
      <c r="T53" s="8"/>
    </row>
    <row r="54" spans="1:20">
      <c r="A54" s="2158"/>
      <c r="B54" s="8"/>
      <c r="C54" s="1528"/>
      <c r="D54" s="1528"/>
      <c r="E54" s="2089" t="s">
        <v>2028</v>
      </c>
      <c r="H54" s="579"/>
      <c r="I54" s="2297">
        <f>SUMIF($E$49:$E$51,"Yes",$I$49:$I$51)</f>
        <v>0</v>
      </c>
      <c r="J54" s="28"/>
      <c r="K54" s="8"/>
      <c r="L54" s="1570"/>
      <c r="M54" s="1570"/>
      <c r="N54" s="1570"/>
      <c r="O54" s="1575"/>
      <c r="P54" s="1580"/>
      <c r="Q54" s="1575"/>
      <c r="R54" s="1580"/>
      <c r="S54" s="1575"/>
      <c r="T54" s="8"/>
    </row>
    <row r="55" spans="1:20">
      <c r="A55" s="2158"/>
      <c r="B55" s="8"/>
      <c r="C55" s="1528"/>
      <c r="D55" s="1528"/>
      <c r="E55" s="2092" t="s">
        <v>2030</v>
      </c>
      <c r="H55" s="579"/>
      <c r="J55" s="1581">
        <f>SUMIF($E$49:$E$51,"No",$I$49:$I$51)</f>
        <v>0</v>
      </c>
      <c r="K55" s="157"/>
      <c r="L55" s="1570"/>
      <c r="M55" s="1570"/>
      <c r="N55" s="1570"/>
      <c r="O55" s="1575">
        <f>-J55</f>
        <v>0</v>
      </c>
      <c r="P55" s="1580"/>
      <c r="Q55" s="1575"/>
      <c r="R55" s="1580"/>
      <c r="S55" s="1575"/>
      <c r="T55" s="8"/>
    </row>
    <row r="56" spans="1:20">
      <c r="A56" s="2158"/>
      <c r="B56" s="8"/>
      <c r="C56" s="1528"/>
      <c r="D56" s="1528"/>
      <c r="E56" s="2051"/>
      <c r="F56" s="130"/>
      <c r="G56" s="581"/>
      <c r="H56" s="579"/>
      <c r="I56" s="130"/>
      <c r="J56" s="1581"/>
      <c r="K56" s="2300"/>
      <c r="L56" s="1570"/>
      <c r="M56" s="1570"/>
      <c r="N56" s="1570"/>
      <c r="O56" s="1575"/>
      <c r="P56" s="1580"/>
      <c r="Q56" s="1575"/>
      <c r="R56" s="1580"/>
      <c r="S56" s="1575"/>
      <c r="T56" s="8"/>
    </row>
    <row r="57" spans="1:20">
      <c r="A57" s="2158"/>
      <c r="B57" s="8"/>
      <c r="C57" s="1528"/>
      <c r="D57" s="1528"/>
      <c r="E57" s="2296" t="s">
        <v>1801</v>
      </c>
      <c r="F57" s="130"/>
      <c r="G57" s="581"/>
      <c r="H57" s="579"/>
      <c r="I57" s="130"/>
      <c r="J57" s="1581">
        <f>O21+O43+O55</f>
        <v>0</v>
      </c>
      <c r="K57" s="2300"/>
      <c r="L57" s="1570"/>
      <c r="M57" s="1570"/>
      <c r="N57" s="1570"/>
      <c r="O57" s="1575"/>
      <c r="P57" s="1580"/>
      <c r="Q57" s="1575"/>
      <c r="R57" s="1580"/>
      <c r="S57" s="1575"/>
      <c r="T57" s="8"/>
    </row>
    <row r="58" spans="1:20">
      <c r="A58" s="2158"/>
      <c r="B58" s="8"/>
      <c r="C58" s="1528"/>
      <c r="D58" s="1528"/>
      <c r="E58" s="2051"/>
      <c r="F58" s="130"/>
      <c r="G58" s="581"/>
      <c r="H58" s="579"/>
      <c r="I58" s="130"/>
      <c r="J58" s="1581"/>
      <c r="K58" s="2300"/>
      <c r="L58" s="1570"/>
      <c r="M58" s="1570"/>
      <c r="N58" s="1570"/>
      <c r="O58" s="1575"/>
      <c r="P58" s="1580"/>
      <c r="Q58" s="1575"/>
      <c r="R58" s="1580"/>
      <c r="S58" s="1575"/>
      <c r="T58" s="8"/>
    </row>
    <row r="59" spans="1:20">
      <c r="E59" s="2051" t="str">
        <f>"Immediate Deduction for Low Pool Balance"&amp;IF(OR(T11=44377,T11=44742)," (Temporary full expensing)","")</f>
        <v>Immediate Deduction for Low Pool Balance</v>
      </c>
      <c r="F59" s="130"/>
      <c r="G59" s="581"/>
      <c r="H59" s="579"/>
      <c r="I59" s="130"/>
      <c r="J59" s="1581">
        <f>IF(OR(T11=45107,T11=44742),IF(J57&lt;0,0,-J57),IF(J57&lt;VLOOKUP(T11,$E$120:$F$132,2,FALSE),-J57,0))</f>
        <v>0</v>
      </c>
      <c r="K59" s="2300"/>
      <c r="L59" s="1570"/>
      <c r="M59" s="1570"/>
      <c r="N59" s="1570"/>
      <c r="O59" s="1575">
        <f>J59</f>
        <v>0</v>
      </c>
      <c r="P59" s="1580"/>
      <c r="Q59" s="1575"/>
      <c r="R59" s="1580"/>
      <c r="S59" s="1575">
        <f>J59</f>
        <v>0</v>
      </c>
    </row>
    <row r="60" spans="1:20">
      <c r="E60" s="2092" t="s">
        <v>2215</v>
      </c>
      <c r="F60" s="130"/>
      <c r="G60" s="581"/>
      <c r="H60" s="579"/>
      <c r="I60" s="130"/>
      <c r="J60" s="1581"/>
      <c r="K60" s="2300"/>
      <c r="L60" s="1570"/>
      <c r="M60" s="1570"/>
      <c r="N60" s="1570"/>
      <c r="O60" s="1575"/>
      <c r="P60" s="1580"/>
      <c r="Q60" s="1575"/>
      <c r="R60" s="1580"/>
      <c r="S60" s="1575"/>
    </row>
    <row r="61" spans="1:20">
      <c r="E61" s="2092"/>
      <c r="F61" s="130"/>
      <c r="G61" s="581"/>
      <c r="H61" s="579"/>
      <c r="I61" s="130"/>
      <c r="J61" s="1581"/>
      <c r="K61" s="2300"/>
      <c r="L61" s="1570"/>
      <c r="M61" s="1570"/>
      <c r="N61" s="1570"/>
      <c r="O61" s="1575"/>
      <c r="P61" s="1580"/>
      <c r="Q61" s="1575"/>
      <c r="R61" s="1580"/>
      <c r="S61" s="1575"/>
    </row>
    <row r="62" spans="1:20">
      <c r="E62" s="2051" t="s">
        <v>2220</v>
      </c>
      <c r="F62" s="130"/>
      <c r="G62" s="130"/>
      <c r="H62" s="130"/>
      <c r="I62" s="130"/>
      <c r="J62" s="1581">
        <f>IF(OR(J59&lt;0,J57&lt;=0),0,J21*30%)</f>
        <v>0</v>
      </c>
      <c r="K62" s="2300"/>
      <c r="L62" s="1570"/>
      <c r="M62" s="1570"/>
      <c r="N62" s="1570"/>
      <c r="O62" s="1574">
        <f>-J62</f>
        <v>0</v>
      </c>
      <c r="P62" s="1572"/>
      <c r="Q62" s="1575">
        <f>O62</f>
        <v>0</v>
      </c>
      <c r="R62" s="1572"/>
      <c r="S62" s="1575"/>
    </row>
    <row r="63" spans="1:20">
      <c r="E63" s="2092" t="s">
        <v>2221</v>
      </c>
      <c r="F63" s="130"/>
      <c r="G63" s="130"/>
      <c r="H63" s="130"/>
      <c r="I63" s="130"/>
      <c r="J63" s="1581">
        <f>IF(OR($J$59&lt;0,$J$57&lt;=0),0,SUMIF($L$27:$L$37,0,$K$27:$K$37)*15%)</f>
        <v>0</v>
      </c>
      <c r="K63" s="2300"/>
      <c r="L63" s="1570"/>
      <c r="M63" s="1570"/>
      <c r="N63" s="1570"/>
      <c r="O63" s="1574">
        <f>-J63</f>
        <v>0</v>
      </c>
      <c r="P63" s="1572"/>
      <c r="Q63" s="1575">
        <f>O63</f>
        <v>0</v>
      </c>
      <c r="R63" s="1572"/>
      <c r="S63" s="1575"/>
    </row>
    <row r="64" spans="1:20">
      <c r="E64" s="2092" t="s">
        <v>2224</v>
      </c>
      <c r="F64" s="130"/>
      <c r="G64" s="130"/>
      <c r="H64" s="130"/>
      <c r="I64" s="130"/>
      <c r="J64" s="1581">
        <f>IF(OR($J$59&lt;0,$J$57&lt;=0),0,SUMIF($L$27:$L$37,1,$G$27:$G$37)*57.5%)</f>
        <v>0</v>
      </c>
      <c r="K64" s="2300"/>
      <c r="L64" s="1570"/>
      <c r="M64" s="1570"/>
      <c r="N64" s="1570"/>
      <c r="O64" s="1574">
        <f>-J64</f>
        <v>0</v>
      </c>
      <c r="P64" s="1572"/>
      <c r="Q64" s="1575">
        <f>O64</f>
        <v>0</v>
      </c>
      <c r="R64" s="1572"/>
      <c r="S64" s="1575"/>
    </row>
    <row r="65" spans="5:25">
      <c r="E65" s="2051"/>
      <c r="F65" s="130"/>
      <c r="G65" s="581"/>
      <c r="H65" s="579"/>
      <c r="I65" s="579"/>
      <c r="J65" s="1581"/>
      <c r="K65" s="2300"/>
      <c r="L65" s="1570"/>
      <c r="M65" s="1570"/>
      <c r="N65" s="1570"/>
      <c r="O65" s="1574"/>
      <c r="P65" s="1580"/>
      <c r="Q65" s="1575"/>
      <c r="R65" s="1580"/>
      <c r="S65" s="1575"/>
      <c r="U65" s="1479"/>
    </row>
    <row r="66" spans="5:25">
      <c r="E66" s="2092" t="s">
        <v>1802</v>
      </c>
      <c r="F66" s="130"/>
      <c r="G66" s="581"/>
      <c r="H66" s="579"/>
      <c r="I66" s="579"/>
      <c r="J66" s="1581">
        <f>SUM(O18:O70)</f>
        <v>0</v>
      </c>
      <c r="K66" s="2300"/>
      <c r="L66" s="1570"/>
      <c r="M66" s="1570"/>
      <c r="N66" s="1570"/>
      <c r="O66" s="1574"/>
      <c r="P66" s="1580"/>
      <c r="Q66" s="1575"/>
      <c r="R66" s="1580"/>
      <c r="S66" s="1575"/>
    </row>
    <row r="67" spans="5:25">
      <c r="E67" s="2051"/>
      <c r="F67" s="130"/>
      <c r="G67" s="581"/>
      <c r="H67" s="579"/>
      <c r="I67" s="579"/>
      <c r="J67" s="1581"/>
      <c r="K67" s="2300"/>
      <c r="L67" s="1570"/>
      <c r="M67" s="1570"/>
      <c r="N67" s="1570"/>
      <c r="O67" s="1575"/>
      <c r="P67" s="1580"/>
      <c r="Q67" s="1575"/>
      <c r="R67" s="1580"/>
      <c r="S67" s="1575"/>
    </row>
    <row r="68" spans="5:25">
      <c r="E68" s="2092" t="s">
        <v>1803</v>
      </c>
      <c r="F68" s="130"/>
      <c r="G68" s="581"/>
      <c r="H68" s="579"/>
      <c r="I68" s="579"/>
      <c r="J68" s="1581">
        <f>IF(J57&lt;0,-J57,0)</f>
        <v>0</v>
      </c>
      <c r="K68" s="2300"/>
      <c r="L68" s="1570"/>
      <c r="M68" s="1570"/>
      <c r="N68" s="1570"/>
      <c r="O68" s="1575">
        <f>J68</f>
        <v>0</v>
      </c>
      <c r="P68" s="1580"/>
      <c r="Q68" s="1575"/>
      <c r="R68" s="1580"/>
      <c r="S68" s="1575"/>
    </row>
    <row r="69" spans="5:25">
      <c r="E69" s="2092" t="s">
        <v>2214</v>
      </c>
      <c r="F69" s="130"/>
      <c r="G69" s="581"/>
      <c r="H69" s="579"/>
      <c r="I69" s="579"/>
      <c r="J69" s="1581">
        <f>I54</f>
        <v>0</v>
      </c>
      <c r="K69" s="2300"/>
      <c r="L69" s="1570"/>
      <c r="M69" s="1570"/>
      <c r="N69" s="1570"/>
      <c r="O69" s="1575"/>
      <c r="P69" s="1580"/>
      <c r="Q69" s="1575"/>
      <c r="R69" s="1580"/>
      <c r="S69" s="1575"/>
    </row>
    <row r="70" spans="5:25">
      <c r="E70" s="2051"/>
      <c r="F70" s="130"/>
      <c r="G70" s="581"/>
      <c r="H70" s="579"/>
      <c r="I70" s="579"/>
      <c r="J70" s="1581"/>
      <c r="K70" s="2300"/>
      <c r="L70" s="1570"/>
      <c r="M70" s="1570"/>
      <c r="N70" s="1570"/>
      <c r="O70" s="2155"/>
      <c r="P70" s="1580"/>
      <c r="Q70" s="1575"/>
      <c r="R70" s="1580"/>
      <c r="S70" s="2155"/>
    </row>
    <row r="71" spans="5:25" ht="13.5" thickBot="1">
      <c r="E71" s="150" t="s">
        <v>1800</v>
      </c>
      <c r="F71" s="148"/>
      <c r="G71" s="148"/>
      <c r="H71" s="148"/>
      <c r="I71" s="148"/>
      <c r="J71" s="2168"/>
      <c r="K71" s="1572"/>
      <c r="L71" s="1570"/>
      <c r="M71" s="1570"/>
      <c r="N71" s="1570"/>
      <c r="O71" s="1582">
        <f>SUM(O18:O70)</f>
        <v>0</v>
      </c>
      <c r="P71" s="1580"/>
      <c r="Q71" s="1582">
        <f>SUM(Q18:Q70)</f>
        <v>0</v>
      </c>
      <c r="R71" s="1580"/>
      <c r="S71" s="1582">
        <f>SUM(S41:S70)</f>
        <v>0</v>
      </c>
    </row>
    <row r="72" spans="5:25" ht="13.5" thickTop="1">
      <c r="E72" s="45"/>
      <c r="F72" s="45"/>
      <c r="G72" s="45"/>
      <c r="H72" s="45"/>
      <c r="I72" s="45"/>
      <c r="J72" s="582"/>
      <c r="K72" s="582"/>
      <c r="L72" s="45"/>
      <c r="M72" s="45"/>
      <c r="N72" s="45"/>
      <c r="O72" s="45"/>
      <c r="P72" s="45"/>
      <c r="Q72" s="45"/>
      <c r="R72" s="45"/>
      <c r="S72" s="45"/>
      <c r="T72" s="45"/>
      <c r="U72" s="45"/>
      <c r="V72" s="45"/>
      <c r="W72" s="45"/>
      <c r="X72" s="45"/>
      <c r="Y72" s="45"/>
    </row>
    <row r="73" spans="5:25">
      <c r="E73" s="45"/>
      <c r="F73" s="45"/>
      <c r="G73" s="45"/>
      <c r="H73" s="45"/>
      <c r="O73" s="3" t="s">
        <v>221</v>
      </c>
      <c r="P73" s="3"/>
      <c r="Q73" s="3" t="s">
        <v>222</v>
      </c>
    </row>
    <row r="74" spans="5:25">
      <c r="E74" s="22" t="s">
        <v>223</v>
      </c>
      <c r="F74" s="45"/>
      <c r="G74" s="22"/>
      <c r="J74" s="49"/>
      <c r="O74" s="10"/>
      <c r="P74" s="10"/>
      <c r="Q74" s="10"/>
      <c r="R74" s="10"/>
      <c r="S74" s="10"/>
    </row>
    <row r="75" spans="5:25">
      <c r="F75" s="45"/>
      <c r="G75" s="1"/>
      <c r="J75" s="49"/>
      <c r="O75" s="1880" t="s">
        <v>941</v>
      </c>
      <c r="P75" s="11"/>
      <c r="Q75" s="168"/>
      <c r="R75" s="11"/>
      <c r="S75" s="11"/>
    </row>
    <row r="76" spans="5:25">
      <c r="E76" s="3" t="s">
        <v>942</v>
      </c>
      <c r="F76" s="583"/>
      <c r="G76" s="3"/>
      <c r="O76" s="2902">
        <f>Period_End</f>
        <v>45473</v>
      </c>
      <c r="P76" s="585"/>
      <c r="Q76" s="2902" t="str">
        <f>TEXT((YEAR($O$76)-1),"####")</f>
        <v>2023</v>
      </c>
      <c r="R76" s="17"/>
      <c r="S76" s="8"/>
    </row>
    <row r="77" spans="5:25">
      <c r="F77" s="582"/>
      <c r="G77" s="1"/>
      <c r="O77" s="10"/>
      <c r="P77" s="27"/>
      <c r="Q77" s="10"/>
    </row>
    <row r="78" spans="5:25">
      <c r="E78" s="2684"/>
      <c r="F78" s="2685"/>
      <c r="G78" s="2685"/>
      <c r="H78" s="2685"/>
      <c r="I78" s="2685"/>
      <c r="J78" s="2685"/>
      <c r="K78" s="2288"/>
      <c r="L78" s="2114"/>
      <c r="O78" s="2903"/>
      <c r="P78" s="586"/>
      <c r="Q78" s="2903"/>
    </row>
    <row r="79" spans="5:25">
      <c r="E79" s="2694"/>
      <c r="F79" s="2692"/>
      <c r="G79" s="2692"/>
      <c r="H79" s="2692"/>
      <c r="I79" s="2692"/>
      <c r="J79" s="2692"/>
      <c r="K79" s="2287"/>
      <c r="L79" s="2113"/>
      <c r="O79" s="2904"/>
      <c r="P79" s="586"/>
      <c r="Q79" s="2904"/>
    </row>
    <row r="80" spans="5:25">
      <c r="E80" s="2694"/>
      <c r="F80" s="2692"/>
      <c r="G80" s="2692"/>
      <c r="H80" s="2692"/>
      <c r="I80" s="2692"/>
      <c r="J80" s="2692"/>
      <c r="K80" s="2287"/>
      <c r="L80" s="2113"/>
      <c r="O80" s="2904"/>
      <c r="P80" s="586"/>
      <c r="Q80" s="2904"/>
    </row>
    <row r="81" spans="5:17">
      <c r="E81" s="2696"/>
      <c r="F81" s="2697"/>
      <c r="G81" s="2697"/>
      <c r="H81" s="2697"/>
      <c r="I81" s="2697"/>
      <c r="J81" s="2697"/>
      <c r="K81" s="2289"/>
      <c r="L81" s="2115"/>
      <c r="O81" s="2905"/>
      <c r="P81" s="586"/>
      <c r="Q81" s="2905"/>
    </row>
    <row r="82" spans="5:17">
      <c r="E82" s="3" t="s">
        <v>943</v>
      </c>
      <c r="F82" s="579"/>
      <c r="G82" s="3"/>
      <c r="O82" s="386">
        <f>SUM(O78:O81)</f>
        <v>0</v>
      </c>
      <c r="P82" s="587"/>
      <c r="Q82" s="386">
        <f>SUM(Q78:Q81)</f>
        <v>0</v>
      </c>
    </row>
    <row r="83" spans="5:17">
      <c r="F83" s="582"/>
      <c r="G83" s="1"/>
    </row>
    <row r="84" spans="5:17">
      <c r="E84" s="3" t="s">
        <v>944</v>
      </c>
      <c r="F84" s="582"/>
      <c r="G84" s="3"/>
      <c r="O84" s="408"/>
      <c r="P84" s="588"/>
      <c r="Q84" s="408"/>
    </row>
    <row r="85" spans="5:17">
      <c r="E85" s="1" t="s">
        <v>945</v>
      </c>
      <c r="F85" s="582"/>
      <c r="G85" s="1"/>
      <c r="O85" s="2903"/>
      <c r="P85" s="586"/>
      <c r="Q85" s="2903"/>
    </row>
    <row r="86" spans="5:17">
      <c r="E86" s="1" t="s">
        <v>946</v>
      </c>
      <c r="F86" s="582"/>
      <c r="G86" s="1"/>
      <c r="O86" s="2904"/>
      <c r="P86" s="586"/>
      <c r="Q86" s="2904"/>
    </row>
    <row r="87" spans="5:17">
      <c r="E87" s="2717"/>
      <c r="F87" s="2685"/>
      <c r="G87" s="2685"/>
      <c r="H87" s="2685"/>
      <c r="I87" s="2685"/>
      <c r="J87" s="2685"/>
      <c r="K87" s="2288"/>
      <c r="L87" s="2114"/>
      <c r="O87" s="2906"/>
      <c r="P87" s="586"/>
      <c r="Q87" s="2904"/>
    </row>
    <row r="88" spans="5:17">
      <c r="E88" s="2696"/>
      <c r="F88" s="2697"/>
      <c r="G88" s="2697"/>
      <c r="H88" s="2697"/>
      <c r="I88" s="2697"/>
      <c r="J88" s="2697"/>
      <c r="K88" s="2289"/>
      <c r="L88" s="2115"/>
      <c r="O88" s="2905"/>
      <c r="P88" s="586"/>
      <c r="Q88" s="2905"/>
    </row>
    <row r="89" spans="5:17">
      <c r="E89" s="1" t="s">
        <v>947</v>
      </c>
      <c r="F89" s="582"/>
      <c r="G89" s="1"/>
      <c r="O89" s="408">
        <f>O82+SUM(O85:O88)</f>
        <v>0</v>
      </c>
      <c r="P89" s="588"/>
      <c r="Q89" s="408">
        <f>Q82+SUM(Q85:Q88)</f>
        <v>0</v>
      </c>
    </row>
    <row r="90" spans="5:17">
      <c r="F90" s="582"/>
      <c r="G90" s="1"/>
    </row>
    <row r="91" spans="5:17">
      <c r="E91" s="9" t="s">
        <v>1243</v>
      </c>
      <c r="F91" s="9"/>
      <c r="G91" s="9"/>
      <c r="H91" s="9"/>
      <c r="I91" s="9"/>
      <c r="J91" s="9"/>
      <c r="K91" s="9"/>
      <c r="L91" s="9"/>
      <c r="O91" s="408"/>
      <c r="P91" s="588"/>
      <c r="Q91" s="408"/>
    </row>
    <row r="92" spans="5:17">
      <c r="E92" s="1" t="s">
        <v>224</v>
      </c>
      <c r="F92" s="582"/>
      <c r="G92" s="1"/>
      <c r="O92" s="2903"/>
      <c r="P92" s="586"/>
      <c r="Q92" s="2903"/>
    </row>
    <row r="93" spans="5:17">
      <c r="E93" s="1" t="s">
        <v>225</v>
      </c>
      <c r="F93" s="582"/>
      <c r="G93" s="1"/>
      <c r="O93" s="2904"/>
      <c r="P93" s="586"/>
      <c r="Q93" s="2904"/>
    </row>
    <row r="94" spans="5:17">
      <c r="E94" s="1" t="s">
        <v>226</v>
      </c>
      <c r="F94" s="582"/>
      <c r="G94" s="1"/>
      <c r="O94" s="2904"/>
      <c r="P94" s="586"/>
      <c r="Q94" s="2904"/>
    </row>
    <row r="95" spans="5:17">
      <c r="F95" s="582"/>
      <c r="G95" s="1"/>
      <c r="O95" s="2904"/>
      <c r="P95" s="586"/>
      <c r="Q95" s="2904"/>
    </row>
    <row r="96" spans="5:17">
      <c r="F96" s="582"/>
      <c r="G96" s="1"/>
      <c r="O96" s="2904"/>
      <c r="P96" s="586"/>
      <c r="Q96" s="2904"/>
    </row>
    <row r="97" spans="5:25">
      <c r="E97" s="2717"/>
      <c r="F97" s="2685"/>
      <c r="G97" s="2685"/>
      <c r="H97" s="2685"/>
      <c r="I97" s="2685"/>
      <c r="J97" s="2685"/>
      <c r="K97" s="2288"/>
      <c r="L97" s="2114"/>
      <c r="O97" s="2904"/>
      <c r="P97" s="586"/>
      <c r="Q97" s="2904"/>
    </row>
    <row r="98" spans="5:25">
      <c r="E98" s="2696"/>
      <c r="F98" s="2697"/>
      <c r="G98" s="2697"/>
      <c r="H98" s="2697"/>
      <c r="I98" s="2697"/>
      <c r="J98" s="2697"/>
      <c r="K98" s="2289"/>
      <c r="L98" s="2115"/>
      <c r="O98" s="2905"/>
      <c r="P98" s="586"/>
      <c r="Q98" s="2905"/>
    </row>
    <row r="99" spans="5:25">
      <c r="F99" s="582"/>
      <c r="G99" s="1"/>
      <c r="P99" s="8"/>
    </row>
    <row r="100" spans="5:25">
      <c r="E100" s="3" t="s">
        <v>1226</v>
      </c>
      <c r="F100" s="582"/>
      <c r="G100" s="3" t="s">
        <v>1226</v>
      </c>
      <c r="O100" s="408">
        <f>O89-SUM(O92:O98)</f>
        <v>0</v>
      </c>
      <c r="P100" s="588"/>
      <c r="Q100" s="408">
        <f>Q89-SUM(Q92:Q98)</f>
        <v>0</v>
      </c>
    </row>
    <row r="101" spans="5:25">
      <c r="F101" s="584"/>
      <c r="G101" s="1"/>
      <c r="O101" s="408" t="str">
        <f>IF(MAX($O$100:$R$100)=O$100,"","Y")</f>
        <v/>
      </c>
      <c r="P101" s="588"/>
      <c r="Q101" s="408" t="str">
        <f>IF(MAX($O$100:$R$100)=Q$100,"","Y")</f>
        <v/>
      </c>
      <c r="S101" s="408"/>
      <c r="Y101" s="408"/>
    </row>
    <row r="102" spans="5:25">
      <c r="F102" s="45"/>
      <c r="G102" s="1"/>
      <c r="O102" s="409"/>
      <c r="P102" s="589"/>
      <c r="Q102" s="409"/>
      <c r="S102" s="409"/>
      <c r="Y102" s="409"/>
    </row>
    <row r="103" spans="5:25">
      <c r="E103" s="3" t="s">
        <v>2044</v>
      </c>
      <c r="F103" s="45"/>
      <c r="G103" s="3"/>
      <c r="O103" s="662" t="str">
        <f>IF(O100&lt;10000000,"Y","N")</f>
        <v>Y</v>
      </c>
      <c r="P103" s="665"/>
      <c r="Q103" s="663" t="str">
        <f>IF(Q100&lt;10000000,"Y","N")</f>
        <v>Y</v>
      </c>
      <c r="R103" s="666"/>
      <c r="S103" s="664"/>
      <c r="X103" s="664"/>
      <c r="Y103" s="664"/>
    </row>
    <row r="104" spans="5:25">
      <c r="E104" s="1" t="s">
        <v>227</v>
      </c>
      <c r="F104" s="45"/>
      <c r="G104" s="1"/>
    </row>
    <row r="105" spans="5:25">
      <c r="E105" s="1479" t="s">
        <v>2045</v>
      </c>
      <c r="F105" s="45"/>
      <c r="G105" s="1"/>
      <c r="O105" s="408"/>
      <c r="P105" s="588"/>
      <c r="Q105" s="408"/>
      <c r="S105" s="408"/>
      <c r="Y105" s="408"/>
    </row>
    <row r="106" spans="5:25">
      <c r="E106" s="1479" t="s">
        <v>2046</v>
      </c>
      <c r="G106" s="1"/>
    </row>
    <row r="107" spans="5:25">
      <c r="G107" s="1"/>
      <c r="H107" s="667" t="s">
        <v>228</v>
      </c>
    </row>
    <row r="108" spans="5:25">
      <c r="G108" s="1"/>
      <c r="H108" s="667"/>
    </row>
    <row r="109" spans="5:25">
      <c r="E109" s="3" t="s">
        <v>172</v>
      </c>
    </row>
    <row r="110" spans="5:25" ht="53.25" customHeight="1">
      <c r="E110" s="2705"/>
      <c r="F110" s="2706"/>
      <c r="G110" s="2706"/>
      <c r="H110" s="2706"/>
      <c r="I110" s="2706"/>
      <c r="J110" s="2706"/>
      <c r="K110" s="2706"/>
      <c r="L110" s="2706"/>
      <c r="M110" s="2706"/>
      <c r="N110" s="2706"/>
      <c r="O110" s="2706"/>
      <c r="P110" s="2706"/>
      <c r="Q110" s="2706"/>
      <c r="R110" s="2706"/>
      <c r="S110" s="2706"/>
      <c r="T110" s="2707"/>
    </row>
    <row r="117" spans="5:6" hidden="1">
      <c r="E117" s="22" t="s">
        <v>2229</v>
      </c>
      <c r="F117" s="2154"/>
    </row>
    <row r="118" spans="5:6" hidden="1">
      <c r="F118" s="1479"/>
    </row>
    <row r="119" spans="5:6" hidden="1">
      <c r="E119" s="3842" t="s">
        <v>2217</v>
      </c>
      <c r="F119" s="3842"/>
    </row>
    <row r="120" spans="5:6" hidden="1">
      <c r="E120" s="2327">
        <v>41090</v>
      </c>
      <c r="F120" s="2326">
        <v>1000</v>
      </c>
    </row>
    <row r="121" spans="5:6" hidden="1">
      <c r="E121" s="2328">
        <v>41455</v>
      </c>
      <c r="F121" s="2326">
        <v>6500</v>
      </c>
    </row>
    <row r="122" spans="5:6" hidden="1">
      <c r="E122" s="2327">
        <v>41820</v>
      </c>
      <c r="F122" s="2326">
        <v>1000</v>
      </c>
    </row>
    <row r="123" spans="5:6" hidden="1">
      <c r="E123" s="2328">
        <v>42185</v>
      </c>
      <c r="F123" s="2326">
        <v>20000</v>
      </c>
    </row>
    <row r="124" spans="5:6" hidden="1">
      <c r="E124" s="2327">
        <v>42551</v>
      </c>
      <c r="F124" s="2326">
        <v>20000</v>
      </c>
    </row>
    <row r="125" spans="5:6" hidden="1">
      <c r="E125" s="2328">
        <v>42916</v>
      </c>
      <c r="F125" s="2326">
        <v>20000</v>
      </c>
    </row>
    <row r="126" spans="5:6" hidden="1">
      <c r="E126" s="2327">
        <v>43281</v>
      </c>
      <c r="F126" s="2326">
        <v>20000</v>
      </c>
    </row>
    <row r="127" spans="5:6" hidden="1">
      <c r="E127" s="2328">
        <v>43646</v>
      </c>
      <c r="F127" s="2326">
        <v>30000</v>
      </c>
    </row>
    <row r="128" spans="5:6" hidden="1">
      <c r="E128" s="2327">
        <v>44012</v>
      </c>
      <c r="F128" s="2326">
        <v>150000</v>
      </c>
    </row>
    <row r="129" spans="5:6" hidden="1">
      <c r="E129" s="2328">
        <v>44377</v>
      </c>
      <c r="F129" s="2326">
        <v>150000</v>
      </c>
    </row>
    <row r="130" spans="5:6" hidden="1">
      <c r="E130" s="2328">
        <v>44742</v>
      </c>
      <c r="F130" s="2326">
        <v>150000</v>
      </c>
    </row>
    <row r="131" spans="5:6" hidden="1">
      <c r="E131" s="2328">
        <v>45107</v>
      </c>
      <c r="F131" s="2326">
        <v>5000000</v>
      </c>
    </row>
    <row r="132" spans="5:6" hidden="1">
      <c r="E132" s="2328">
        <v>45473</v>
      </c>
      <c r="F132" s="2326">
        <v>20000</v>
      </c>
    </row>
    <row r="133" spans="5:6">
      <c r="E133" s="1565"/>
    </row>
    <row r="135" spans="5:6">
      <c r="F135" s="2050"/>
    </row>
    <row r="136" spans="5:6">
      <c r="F136" s="2050"/>
    </row>
  </sheetData>
  <customSheetViews>
    <customSheetView guid="{BCBE45D4-3C45-4659-992E-5C5D3E9FD81C}" showPageBreaks="1" fitToPage="1" printArea="1" hiddenColumns="1" topLeftCell="A4">
      <selection activeCell="X34" sqref="X34"/>
      <pageMargins left="0.59055118110236227" right="0.43307086614173229" top="0.6692913385826772" bottom="0.94488188976377963" header="0.51181102362204722" footer="0.39370078740157483"/>
      <printOptions horizontalCentered="1"/>
      <pageSetup paperSize="9" scale="6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printArea="1" hiddenColumns="1" topLeftCell="A73">
      <selection activeCell="A101" sqref="A101:N101"/>
      <pageMargins left="0.59055118110236227" right="0.43307086614173229" top="0.6692913385826772" bottom="0.94488188976377963" header="0.51181102362204722" footer="0.39370078740157483"/>
      <printOptions horizontalCentered="1"/>
      <pageSetup paperSize="9" scale="64"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S9:T9"/>
    <mergeCell ref="E8:T8"/>
    <mergeCell ref="E119:F119"/>
  </mergeCells>
  <phoneticPr fontId="26" type="noConversion"/>
  <dataValidations count="1">
    <dataValidation type="list" allowBlank="1" showInputMessage="1" showErrorMessage="1" sqref="E49:E51 I27:I37" xr:uid="{4ADC2AB2-2605-407A-ADCB-EF97ABC4D73F}">
      <formula1>$AG$4:$AG$5</formula1>
    </dataValidation>
  </dataValidations>
  <hyperlinks>
    <hyperlink ref="S9" location="WP_STS_Worksheet" display="Back to Workpaper Index" xr:uid="{00000000-0004-0000-0A00-000000000000}"/>
    <hyperlink ref="S9:T9" location="WPIndex!A1" display="Back to WP Index" xr:uid="{00000000-0004-0000-0A00-000001000000}"/>
    <hyperlink ref="E10" location="ClientName" display="ClientName" xr:uid="{00000000-0004-0000-0A00-000002000000}"/>
  </hyperlinks>
  <printOptions horizontalCentered="1"/>
  <pageMargins left="0.59055118110236227" right="0.43307086614173229" top="0.6692913385826772" bottom="0.94488188976377963" header="0.51181102362204722" footer="0.39370078740157483"/>
  <pageSetup paperSize="9" scale="53" fitToHeight="2" orientation="portrait" r:id="rId3"/>
  <headerFooter alignWithMargins="0">
    <oddFooter>&amp;L&amp;8© Findex (Aust) Pty Ltd.  All rights reserved.&amp;R&amp;8&amp;P/&amp;N</oddFooter>
  </headerFooter>
  <drawing r:id="rId4"/>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D8B11-F583-4389-9D3D-3F9C91499B8D}">
  <sheetPr codeName="Sheet7">
    <tabColor theme="8" tint="0.79998168889431442"/>
    <pageSetUpPr fitToPage="1"/>
  </sheetPr>
  <dimension ref="A1:M55"/>
  <sheetViews>
    <sheetView topLeftCell="A15" zoomScaleNormal="100" workbookViewId="0">
      <selection sqref="A1:F1"/>
    </sheetView>
  </sheetViews>
  <sheetFormatPr defaultColWidth="8.85546875" defaultRowHeight="15"/>
  <cols>
    <col min="1" max="1" width="88.5703125" style="2175" customWidth="1"/>
    <col min="2" max="6" width="14" style="2175" customWidth="1"/>
    <col min="7" max="8" width="12.42578125" style="2175" customWidth="1"/>
    <col min="9" max="10" width="8.85546875" style="2175" customWidth="1"/>
    <col min="11" max="11" width="8.85546875" style="2175"/>
    <col min="12" max="13" width="0" style="2175" hidden="1" customWidth="1"/>
    <col min="14" max="16384" width="8.85546875" style="2175"/>
  </cols>
  <sheetData>
    <row r="1" spans="1:13">
      <c r="G1" s="2613" t="s">
        <v>2425</v>
      </c>
      <c r="H1" s="3576" t="s">
        <v>2758</v>
      </c>
    </row>
    <row r="2" spans="1:13" s="1768" customFormat="1" ht="18.75" customHeight="1">
      <c r="A2" s="1612"/>
      <c r="B2" s="1613"/>
      <c r="C2" s="1613"/>
      <c r="D2" s="1613"/>
      <c r="E2" s="1613"/>
      <c r="F2" s="1613"/>
      <c r="G2" s="1613"/>
      <c r="I2" s="1637"/>
    </row>
    <row r="3" spans="1:13" s="1768" customFormat="1" ht="12.75">
      <c r="A3" s="1612"/>
      <c r="F3" s="1616"/>
      <c r="G3" s="2731" t="s">
        <v>1163</v>
      </c>
      <c r="H3" s="2731" t="s">
        <v>1262</v>
      </c>
      <c r="I3" s="1608"/>
    </row>
    <row r="4" spans="1:13" s="1768" customFormat="1" ht="17.25" customHeight="1">
      <c r="A4" s="1612"/>
      <c r="F4" s="1617" t="s">
        <v>332</v>
      </c>
      <c r="G4" s="2617" t="str">
        <f>IF(PreparedBy="","",PreparedBy)</f>
        <v/>
      </c>
      <c r="H4" s="2630" t="str">
        <f>IF(DatePrepared="","",DatePrepared)</f>
        <v/>
      </c>
      <c r="I4" s="1608"/>
    </row>
    <row r="5" spans="1:13" s="1768" customFormat="1" ht="17.25" customHeight="1">
      <c r="A5" s="1612"/>
      <c r="F5" s="1617" t="s">
        <v>333</v>
      </c>
      <c r="G5" s="2632"/>
      <c r="H5" s="2631"/>
      <c r="I5" s="1608"/>
    </row>
    <row r="6" spans="1:13" s="1768" customFormat="1" ht="3.95" customHeight="1">
      <c r="A6" s="826"/>
      <c r="B6" s="829"/>
      <c r="C6" s="829"/>
      <c r="D6" s="829"/>
      <c r="E6" s="829"/>
      <c r="F6" s="829"/>
      <c r="G6" s="829"/>
      <c r="H6" s="829"/>
      <c r="I6" s="1608"/>
    </row>
    <row r="7" spans="1:13" s="1768" customFormat="1" ht="15.75">
      <c r="A7" s="3843" t="s">
        <v>2073</v>
      </c>
      <c r="B7" s="3844"/>
      <c r="C7" s="3844"/>
      <c r="D7" s="3844"/>
      <c r="E7" s="3844"/>
      <c r="F7" s="3844"/>
      <c r="G7" s="3844"/>
      <c r="H7" s="3845"/>
      <c r="I7" s="1637"/>
    </row>
    <row r="8" spans="1:13" s="1768" customFormat="1" ht="12.75">
      <c r="B8" s="1769"/>
      <c r="C8" s="1769"/>
      <c r="D8" s="1769"/>
      <c r="E8" s="1769"/>
      <c r="F8" s="1770"/>
      <c r="G8" s="1769"/>
      <c r="H8" s="3248" t="s">
        <v>2526</v>
      </c>
      <c r="I8" s="1637"/>
    </row>
    <row r="9" spans="1:13" s="1768" customFormat="1" ht="15.75">
      <c r="A9" s="1771" t="str">
        <f>"CLIENT NAME:   "&amp;IF(ClientName="[ENTER CLIENT NAME]","",ClientName)</f>
        <v>CLIENT NAME:   Example Trust</v>
      </c>
      <c r="B9" s="1769"/>
      <c r="C9" s="1769"/>
      <c r="D9" s="1769"/>
      <c r="E9" s="1769"/>
      <c r="F9" s="1770"/>
      <c r="G9" s="1769"/>
      <c r="H9" s="1769"/>
      <c r="I9" s="1637"/>
    </row>
    <row r="10" spans="1:13" s="1768" customFormat="1" ht="12.75">
      <c r="A10" s="3424" t="str">
        <f>"CLIENT CODE:   "&amp;'WP Index'!E4</f>
        <v>CLIENT CODE:   99999</v>
      </c>
      <c r="B10" s="1769"/>
      <c r="C10" s="1769"/>
      <c r="D10" s="1769"/>
      <c r="E10" s="1769"/>
      <c r="F10" s="1770"/>
      <c r="G10" s="1622" t="s">
        <v>951</v>
      </c>
      <c r="H10" s="1773">
        <f>'Input Info'!F8</f>
        <v>45473</v>
      </c>
      <c r="I10" s="1637"/>
    </row>
    <row r="11" spans="1:13" s="1768" customFormat="1" ht="12.75">
      <c r="A11" s="1772"/>
      <c r="B11" s="1769"/>
      <c r="C11" s="1769"/>
      <c r="D11" s="1769"/>
      <c r="E11" s="1769"/>
      <c r="F11" s="1770"/>
      <c r="G11" s="1622"/>
      <c r="H11" s="1773"/>
      <c r="I11" s="1637"/>
    </row>
    <row r="12" spans="1:13" s="1768" customFormat="1" ht="15.75">
      <c r="A12" s="3846" t="s">
        <v>2148</v>
      </c>
      <c r="B12" s="3847"/>
      <c r="C12" s="3847"/>
      <c r="D12" s="3847"/>
      <c r="E12" s="3847"/>
      <c r="F12" s="3847"/>
      <c r="G12" s="3847"/>
      <c r="H12" s="3848"/>
      <c r="I12" s="1637"/>
    </row>
    <row r="13" spans="1:13">
      <c r="A13" s="2173"/>
      <c r="B13" s="2174"/>
    </row>
    <row r="14" spans="1:13">
      <c r="A14" s="2201" t="s">
        <v>2175</v>
      </c>
      <c r="B14" s="2202"/>
      <c r="C14" s="2214" t="s">
        <v>2147</v>
      </c>
      <c r="D14" s="2202"/>
      <c r="E14" s="2202"/>
      <c r="F14" s="2202"/>
      <c r="G14" s="2202"/>
      <c r="H14" s="2202"/>
      <c r="I14" s="2202"/>
      <c r="J14" s="2202"/>
      <c r="K14" s="2202"/>
    </row>
    <row r="15" spans="1:13" ht="16.149999999999999" customHeight="1">
      <c r="A15" s="2204" t="s">
        <v>2074</v>
      </c>
      <c r="B15" s="2202"/>
      <c r="C15" s="2634"/>
      <c r="D15" s="2202"/>
      <c r="E15" s="2202"/>
      <c r="F15" s="2202"/>
      <c r="G15" s="2202"/>
      <c r="H15" s="2202"/>
      <c r="K15" s="2202"/>
      <c r="L15" s="2210" t="s">
        <v>440</v>
      </c>
      <c r="M15" s="2202">
        <f>IF(C15="Yes",1,0)</f>
        <v>0</v>
      </c>
    </row>
    <row r="16" spans="1:13" ht="16.149999999999999" customHeight="1">
      <c r="A16" s="2204" t="s">
        <v>2622</v>
      </c>
      <c r="B16" s="2202"/>
      <c r="C16" s="2634"/>
      <c r="D16" s="2202"/>
      <c r="E16" s="2202"/>
      <c r="F16" s="2202"/>
      <c r="G16" s="2202"/>
      <c r="H16" s="2202"/>
      <c r="K16" s="2202"/>
      <c r="L16" s="2210" t="s">
        <v>441</v>
      </c>
      <c r="M16" s="2202">
        <f>IF(C16="Yes",1,0)</f>
        <v>0</v>
      </c>
    </row>
    <row r="17" spans="1:13" ht="16.149999999999999" customHeight="1">
      <c r="A17" s="2204" t="s">
        <v>2621</v>
      </c>
      <c r="B17" s="2202"/>
      <c r="C17" s="2634"/>
      <c r="D17" s="2202"/>
      <c r="E17" s="2202"/>
      <c r="F17" s="2202"/>
      <c r="G17" s="2202"/>
      <c r="H17" s="2202"/>
      <c r="K17" s="2202"/>
      <c r="L17" s="2202"/>
      <c r="M17" s="2202">
        <f>IF(C17="Yes",1,0)</f>
        <v>0</v>
      </c>
    </row>
    <row r="18" spans="1:13" ht="16.149999999999999" customHeight="1">
      <c r="A18" s="2204" t="s">
        <v>2075</v>
      </c>
      <c r="B18" s="2202"/>
      <c r="C18" s="2634"/>
      <c r="D18" s="2202"/>
      <c r="E18" s="2202"/>
      <c r="F18" s="2202"/>
      <c r="G18" s="2202"/>
      <c r="H18" s="2202"/>
      <c r="K18" s="2202"/>
      <c r="L18" s="2202"/>
      <c r="M18" s="2202">
        <f>IF(C18="Yes",1,0)</f>
        <v>0</v>
      </c>
    </row>
    <row r="19" spans="1:13" ht="16.149999999999999" customHeight="1" thickBot="1">
      <c r="A19" s="2204" t="s">
        <v>2076</v>
      </c>
      <c r="B19" s="2202"/>
      <c r="C19" s="3468"/>
      <c r="D19" s="2202"/>
      <c r="E19" s="2202"/>
      <c r="F19" s="2202"/>
      <c r="G19" s="2202"/>
      <c r="H19" s="2202"/>
      <c r="K19" s="2202"/>
      <c r="L19" s="2202"/>
      <c r="M19" s="2202">
        <f>IF(C19="Yes",1,0)</f>
        <v>0</v>
      </c>
    </row>
    <row r="20" spans="1:13" ht="16.149999999999999" customHeight="1" thickBot="1">
      <c r="A20" s="2204" t="s">
        <v>2176</v>
      </c>
      <c r="B20" s="2202"/>
      <c r="C20" s="2205" t="str">
        <f>IF(SUM(M15:M19)=5,"ELIGIBLE","NOT ELIGIBLE")</f>
        <v>NOT ELIGIBLE</v>
      </c>
      <c r="D20" s="2202"/>
      <c r="E20" s="2202"/>
      <c r="F20" s="2202"/>
      <c r="G20" s="2202"/>
      <c r="H20" s="2202"/>
      <c r="I20" s="2202"/>
      <c r="J20" s="2202"/>
      <c r="K20" s="2202"/>
    </row>
    <row r="21" spans="1:13">
      <c r="A21" s="2202"/>
      <c r="B21" s="2202"/>
      <c r="C21" s="2202"/>
      <c r="D21" s="2202"/>
      <c r="E21" s="2202"/>
      <c r="F21" s="2203"/>
      <c r="G21" s="2203"/>
      <c r="H21" s="2203"/>
    </row>
    <row r="22" spans="1:13">
      <c r="A22" s="2203"/>
      <c r="B22" s="2203"/>
      <c r="C22" s="2203"/>
      <c r="D22" s="2203"/>
      <c r="E22" s="2203"/>
      <c r="F22" s="2203"/>
      <c r="G22" s="2203"/>
      <c r="H22" s="2203"/>
    </row>
    <row r="23" spans="1:13" s="1768" customFormat="1" ht="15.75">
      <c r="A23" s="3846" t="s">
        <v>2149</v>
      </c>
      <c r="B23" s="3847"/>
      <c r="C23" s="3847"/>
      <c r="D23" s="3847"/>
      <c r="E23" s="3847"/>
      <c r="F23" s="3847"/>
      <c r="G23" s="3847"/>
      <c r="H23" s="3848"/>
      <c r="I23" s="1637"/>
    </row>
    <row r="24" spans="1:13">
      <c r="A24" s="2176"/>
    </row>
    <row r="25" spans="1:13">
      <c r="A25" s="2201" t="s">
        <v>2751</v>
      </c>
      <c r="B25" s="2214" t="s">
        <v>2009</v>
      </c>
      <c r="C25" s="2214" t="s">
        <v>2077</v>
      </c>
      <c r="D25" s="2214" t="s">
        <v>2078</v>
      </c>
      <c r="E25" s="2214" t="s">
        <v>2079</v>
      </c>
      <c r="F25" s="2214" t="s">
        <v>2459</v>
      </c>
      <c r="G25" s="2214" t="s">
        <v>1110</v>
      </c>
      <c r="H25" s="2202"/>
      <c r="I25" s="2202"/>
    </row>
    <row r="26" spans="1:13">
      <c r="A26" s="2211" t="s">
        <v>1837</v>
      </c>
      <c r="B26" s="2794">
        <v>0</v>
      </c>
      <c r="C26" s="2794">
        <v>0</v>
      </c>
      <c r="D26" s="2794">
        <v>0</v>
      </c>
      <c r="E26" s="2794">
        <v>0</v>
      </c>
      <c r="F26" s="2794">
        <v>0</v>
      </c>
      <c r="G26" s="2202"/>
      <c r="H26" s="2202"/>
      <c r="I26" s="2202"/>
    </row>
    <row r="27" spans="1:13">
      <c r="A27" s="2211" t="s">
        <v>2750</v>
      </c>
      <c r="B27" s="3470"/>
      <c r="C27" s="2794">
        <v>0</v>
      </c>
      <c r="D27" s="2794">
        <v>0</v>
      </c>
      <c r="E27" s="2794">
        <v>0</v>
      </c>
      <c r="F27" s="2794">
        <v>0</v>
      </c>
      <c r="G27" s="2202"/>
      <c r="H27" s="2202"/>
      <c r="I27" s="2202"/>
    </row>
    <row r="28" spans="1:13">
      <c r="A28" s="2211" t="s">
        <v>2749</v>
      </c>
      <c r="B28" s="3470"/>
      <c r="C28" s="3556">
        <f>IF(C26&lt;0,C26+C27,0)</f>
        <v>0</v>
      </c>
      <c r="D28" s="3556">
        <f t="shared" ref="D28:F28" si="0">IF(D26&lt;0,D26+D27,0)</f>
        <v>0</v>
      </c>
      <c r="E28" s="3556">
        <f t="shared" si="0"/>
        <v>0</v>
      </c>
      <c r="F28" s="3556">
        <f t="shared" si="0"/>
        <v>0</v>
      </c>
      <c r="G28" s="2202"/>
      <c r="H28" s="2202"/>
      <c r="I28" s="2202"/>
    </row>
    <row r="29" spans="1:13">
      <c r="A29" s="2212"/>
      <c r="B29" s="2206"/>
      <c r="C29" s="2206"/>
      <c r="D29" s="2206"/>
      <c r="E29" s="2206"/>
      <c r="F29" s="2206"/>
      <c r="G29" s="2202"/>
      <c r="H29" s="2202"/>
      <c r="I29" s="2202"/>
    </row>
    <row r="30" spans="1:13">
      <c r="A30" s="2211" t="s">
        <v>2080</v>
      </c>
      <c r="B30" s="2636" t="s">
        <v>440</v>
      </c>
      <c r="C30" s="2636" t="s">
        <v>440</v>
      </c>
      <c r="D30" s="2636" t="s">
        <v>440</v>
      </c>
      <c r="E30" s="2636" t="s">
        <v>440</v>
      </c>
      <c r="F30" s="2636" t="s">
        <v>440</v>
      </c>
      <c r="G30" s="2202"/>
      <c r="H30" s="2202"/>
      <c r="I30" s="2202"/>
    </row>
    <row r="31" spans="1:13">
      <c r="A31" s="2201" t="s">
        <v>2081</v>
      </c>
      <c r="B31" s="2207">
        <f>IF(B30="Yes",27.5%,30%)</f>
        <v>0.27500000000000002</v>
      </c>
      <c r="C31" s="2207">
        <f t="shared" ref="C31" si="1">IF(C30="Yes",27.5%,30%)</f>
        <v>0.27500000000000002</v>
      </c>
      <c r="D31" s="2207">
        <f>IF(D30="Yes",26%,30%)</f>
        <v>0.26</v>
      </c>
      <c r="E31" s="2207">
        <f>IF(E30="Yes",25%,30%)</f>
        <v>0.25</v>
      </c>
      <c r="F31" s="2207">
        <f>IF(F30="Yes",25%,30%)</f>
        <v>0.25</v>
      </c>
      <c r="G31" s="2202"/>
      <c r="H31" s="2202"/>
      <c r="I31" s="2202"/>
    </row>
    <row r="32" spans="1:13">
      <c r="A32" s="2201" t="s">
        <v>2233</v>
      </c>
      <c r="B32" s="3557">
        <f>IF(B26&gt;0,ROUNDDOWN(B26*B31,0),0)</f>
        <v>0</v>
      </c>
      <c r="C32" s="3557">
        <f t="shared" ref="C32:F32" si="2">IF(C26&gt;0,ROUNDDOWN(C26*C31,0),0)</f>
        <v>0</v>
      </c>
      <c r="D32" s="3557">
        <f t="shared" ref="D32" si="3">IF(D26&gt;0,ROUNDDOWN(D26*D31,0),0)</f>
        <v>0</v>
      </c>
      <c r="E32" s="3557">
        <f t="shared" si="2"/>
        <v>0</v>
      </c>
      <c r="F32" s="3557">
        <f t="shared" si="2"/>
        <v>0</v>
      </c>
      <c r="G32" s="3559">
        <f>SUM(B32:F32)</f>
        <v>0</v>
      </c>
      <c r="H32" s="2202"/>
      <c r="I32" s="2202"/>
    </row>
    <row r="33" spans="1:9">
      <c r="A33" s="2201" t="s">
        <v>2618</v>
      </c>
      <c r="B33" s="2794">
        <v>0</v>
      </c>
      <c r="C33" s="2794">
        <v>0</v>
      </c>
      <c r="D33" s="2794">
        <v>0</v>
      </c>
      <c r="E33" s="3558"/>
      <c r="F33" s="3558"/>
      <c r="G33" s="3559">
        <f>SUM(B33:F33)</f>
        <v>0</v>
      </c>
      <c r="H33" s="2202"/>
      <c r="I33" s="2202"/>
    </row>
    <row r="34" spans="1:9">
      <c r="A34" s="2201" t="s">
        <v>2619</v>
      </c>
      <c r="B34" s="2794">
        <v>0</v>
      </c>
      <c r="C34" s="2794">
        <v>0</v>
      </c>
      <c r="D34" s="2794">
        <v>0</v>
      </c>
      <c r="E34" s="2794">
        <v>0</v>
      </c>
      <c r="F34" s="3558"/>
      <c r="G34" s="3559">
        <f>SUM(B34:F34)</f>
        <v>0</v>
      </c>
      <c r="H34" s="2202"/>
      <c r="I34" s="2202"/>
    </row>
    <row r="35" spans="1:9">
      <c r="A35" s="2201" t="s">
        <v>2620</v>
      </c>
      <c r="B35" s="3557">
        <f t="shared" ref="B35:D35" si="4">B32-B33-B34</f>
        <v>0</v>
      </c>
      <c r="C35" s="3557">
        <f t="shared" si="4"/>
        <v>0</v>
      </c>
      <c r="D35" s="3557">
        <f t="shared" si="4"/>
        <v>0</v>
      </c>
      <c r="E35" s="3557">
        <f>E32-E34</f>
        <v>0</v>
      </c>
      <c r="F35" s="3557">
        <f>F32</f>
        <v>0</v>
      </c>
      <c r="G35" s="3559">
        <f>SUM(B35:F35)</f>
        <v>0</v>
      </c>
      <c r="H35" s="2202"/>
      <c r="I35" s="2202"/>
    </row>
    <row r="36" spans="1:9">
      <c r="A36" s="2201" t="s">
        <v>2235</v>
      </c>
      <c r="B36" s="3557">
        <f>ROUNDDOWN((B35/(COY_Tax_Rate)),0)</f>
        <v>0</v>
      </c>
      <c r="C36" s="3557">
        <f>ROUNDDOWN((C35/(COY_Tax_Rate)),0)</f>
        <v>0</v>
      </c>
      <c r="D36" s="3557">
        <f>ROUNDDOWN((D35/(COY_Tax_Rate)),0)</f>
        <v>0</v>
      </c>
      <c r="E36" s="3557">
        <f>ROUNDDOWN((E35/(COY_Tax_Rate)),0)</f>
        <v>0</v>
      </c>
      <c r="F36" s="3557">
        <f>ROUNDDOWN((F35/(COY_Tax_Rate)),0)</f>
        <v>0</v>
      </c>
      <c r="G36" s="3559">
        <f>SUM(B36:F36)</f>
        <v>0</v>
      </c>
      <c r="H36" s="2202"/>
      <c r="I36" s="2202"/>
    </row>
    <row r="37" spans="1:9">
      <c r="A37" s="2201"/>
      <c r="B37" s="2499"/>
      <c r="C37" s="2499"/>
      <c r="D37" s="2499"/>
      <c r="E37" s="2499"/>
      <c r="F37" s="2499"/>
      <c r="G37" s="3469"/>
      <c r="H37" s="2202"/>
      <c r="I37" s="2202"/>
    </row>
    <row r="38" spans="1:9" ht="53.45" customHeight="1">
      <c r="A38" s="2202"/>
      <c r="B38" s="2213" t="s">
        <v>2082</v>
      </c>
      <c r="C38" s="2213" t="s">
        <v>2236</v>
      </c>
      <c r="D38" s="2213" t="s">
        <v>2083</v>
      </c>
      <c r="E38" s="2213" t="s">
        <v>2084</v>
      </c>
      <c r="F38" s="2213" t="s">
        <v>2085</v>
      </c>
      <c r="G38" s="2202"/>
      <c r="H38" s="2202"/>
      <c r="I38" s="2202"/>
    </row>
    <row r="39" spans="1:9">
      <c r="A39" s="3145" t="s">
        <v>2230</v>
      </c>
      <c r="B39" s="3560">
        <f>IF(C28&lt;0,-C28,0)</f>
        <v>0</v>
      </c>
      <c r="C39" s="3561">
        <v>0</v>
      </c>
      <c r="D39" s="3561">
        <v>0</v>
      </c>
      <c r="E39" s="2215">
        <f>IF(-D39&gt;C39,0,C39+D39)</f>
        <v>0</v>
      </c>
      <c r="F39" s="2216">
        <f>E39*C31</f>
        <v>0</v>
      </c>
      <c r="G39" s="2202"/>
      <c r="H39" s="2202"/>
      <c r="I39" s="2202"/>
    </row>
    <row r="40" spans="1:9">
      <c r="A40" s="3145" t="s">
        <v>2231</v>
      </c>
      <c r="B40" s="3560">
        <f>IF(D28&lt;0,-D28,0)</f>
        <v>0</v>
      </c>
      <c r="C40" s="2794">
        <v>0</v>
      </c>
      <c r="D40" s="2794">
        <v>0</v>
      </c>
      <c r="E40" s="2215">
        <f>IF(-D40&gt;C40,0,C40+D40)</f>
        <v>0</v>
      </c>
      <c r="F40" s="2216">
        <f>E40*D31</f>
        <v>0</v>
      </c>
      <c r="G40" s="2202"/>
      <c r="H40" s="2202"/>
      <c r="I40" s="2202"/>
    </row>
    <row r="41" spans="1:9">
      <c r="A41" s="3145" t="s">
        <v>2232</v>
      </c>
      <c r="B41" s="3560">
        <f>IF(E28&lt;0,-E28,0)</f>
        <v>0</v>
      </c>
      <c r="C41" s="2794">
        <v>0</v>
      </c>
      <c r="D41" s="2794">
        <v>0</v>
      </c>
      <c r="E41" s="2215">
        <f>IF(-D41&gt;C41,0,C41+D41)</f>
        <v>0</v>
      </c>
      <c r="F41" s="2216">
        <f>E41*E31</f>
        <v>0</v>
      </c>
      <c r="G41" s="2202"/>
      <c r="H41" s="2202"/>
      <c r="I41" s="2202"/>
    </row>
    <row r="42" spans="1:9">
      <c r="A42" s="3145" t="s">
        <v>2460</v>
      </c>
      <c r="B42" s="3560">
        <f>IF(F28&lt;0,-F28,0)</f>
        <v>0</v>
      </c>
      <c r="C42" s="2794">
        <v>0</v>
      </c>
      <c r="D42" s="2794">
        <v>0</v>
      </c>
      <c r="E42" s="2215">
        <f>IF(-D42&gt;C42,0,C42+D42)</f>
        <v>0</v>
      </c>
      <c r="F42" s="2216">
        <f>E42*F31</f>
        <v>0</v>
      </c>
      <c r="G42" s="2202"/>
      <c r="H42" s="2202"/>
      <c r="I42" s="2202"/>
    </row>
    <row r="43" spans="1:9">
      <c r="A43" s="2201" t="s">
        <v>1129</v>
      </c>
      <c r="B43" s="2209"/>
      <c r="C43" s="2209"/>
      <c r="D43" s="2209"/>
      <c r="F43" s="2217">
        <f>SUM(F39:F42)</f>
        <v>0</v>
      </c>
      <c r="G43" s="2202"/>
      <c r="H43" s="2202"/>
    </row>
    <row r="44" spans="1:9">
      <c r="A44" s="2202"/>
      <c r="B44" s="2202"/>
      <c r="C44" s="2202"/>
      <c r="D44" s="2202"/>
      <c r="E44" s="2202"/>
      <c r="F44" s="2202"/>
      <c r="G44" s="2202"/>
      <c r="H44" s="2202"/>
    </row>
    <row r="45" spans="1:9">
      <c r="B45" s="2202"/>
      <c r="C45" s="2202"/>
      <c r="D45" s="2202"/>
      <c r="F45" s="2637">
        <f>'Tax Rec'!H299</f>
        <v>0</v>
      </c>
      <c r="G45" s="2201" t="s">
        <v>2461</v>
      </c>
      <c r="H45" s="2202"/>
    </row>
    <row r="46" spans="1:9">
      <c r="B46" s="2202"/>
      <c r="C46" s="2202"/>
      <c r="D46" s="2202"/>
      <c r="F46" s="2215">
        <f>SUM(B32:F32)</f>
        <v>0</v>
      </c>
      <c r="G46" s="2201" t="s">
        <v>2086</v>
      </c>
      <c r="H46" s="2202"/>
    </row>
    <row r="47" spans="1:9" ht="15.75" thickBot="1">
      <c r="B47" s="2202"/>
      <c r="C47" s="2202"/>
      <c r="D47" s="2202"/>
      <c r="F47" s="2218"/>
      <c r="G47" s="2202"/>
      <c r="H47" s="2202"/>
    </row>
    <row r="48" spans="1:9" ht="15.75" thickBot="1">
      <c r="B48" s="2202"/>
      <c r="C48" s="2202"/>
      <c r="D48" s="2202"/>
      <c r="F48" s="2219">
        <f>IF(F43&gt;0,MIN(F43,F45,F46),0)</f>
        <v>0</v>
      </c>
      <c r="G48" s="2201" t="s">
        <v>2150</v>
      </c>
      <c r="H48" s="2202"/>
    </row>
    <row r="49" spans="1:8">
      <c r="A49" s="2202"/>
      <c r="B49" s="2202"/>
      <c r="C49" s="2202"/>
      <c r="D49" s="2202"/>
      <c r="E49" s="2218"/>
      <c r="F49" s="2500"/>
      <c r="G49" s="2202"/>
      <c r="H49" s="2202"/>
    </row>
    <row r="50" spans="1:8">
      <c r="A50" s="2202"/>
      <c r="B50" s="2202"/>
      <c r="C50" s="2202"/>
      <c r="D50" s="2202"/>
      <c r="E50" s="2202"/>
      <c r="F50" s="2202"/>
      <c r="G50" s="2202"/>
      <c r="H50" s="2202"/>
    </row>
    <row r="51" spans="1:8">
      <c r="A51" s="2202"/>
      <c r="B51" s="2202"/>
      <c r="C51" s="2202"/>
      <c r="D51" s="2202"/>
      <c r="E51" s="2202"/>
      <c r="F51" s="2202"/>
      <c r="G51" s="2202"/>
      <c r="H51" s="2202"/>
    </row>
    <row r="52" spans="1:8">
      <c r="A52" s="2202"/>
      <c r="B52" s="2202"/>
      <c r="C52" s="2202"/>
      <c r="D52" s="2202"/>
      <c r="E52" s="2202"/>
      <c r="F52" s="2202"/>
      <c r="G52" s="2202"/>
      <c r="H52" s="2202"/>
    </row>
    <row r="53" spans="1:8">
      <c r="A53" s="2202"/>
      <c r="B53" s="2202"/>
      <c r="C53" s="2202"/>
      <c r="D53" s="2202"/>
      <c r="E53" s="2202"/>
      <c r="F53" s="2202"/>
      <c r="G53" s="2202"/>
      <c r="H53" s="2202"/>
    </row>
    <row r="54" spans="1:8">
      <c r="A54" s="2202"/>
      <c r="B54" s="2202"/>
      <c r="C54" s="2202"/>
      <c r="D54" s="2202"/>
      <c r="E54" s="2202"/>
      <c r="F54" s="2202"/>
      <c r="G54" s="2202"/>
      <c r="H54" s="2202"/>
    </row>
    <row r="55" spans="1:8">
      <c r="A55" s="2202"/>
      <c r="B55" s="2202"/>
      <c r="C55" s="2202"/>
      <c r="D55" s="2202"/>
      <c r="E55" s="2202"/>
      <c r="F55" s="2202"/>
      <c r="G55" s="2202"/>
      <c r="H55" s="2202"/>
    </row>
  </sheetData>
  <mergeCells count="3">
    <mergeCell ref="A7:H7"/>
    <mergeCell ref="A12:H12"/>
    <mergeCell ref="A23:H23"/>
  </mergeCells>
  <conditionalFormatting sqref="C20">
    <cfRule type="containsText" dxfId="69" priority="2" operator="containsText" text="NOT ELIGIBLE">
      <formula>NOT(ISERROR(SEARCH("NOT ELIGIBLE",C20)))</formula>
    </cfRule>
    <cfRule type="containsText" dxfId="68" priority="3" operator="containsText" text="ELIGIBLE">
      <formula>NOT(ISERROR(SEARCH("ELIGIBLE",C20)))</formula>
    </cfRule>
    <cfRule type="containsText" dxfId="67" priority="4" operator="containsText" text="ELIGABLE">
      <formula>NOT(ISERROR(SEARCH("ELIGABLE",C20)))</formula>
    </cfRule>
  </conditionalFormatting>
  <conditionalFormatting sqref="C27:F27">
    <cfRule type="expression" dxfId="66" priority="1">
      <formula>C26&gt;=0</formula>
    </cfRule>
  </conditionalFormatting>
  <dataValidations count="3">
    <dataValidation type="whole" operator="lessThanOrEqual" allowBlank="1" showInputMessage="1" showErrorMessage="1" error="Enter a negative value." sqref="D39:D42" xr:uid="{DBDB4B58-FE5A-48F1-9E07-07C3318BF216}">
      <formula1>0</formula1>
    </dataValidation>
    <dataValidation type="list" allowBlank="1" showInputMessage="1" showErrorMessage="1" sqref="C15:C19 B30:F30" xr:uid="{6F30AF10-70B8-4A83-8D2B-32DE3EDBBB03}">
      <formula1>$L$15:$L$16</formula1>
    </dataValidation>
    <dataValidation type="whole" operator="greaterThanOrEqual" allowBlank="1" showInputMessage="1" showErrorMessage="1" errorTitle="Invalid Data" error="Enter a positive number" sqref="C27:F27" xr:uid="{CA0CD522-E667-4C09-9F50-6D9D81E52EEC}">
      <formula1>0</formula1>
    </dataValidation>
  </dataValidations>
  <hyperlinks>
    <hyperlink ref="H8" location="'WPIndex'!A1" display="Back to Workpaper Index" xr:uid="{EC09E7E1-A7C2-4AC6-BFFF-CC956AFE0EAD}"/>
    <hyperlink ref="A9" location="ClientName" display="ClientName" xr:uid="{48DD236B-8B35-4156-B9B8-F6CF7BC56A36}"/>
  </hyperlinks>
  <pageMargins left="0.70866141732283472" right="0.70866141732283472" top="0.74803149606299213" bottom="0.74803149606299213" header="0.31496062992125984" footer="0.31496062992125984"/>
  <pageSetup paperSize="9" scale="43" orientation="portrait" r:id="rId1"/>
  <headerFooter>
    <oddFooter>&amp;L© Findex (Aust) Pty Ltd.  All rights reserved.</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rustStreaming_Sheet">
    <tabColor theme="8" tint="0.79998168889431442"/>
  </sheetPr>
  <dimension ref="A1:P131"/>
  <sheetViews>
    <sheetView zoomScaleNormal="100" workbookViewId="0">
      <selection sqref="A1:F1"/>
    </sheetView>
  </sheetViews>
  <sheetFormatPr defaultColWidth="9.140625" defaultRowHeight="12.75"/>
  <cols>
    <col min="1" max="1" width="46.140625" style="1603" customWidth="1"/>
    <col min="2" max="9" width="15.42578125" style="1603" customWidth="1"/>
    <col min="10" max="10" width="15.5703125" style="1603" bestFit="1" customWidth="1"/>
    <col min="11" max="11" width="15.5703125" style="1603" hidden="1" customWidth="1"/>
    <col min="12" max="12" width="9.140625" style="1603" customWidth="1"/>
    <col min="13" max="13" width="9.140625" style="1603"/>
    <col min="14" max="16" width="9.140625" style="1603" customWidth="1"/>
    <col min="17" max="16384" width="9.140625" style="1603"/>
  </cols>
  <sheetData>
    <row r="1" spans="1:16">
      <c r="I1" s="2732" t="s">
        <v>2425</v>
      </c>
      <c r="J1" s="3576" t="s">
        <v>2758</v>
      </c>
    </row>
    <row r="2" spans="1:16" s="1768" customFormat="1" ht="18.75" customHeight="1">
      <c r="A2" s="1612"/>
      <c r="B2" s="1613"/>
      <c r="C2" s="1613"/>
      <c r="D2" s="1613"/>
      <c r="E2" s="1613"/>
      <c r="F2" s="1613"/>
      <c r="G2" s="1613"/>
      <c r="H2" s="1613"/>
      <c r="I2" s="2808" t="s">
        <v>2426</v>
      </c>
      <c r="J2" s="2622"/>
      <c r="P2" s="1768" t="s">
        <v>1731</v>
      </c>
    </row>
    <row r="3" spans="1:16" s="1768" customFormat="1" ht="18.75" customHeight="1">
      <c r="A3" s="1612"/>
      <c r="B3" s="1613"/>
      <c r="C3" s="1613"/>
      <c r="D3" s="1613"/>
      <c r="E3" s="1613"/>
      <c r="F3" s="1613"/>
      <c r="G3" s="1613"/>
      <c r="H3" s="1613"/>
      <c r="I3" s="1613"/>
    </row>
    <row r="4" spans="1:16" s="1768" customFormat="1">
      <c r="A4" s="1612"/>
      <c r="H4" s="1616"/>
      <c r="I4" s="2731" t="s">
        <v>1163</v>
      </c>
      <c r="J4" s="2731" t="s">
        <v>1262</v>
      </c>
    </row>
    <row r="5" spans="1:16" s="1768" customFormat="1" ht="17.25" customHeight="1">
      <c r="A5" s="1612"/>
      <c r="H5" s="1617" t="s">
        <v>332</v>
      </c>
      <c r="I5" s="2810" t="str">
        <f>IF(PreparedBy="","",PreparedBy)</f>
        <v/>
      </c>
      <c r="J5" s="2809" t="str">
        <f>IF(DatePrepared="","",DatePrepared)</f>
        <v/>
      </c>
    </row>
    <row r="6" spans="1:16" s="1768" customFormat="1" ht="17.25" customHeight="1">
      <c r="A6" s="1612"/>
      <c r="H6" s="1617" t="s">
        <v>333</v>
      </c>
      <c r="I6" s="2811"/>
      <c r="J6" s="2812"/>
    </row>
    <row r="7" spans="1:16" s="1768" customFormat="1" ht="3.95" customHeight="1">
      <c r="A7" s="1612"/>
      <c r="B7" s="1613"/>
      <c r="C7" s="1613"/>
      <c r="D7" s="1613"/>
      <c r="E7" s="1613"/>
      <c r="F7" s="1613"/>
      <c r="G7" s="829"/>
      <c r="H7" s="1613"/>
      <c r="I7" s="1613"/>
      <c r="J7" s="1613"/>
    </row>
    <row r="8" spans="1:16" s="1768" customFormat="1" ht="15.75">
      <c r="A8" s="3849" t="s">
        <v>1668</v>
      </c>
      <c r="B8" s="3850"/>
      <c r="C8" s="3850"/>
      <c r="D8" s="3850"/>
      <c r="E8" s="3850"/>
      <c r="F8" s="3850"/>
      <c r="G8" s="3850"/>
      <c r="H8" s="3850"/>
      <c r="I8" s="3850"/>
      <c r="J8" s="3851"/>
    </row>
    <row r="9" spans="1:16" s="1768" customFormat="1">
      <c r="B9" s="1769"/>
      <c r="C9" s="1769"/>
      <c r="D9" s="1769"/>
      <c r="E9" s="1769"/>
      <c r="F9" s="1769"/>
      <c r="G9" s="1769"/>
      <c r="H9" s="1770"/>
      <c r="I9" s="1769"/>
      <c r="J9" s="3248" t="s">
        <v>2526</v>
      </c>
    </row>
    <row r="10" spans="1:16" s="1768" customFormat="1" ht="15.75">
      <c r="A10" s="1771" t="str">
        <f>"CLIENT NAME:   "&amp;IF(ClientName="[ENTER CLIENT NAME]","",ClientName)</f>
        <v>CLIENT NAME:   Example Trust</v>
      </c>
      <c r="B10" s="1769"/>
      <c r="C10" s="1769"/>
      <c r="D10" s="1769"/>
      <c r="E10" s="1769"/>
      <c r="F10" s="1769"/>
      <c r="G10" s="1769"/>
      <c r="H10" s="1770"/>
      <c r="I10" s="1769"/>
      <c r="J10" s="1769"/>
    </row>
    <row r="11" spans="1:16" s="1768" customFormat="1" ht="13.5" thickBot="1">
      <c r="A11" s="1772" t="str">
        <f>"CLIENT CODE:   "&amp;'WP Index'!E4</f>
        <v>CLIENT CODE:   99999</v>
      </c>
      <c r="B11" s="1769"/>
      <c r="C11" s="1769"/>
      <c r="D11" s="1769"/>
      <c r="E11" s="1769"/>
      <c r="F11" s="1769"/>
      <c r="G11" s="1769"/>
      <c r="H11" s="1770"/>
      <c r="I11" s="1622" t="s">
        <v>951</v>
      </c>
      <c r="J11" s="1773">
        <f>'Input Info'!F8</f>
        <v>45473</v>
      </c>
    </row>
    <row r="12" spans="1:16" s="1768" customFormat="1">
      <c r="A12" s="1615"/>
      <c r="B12" s="1619"/>
      <c r="C12" s="1619"/>
      <c r="D12" s="1619"/>
      <c r="E12" s="2859" t="s">
        <v>1740</v>
      </c>
      <c r="F12" s="2860"/>
      <c r="G12" s="2816" t="s">
        <v>441</v>
      </c>
      <c r="H12" s="1620"/>
      <c r="I12" s="1619"/>
      <c r="J12" s="1619"/>
      <c r="K12" s="1615"/>
      <c r="L12" s="1615"/>
      <c r="M12" s="1615"/>
      <c r="N12" s="1615"/>
    </row>
    <row r="13" spans="1:16" ht="16.5" thickBot="1">
      <c r="A13" s="2857" t="s">
        <v>1668</v>
      </c>
      <c r="B13" s="2813" t="s">
        <v>1978</v>
      </c>
      <c r="C13" s="2814"/>
      <c r="E13" s="2858" t="s">
        <v>1741</v>
      </c>
      <c r="F13" s="2839"/>
      <c r="G13" s="2815" t="s">
        <v>441</v>
      </c>
      <c r="K13" s="1626" t="s">
        <v>1286</v>
      </c>
    </row>
    <row r="14" spans="1:16" ht="13.5" thickBot="1"/>
    <row r="15" spans="1:16" ht="15.75">
      <c r="A15" s="2817" t="s">
        <v>1669</v>
      </c>
      <c r="B15" s="2818"/>
      <c r="C15" s="2818"/>
      <c r="D15" s="2818"/>
      <c r="E15" s="2818"/>
      <c r="F15" s="2818"/>
      <c r="G15" s="2818"/>
      <c r="H15" s="2818"/>
      <c r="I15" s="2818"/>
      <c r="J15" s="2819"/>
      <c r="K15" s="1604"/>
    </row>
    <row r="16" spans="1:16" ht="15">
      <c r="A16" s="2832"/>
      <c r="B16" s="1604"/>
      <c r="C16" s="1604"/>
      <c r="D16" s="1604"/>
      <c r="E16" s="1604"/>
      <c r="F16" s="1604"/>
      <c r="G16" s="1604"/>
      <c r="H16" s="1604"/>
      <c r="I16" s="1604"/>
      <c r="J16" s="2831"/>
      <c r="K16" s="1604"/>
    </row>
    <row r="17" spans="1:11" ht="15">
      <c r="A17" s="2833" t="s">
        <v>151</v>
      </c>
      <c r="B17" s="2820" t="s">
        <v>9</v>
      </c>
      <c r="C17" s="2820" t="s">
        <v>1469</v>
      </c>
      <c r="D17" s="2820" t="s">
        <v>1470</v>
      </c>
      <c r="E17" s="2820" t="s">
        <v>1471</v>
      </c>
      <c r="F17" s="2820" t="s">
        <v>1472</v>
      </c>
      <c r="G17" s="2820" t="s">
        <v>1473</v>
      </c>
      <c r="H17" s="2820" t="s">
        <v>1474</v>
      </c>
      <c r="I17" s="2821" t="s">
        <v>1475</v>
      </c>
      <c r="J17" s="2861" t="s">
        <v>1129</v>
      </c>
      <c r="K17" s="2796"/>
    </row>
    <row r="18" spans="1:11">
      <c r="A18" s="2834" t="s">
        <v>1670</v>
      </c>
      <c r="B18" s="2822">
        <v>0</v>
      </c>
      <c r="C18" s="2822">
        <v>0</v>
      </c>
      <c r="D18" s="2822">
        <v>0</v>
      </c>
      <c r="E18" s="2822">
        <v>0</v>
      </c>
      <c r="F18" s="2822">
        <v>0</v>
      </c>
      <c r="G18" s="2822">
        <v>0</v>
      </c>
      <c r="H18" s="2822">
        <v>0</v>
      </c>
      <c r="I18" s="2823">
        <v>0</v>
      </c>
      <c r="J18" s="2862">
        <f>SUM(B18:I18)</f>
        <v>0</v>
      </c>
      <c r="K18" s="2797"/>
    </row>
    <row r="19" spans="1:11">
      <c r="A19" s="2834" t="s">
        <v>1671</v>
      </c>
      <c r="B19" s="2798">
        <f>IF(ISERROR(B18/$J$18),0,B18/$J$18)</f>
        <v>0</v>
      </c>
      <c r="C19" s="2798">
        <f t="shared" ref="C19:I19" si="0">IF(ISERROR(C18/$J$18),0,C18/$J$18)</f>
        <v>0</v>
      </c>
      <c r="D19" s="2798">
        <f t="shared" si="0"/>
        <v>0</v>
      </c>
      <c r="E19" s="2798">
        <f t="shared" si="0"/>
        <v>0</v>
      </c>
      <c r="F19" s="2798">
        <f t="shared" si="0"/>
        <v>0</v>
      </c>
      <c r="G19" s="2798">
        <f t="shared" si="0"/>
        <v>0</v>
      </c>
      <c r="H19" s="2798">
        <f t="shared" si="0"/>
        <v>0</v>
      </c>
      <c r="I19" s="2864">
        <f t="shared" si="0"/>
        <v>0</v>
      </c>
      <c r="J19" s="2863">
        <f>SUM(B19:I19)</f>
        <v>0</v>
      </c>
      <c r="K19" s="2798"/>
    </row>
    <row r="20" spans="1:11">
      <c r="A20" s="2834" t="s">
        <v>1672</v>
      </c>
      <c r="B20" s="2797">
        <f t="shared" ref="B20:I20" si="1">B19*$J$20</f>
        <v>0</v>
      </c>
      <c r="C20" s="2797">
        <f t="shared" si="1"/>
        <v>0</v>
      </c>
      <c r="D20" s="2797">
        <f t="shared" si="1"/>
        <v>0</v>
      </c>
      <c r="E20" s="2797">
        <f t="shared" si="1"/>
        <v>0</v>
      </c>
      <c r="F20" s="2797">
        <f t="shared" si="1"/>
        <v>0</v>
      </c>
      <c r="G20" s="2797">
        <f t="shared" si="1"/>
        <v>0</v>
      </c>
      <c r="H20" s="2797">
        <f t="shared" si="1"/>
        <v>0</v>
      </c>
      <c r="I20" s="2865">
        <f t="shared" si="1"/>
        <v>0</v>
      </c>
      <c r="J20" s="2824">
        <v>0</v>
      </c>
      <c r="K20" s="2799"/>
    </row>
    <row r="21" spans="1:11">
      <c r="A21" s="2830"/>
      <c r="B21" s="1604"/>
      <c r="C21" s="1604"/>
      <c r="D21" s="1604"/>
      <c r="E21" s="1604"/>
      <c r="F21" s="1604"/>
      <c r="G21" s="1604"/>
      <c r="H21" s="1604"/>
      <c r="I21" s="1604"/>
      <c r="J21" s="2831"/>
      <c r="K21" s="1604"/>
    </row>
    <row r="22" spans="1:11" ht="13.5" thickBot="1">
      <c r="A22" s="2838"/>
      <c r="B22" s="2839"/>
      <c r="C22" s="2839"/>
      <c r="D22" s="2839"/>
      <c r="E22" s="2839"/>
      <c r="F22" s="2839"/>
      <c r="G22" s="2839"/>
      <c r="H22" s="2839"/>
      <c r="I22" s="2839"/>
      <c r="J22" s="2840"/>
      <c r="K22" s="1604"/>
    </row>
    <row r="23" spans="1:11" ht="15.75">
      <c r="A23" s="2817" t="s">
        <v>1673</v>
      </c>
      <c r="B23" s="2818"/>
      <c r="C23" s="2818"/>
      <c r="D23" s="2818"/>
      <c r="E23" s="2818"/>
      <c r="F23" s="2818"/>
      <c r="G23" s="2818"/>
      <c r="H23" s="2818"/>
      <c r="I23" s="2818"/>
      <c r="J23" s="2819"/>
      <c r="K23" s="1604"/>
    </row>
    <row r="24" spans="1:11" ht="15">
      <c r="A24" s="2832"/>
      <c r="B24" s="1604"/>
      <c r="C24" s="1604"/>
      <c r="D24" s="1604"/>
      <c r="E24" s="1604"/>
      <c r="F24" s="1604"/>
      <c r="G24" s="1604"/>
      <c r="H24" s="1604"/>
      <c r="I24" s="1604"/>
      <c r="J24" s="2831"/>
      <c r="K24" s="1604"/>
    </row>
    <row r="25" spans="1:11" ht="15">
      <c r="A25" s="2833" t="s">
        <v>151</v>
      </c>
      <c r="B25" s="2796" t="str">
        <f t="shared" ref="B25:I25" si="2">B17</f>
        <v>NAME 1</v>
      </c>
      <c r="C25" s="2796" t="str">
        <f t="shared" si="2"/>
        <v>NAME 2</v>
      </c>
      <c r="D25" s="2796" t="str">
        <f t="shared" si="2"/>
        <v>NAME 3</v>
      </c>
      <c r="E25" s="2796" t="str">
        <f t="shared" si="2"/>
        <v>NAME 4</v>
      </c>
      <c r="F25" s="2796" t="str">
        <f t="shared" si="2"/>
        <v>NAME 5</v>
      </c>
      <c r="G25" s="2796" t="str">
        <f t="shared" si="2"/>
        <v>NAME 6</v>
      </c>
      <c r="H25" s="2796" t="str">
        <f t="shared" si="2"/>
        <v>NAME 7</v>
      </c>
      <c r="I25" s="2796" t="str">
        <f t="shared" si="2"/>
        <v>NAME 8</v>
      </c>
      <c r="J25" s="2841" t="s">
        <v>1129</v>
      </c>
      <c r="K25" s="2796"/>
    </row>
    <row r="26" spans="1:11">
      <c r="A26" s="1466" t="s">
        <v>1674</v>
      </c>
      <c r="B26" s="2825">
        <v>0</v>
      </c>
      <c r="C26" s="2825">
        <v>0</v>
      </c>
      <c r="D26" s="2825">
        <v>0</v>
      </c>
      <c r="E26" s="2825">
        <v>0</v>
      </c>
      <c r="F26" s="2825">
        <v>0</v>
      </c>
      <c r="G26" s="2825">
        <v>0</v>
      </c>
      <c r="H26" s="2825">
        <v>0</v>
      </c>
      <c r="I26" s="2826">
        <v>0</v>
      </c>
      <c r="J26" s="2867">
        <f>SUM(B26:I26)</f>
        <v>0</v>
      </c>
      <c r="K26" s="2800"/>
    </row>
    <row r="27" spans="1:11">
      <c r="A27" s="2866" t="s">
        <v>1675</v>
      </c>
      <c r="B27" s="2797">
        <f>B18-B26</f>
        <v>0</v>
      </c>
      <c r="C27" s="2797">
        <f t="shared" ref="C27:I27" si="3">C18-C26</f>
        <v>0</v>
      </c>
      <c r="D27" s="2797">
        <f t="shared" si="3"/>
        <v>0</v>
      </c>
      <c r="E27" s="2797">
        <f t="shared" si="3"/>
        <v>0</v>
      </c>
      <c r="F27" s="2797">
        <f t="shared" si="3"/>
        <v>0</v>
      </c>
      <c r="G27" s="2797">
        <f t="shared" si="3"/>
        <v>0</v>
      </c>
      <c r="H27" s="2797">
        <f t="shared" si="3"/>
        <v>0</v>
      </c>
      <c r="I27" s="2797">
        <f t="shared" si="3"/>
        <v>0</v>
      </c>
      <c r="J27" s="2842">
        <f>SUM(B27:I27)</f>
        <v>0</v>
      </c>
      <c r="K27" s="2797"/>
    </row>
    <row r="28" spans="1:11">
      <c r="A28" s="2866" t="s">
        <v>1676</v>
      </c>
      <c r="B28" s="2798">
        <f>IF(ISERROR(B27/$J$27),0,B27/$J$27)</f>
        <v>0</v>
      </c>
      <c r="C28" s="2798">
        <f t="shared" ref="C28:I28" si="4">IF(ISERROR(C27/$J$27),0,C27/$J$27)</f>
        <v>0</v>
      </c>
      <c r="D28" s="2798">
        <f t="shared" si="4"/>
        <v>0</v>
      </c>
      <c r="E28" s="2798">
        <f t="shared" si="4"/>
        <v>0</v>
      </c>
      <c r="F28" s="2798">
        <f t="shared" si="4"/>
        <v>0</v>
      </c>
      <c r="G28" s="2798">
        <f t="shared" si="4"/>
        <v>0</v>
      </c>
      <c r="H28" s="2798">
        <f t="shared" si="4"/>
        <v>0</v>
      </c>
      <c r="I28" s="2798">
        <f t="shared" si="4"/>
        <v>0</v>
      </c>
      <c r="J28" s="2848">
        <f>SUM(B28:I28)</f>
        <v>0</v>
      </c>
      <c r="K28" s="2798"/>
    </row>
    <row r="29" spans="1:11">
      <c r="A29" s="2830"/>
      <c r="B29" s="1604"/>
      <c r="C29" s="1604"/>
      <c r="D29" s="1604"/>
      <c r="E29" s="1604"/>
      <c r="F29" s="1604"/>
      <c r="G29" s="1604"/>
      <c r="H29" s="1604"/>
      <c r="I29" s="1604"/>
      <c r="J29" s="2831"/>
      <c r="K29" s="1604"/>
    </row>
    <row r="30" spans="1:11" ht="13.5" thickBot="1">
      <c r="A30" s="2838"/>
      <c r="B30" s="2839"/>
      <c r="C30" s="2839"/>
      <c r="D30" s="2839"/>
      <c r="E30" s="2839"/>
      <c r="F30" s="2839"/>
      <c r="G30" s="2839"/>
      <c r="H30" s="2839"/>
      <c r="I30" s="2839"/>
      <c r="J30" s="2840"/>
      <c r="K30" s="1604"/>
    </row>
    <row r="31" spans="1:11" ht="15.75">
      <c r="A31" s="2817" t="s">
        <v>1677</v>
      </c>
      <c r="B31" s="2818"/>
      <c r="C31" s="2818"/>
      <c r="D31" s="2818"/>
      <c r="E31" s="2818"/>
      <c r="F31" s="2818"/>
      <c r="G31" s="2818"/>
      <c r="H31" s="2818"/>
      <c r="I31" s="2818"/>
      <c r="J31" s="2819"/>
      <c r="K31" s="1604"/>
    </row>
    <row r="32" spans="1:11">
      <c r="A32" s="2830"/>
      <c r="B32" s="1604"/>
      <c r="C32" s="1604"/>
      <c r="D32" s="1604"/>
      <c r="E32" s="1604"/>
      <c r="F32" s="1604"/>
      <c r="G32" s="1604"/>
      <c r="H32" s="1604"/>
      <c r="I32" s="1604"/>
      <c r="J32" s="2831"/>
      <c r="K32" s="1604"/>
    </row>
    <row r="33" spans="1:12" ht="15">
      <c r="A33" s="2832" t="s">
        <v>1678</v>
      </c>
      <c r="B33" s="1604"/>
      <c r="C33" s="1604"/>
      <c r="D33" s="1604"/>
      <c r="E33" s="1604"/>
      <c r="F33" s="1604"/>
      <c r="G33" s="1604"/>
      <c r="H33" s="1604"/>
      <c r="I33" s="1604"/>
      <c r="J33" s="2831"/>
      <c r="K33" s="1604"/>
    </row>
    <row r="34" spans="1:12">
      <c r="A34" s="2830"/>
      <c r="B34" s="1604"/>
      <c r="C34" s="1604"/>
      <c r="D34" s="1604"/>
      <c r="E34" s="1604"/>
      <c r="F34" s="1604"/>
      <c r="G34" s="1604"/>
      <c r="H34" s="1604"/>
      <c r="I34" s="1604"/>
      <c r="J34" s="2831"/>
      <c r="K34" s="1604"/>
    </row>
    <row r="35" spans="1:12" ht="15">
      <c r="A35" s="2832" t="s">
        <v>1679</v>
      </c>
      <c r="B35" s="2822">
        <v>0</v>
      </c>
      <c r="C35" s="1604"/>
      <c r="D35" s="1604"/>
      <c r="E35" s="1604"/>
      <c r="F35" s="1604"/>
      <c r="G35" s="1604"/>
      <c r="H35" s="1604"/>
      <c r="I35" s="1604"/>
      <c r="J35" s="2831"/>
      <c r="K35" s="1604"/>
    </row>
    <row r="36" spans="1:12" ht="15">
      <c r="A36" s="2832" t="s">
        <v>1680</v>
      </c>
      <c r="B36" s="2822">
        <v>0</v>
      </c>
      <c r="C36" s="1604"/>
      <c r="D36" s="1604"/>
      <c r="E36" s="1604"/>
      <c r="F36" s="1604"/>
      <c r="G36" s="1604"/>
      <c r="H36" s="1604"/>
      <c r="I36" s="1604"/>
      <c r="J36" s="2831"/>
      <c r="K36" s="1604"/>
      <c r="L36" s="2807" t="str">
        <f>IF(B36&gt;B35,"Capital losses exceed gross capital gain","")</f>
        <v/>
      </c>
    </row>
    <row r="37" spans="1:12">
      <c r="A37" s="2830"/>
      <c r="B37" s="2797">
        <f>B35-B36</f>
        <v>0</v>
      </c>
      <c r="C37" s="1604"/>
      <c r="D37" s="1604"/>
      <c r="E37" s="1604"/>
      <c r="F37" s="1604"/>
      <c r="G37" s="1604"/>
      <c r="H37" s="1604"/>
      <c r="I37" s="1604"/>
      <c r="J37" s="2831"/>
      <c r="K37" s="1604"/>
    </row>
    <row r="38" spans="1:12" ht="15">
      <c r="A38" s="2832" t="s">
        <v>1681</v>
      </c>
      <c r="B38" s="2797">
        <f>B37*50%</f>
        <v>0</v>
      </c>
      <c r="C38" s="1604"/>
      <c r="D38" s="1604"/>
      <c r="E38" s="1604"/>
      <c r="F38" s="1604"/>
      <c r="G38" s="1604"/>
      <c r="H38" s="1604"/>
      <c r="I38" s="1604"/>
      <c r="J38" s="2831"/>
      <c r="K38" s="1604"/>
    </row>
    <row r="39" spans="1:12" ht="15.75" thickBot="1">
      <c r="A39" s="2832" t="s">
        <v>1682</v>
      </c>
      <c r="B39" s="2874">
        <f>B37-B38</f>
        <v>0</v>
      </c>
      <c r="C39" s="1604"/>
      <c r="D39" s="1604"/>
      <c r="E39" s="1604"/>
      <c r="F39" s="1604"/>
      <c r="G39" s="1604"/>
      <c r="H39" s="1604"/>
      <c r="I39" s="1604"/>
      <c r="J39" s="2831"/>
      <c r="K39" s="1604"/>
    </row>
    <row r="40" spans="1:12" ht="13.5" thickTop="1">
      <c r="A40" s="2830"/>
      <c r="B40" s="1604"/>
      <c r="C40" s="1604"/>
      <c r="D40" s="1604"/>
      <c r="E40" s="1604"/>
      <c r="F40" s="1604"/>
      <c r="G40" s="1604"/>
      <c r="H40" s="1604"/>
      <c r="I40" s="1604"/>
      <c r="J40" s="2831"/>
      <c r="K40" s="1604"/>
    </row>
    <row r="41" spans="1:12" ht="15">
      <c r="A41" s="2833" t="s">
        <v>1683</v>
      </c>
      <c r="B41" s="2796" t="str">
        <f t="shared" ref="B41:I41" si="5">B17</f>
        <v>NAME 1</v>
      </c>
      <c r="C41" s="2796" t="str">
        <f t="shared" si="5"/>
        <v>NAME 2</v>
      </c>
      <c r="D41" s="2796" t="str">
        <f t="shared" si="5"/>
        <v>NAME 3</v>
      </c>
      <c r="E41" s="2796" t="str">
        <f t="shared" si="5"/>
        <v>NAME 4</v>
      </c>
      <c r="F41" s="2796" t="str">
        <f t="shared" si="5"/>
        <v>NAME 5</v>
      </c>
      <c r="G41" s="2796" t="str">
        <f t="shared" si="5"/>
        <v>NAME 6</v>
      </c>
      <c r="H41" s="2796" t="str">
        <f t="shared" si="5"/>
        <v>NAME 7</v>
      </c>
      <c r="I41" s="2796" t="str">
        <f t="shared" si="5"/>
        <v>NAME 8</v>
      </c>
      <c r="J41" s="2831"/>
      <c r="K41" s="1604"/>
    </row>
    <row r="42" spans="1:12" ht="15">
      <c r="A42" s="2834" t="s">
        <v>1684</v>
      </c>
      <c r="B42" s="2822">
        <v>0</v>
      </c>
      <c r="C42" s="2822">
        <v>0</v>
      </c>
      <c r="D42" s="2822">
        <v>0</v>
      </c>
      <c r="E42" s="2822">
        <v>0</v>
      </c>
      <c r="F42" s="2822">
        <v>0</v>
      </c>
      <c r="G42" s="2822">
        <v>0</v>
      </c>
      <c r="H42" s="2822">
        <v>0</v>
      </c>
      <c r="I42" s="2822">
        <v>0</v>
      </c>
      <c r="J42" s="1465"/>
      <c r="K42" s="1604"/>
      <c r="L42" s="2807" t="str">
        <f>IF(SUM(B42:I42)&gt;B35,"Specific entitlement exceeds total gross capital gains","")</f>
        <v/>
      </c>
    </row>
    <row r="43" spans="1:12" ht="15">
      <c r="A43" s="2834" t="s">
        <v>1685</v>
      </c>
      <c r="B43" s="2873">
        <f>IF($G$12="Yes",(($B$39-SUM($B$42:$I$42))*B28),($B$35-SUM($B$42:$I$42))*B28)</f>
        <v>0</v>
      </c>
      <c r="C43" s="2873">
        <f t="shared" ref="C43:I43" si="6">IF($G$12="Yes",(($B$39-SUM($B$42:$I$42))*C28),($B$35-SUM($B$42:$I$42))*C28)</f>
        <v>0</v>
      </c>
      <c r="D43" s="2873">
        <f t="shared" si="6"/>
        <v>0</v>
      </c>
      <c r="E43" s="2873">
        <f t="shared" si="6"/>
        <v>0</v>
      </c>
      <c r="F43" s="2873">
        <f t="shared" si="6"/>
        <v>0</v>
      </c>
      <c r="G43" s="2873">
        <f t="shared" si="6"/>
        <v>0</v>
      </c>
      <c r="H43" s="2873">
        <f t="shared" si="6"/>
        <v>0</v>
      </c>
      <c r="I43" s="2873">
        <f t="shared" si="6"/>
        <v>0</v>
      </c>
      <c r="J43" s="2831"/>
      <c r="K43" s="1604"/>
    </row>
    <row r="44" spans="1:12">
      <c r="A44" s="2834" t="s">
        <v>1686</v>
      </c>
      <c r="B44" s="2797">
        <f>SUM(B42:B43)</f>
        <v>0</v>
      </c>
      <c r="C44" s="2797">
        <f t="shared" ref="C44:I44" si="7">SUM(C42:C43)</f>
        <v>0</v>
      </c>
      <c r="D44" s="2797">
        <f t="shared" si="7"/>
        <v>0</v>
      </c>
      <c r="E44" s="2797">
        <f t="shared" si="7"/>
        <v>0</v>
      </c>
      <c r="F44" s="2797">
        <f t="shared" si="7"/>
        <v>0</v>
      </c>
      <c r="G44" s="2797">
        <f t="shared" si="7"/>
        <v>0</v>
      </c>
      <c r="H44" s="2797">
        <f t="shared" si="7"/>
        <v>0</v>
      </c>
      <c r="I44" s="2797">
        <f t="shared" si="7"/>
        <v>0</v>
      </c>
      <c r="J44" s="2831"/>
      <c r="K44" s="1604"/>
    </row>
    <row r="45" spans="1:12">
      <c r="A45" s="2834" t="s">
        <v>1687</v>
      </c>
      <c r="B45" s="2797">
        <f>IF(B44&gt;0,$B$35,0)</f>
        <v>0</v>
      </c>
      <c r="C45" s="2797">
        <f t="shared" ref="C45:I45" si="8">IF(C44&gt;0,$B$35,0)</f>
        <v>0</v>
      </c>
      <c r="D45" s="2797">
        <f t="shared" si="8"/>
        <v>0</v>
      </c>
      <c r="E45" s="2797">
        <f t="shared" si="8"/>
        <v>0</v>
      </c>
      <c r="F45" s="2797">
        <f t="shared" si="8"/>
        <v>0</v>
      </c>
      <c r="G45" s="2797">
        <f t="shared" si="8"/>
        <v>0</v>
      </c>
      <c r="H45" s="2797">
        <f t="shared" si="8"/>
        <v>0</v>
      </c>
      <c r="I45" s="2797">
        <f t="shared" si="8"/>
        <v>0</v>
      </c>
      <c r="J45" s="2831"/>
      <c r="K45" s="1604"/>
    </row>
    <row r="46" spans="1:12">
      <c r="A46" s="2834" t="s">
        <v>1688</v>
      </c>
      <c r="B46" s="2798">
        <f>IF(ISERROR(B44/B45),0,B44/B45)</f>
        <v>0</v>
      </c>
      <c r="C46" s="2798">
        <f t="shared" ref="C46:I46" si="9">IF(ISERROR(C44/C45),0,C44/C45)</f>
        <v>0</v>
      </c>
      <c r="D46" s="2798">
        <f t="shared" si="9"/>
        <v>0</v>
      </c>
      <c r="E46" s="2798">
        <f t="shared" si="9"/>
        <v>0</v>
      </c>
      <c r="F46" s="2798">
        <f t="shared" si="9"/>
        <v>0</v>
      </c>
      <c r="G46" s="2798">
        <f t="shared" si="9"/>
        <v>0</v>
      </c>
      <c r="H46" s="2798">
        <f t="shared" si="9"/>
        <v>0</v>
      </c>
      <c r="I46" s="2798">
        <f t="shared" si="9"/>
        <v>0</v>
      </c>
      <c r="J46" s="2831"/>
      <c r="K46" s="1604"/>
    </row>
    <row r="47" spans="1:12">
      <c r="A47" s="2834" t="s">
        <v>1689</v>
      </c>
      <c r="B47" s="2797">
        <f>IF(B44&gt;0,$B$39,0)</f>
        <v>0</v>
      </c>
      <c r="C47" s="2797">
        <f t="shared" ref="C47:I47" si="10">IF(C44&gt;0,$B$39,0)</f>
        <v>0</v>
      </c>
      <c r="D47" s="2797">
        <f t="shared" si="10"/>
        <v>0</v>
      </c>
      <c r="E47" s="2797">
        <f t="shared" si="10"/>
        <v>0</v>
      </c>
      <c r="F47" s="2797">
        <f t="shared" si="10"/>
        <v>0</v>
      </c>
      <c r="G47" s="2797">
        <f t="shared" si="10"/>
        <v>0</v>
      </c>
      <c r="H47" s="2797">
        <f t="shared" si="10"/>
        <v>0</v>
      </c>
      <c r="I47" s="2797">
        <f t="shared" si="10"/>
        <v>0</v>
      </c>
      <c r="J47" s="2831"/>
      <c r="K47" s="1604"/>
    </row>
    <row r="48" spans="1:12">
      <c r="A48" s="2834" t="s">
        <v>1690</v>
      </c>
      <c r="B48" s="2797">
        <f>IF($G$12="Yes",B47,B46*B47)</f>
        <v>0</v>
      </c>
      <c r="C48" s="2797">
        <f t="shared" ref="C48:I48" si="11">IF($G$12="Yes",C47,C46*C47)</f>
        <v>0</v>
      </c>
      <c r="D48" s="2797">
        <f t="shared" si="11"/>
        <v>0</v>
      </c>
      <c r="E48" s="2797">
        <f t="shared" si="11"/>
        <v>0</v>
      </c>
      <c r="F48" s="2797">
        <f t="shared" si="11"/>
        <v>0</v>
      </c>
      <c r="G48" s="2797">
        <f t="shared" si="11"/>
        <v>0</v>
      </c>
      <c r="H48" s="2797">
        <f t="shared" si="11"/>
        <v>0</v>
      </c>
      <c r="I48" s="2797">
        <f t="shared" si="11"/>
        <v>0</v>
      </c>
      <c r="J48" s="2831"/>
      <c r="K48" s="1604"/>
    </row>
    <row r="49" spans="1:12">
      <c r="A49" s="2834" t="s">
        <v>1691</v>
      </c>
      <c r="B49" s="2872" t="str">
        <f>IF($G$12="Yes","No",IF(B48&gt;0,"Yes","No"))</f>
        <v>No</v>
      </c>
      <c r="C49" s="2872" t="str">
        <f t="shared" ref="C49:I49" si="12">IF($G$12="Yes","No",IF(C48&gt;0,"Yes","No"))</f>
        <v>No</v>
      </c>
      <c r="D49" s="2872" t="str">
        <f t="shared" si="12"/>
        <v>No</v>
      </c>
      <c r="E49" s="2872" t="str">
        <f t="shared" si="12"/>
        <v>No</v>
      </c>
      <c r="F49" s="2872" t="str">
        <f t="shared" si="12"/>
        <v>No</v>
      </c>
      <c r="G49" s="2872" t="str">
        <f t="shared" si="12"/>
        <v>No</v>
      </c>
      <c r="H49" s="2872" t="str">
        <f t="shared" si="12"/>
        <v>No</v>
      </c>
      <c r="I49" s="2872" t="str">
        <f t="shared" si="12"/>
        <v>No</v>
      </c>
      <c r="J49" s="2831"/>
      <c r="K49" s="1604"/>
    </row>
    <row r="50" spans="1:12">
      <c r="A50" s="2834" t="s">
        <v>1692</v>
      </c>
      <c r="B50" s="2797">
        <f>IF(B49="Yes",B48*2,B48)</f>
        <v>0</v>
      </c>
      <c r="C50" s="2797">
        <f t="shared" ref="C50:I50" si="13">IF(C49="Yes",C48*2,C48)</f>
        <v>0</v>
      </c>
      <c r="D50" s="2797">
        <f t="shared" si="13"/>
        <v>0</v>
      </c>
      <c r="E50" s="2797">
        <f t="shared" si="13"/>
        <v>0</v>
      </c>
      <c r="F50" s="2797">
        <f t="shared" si="13"/>
        <v>0</v>
      </c>
      <c r="G50" s="2797">
        <f t="shared" si="13"/>
        <v>0</v>
      </c>
      <c r="H50" s="2797">
        <f t="shared" si="13"/>
        <v>0</v>
      </c>
      <c r="I50" s="2797">
        <f t="shared" si="13"/>
        <v>0</v>
      </c>
      <c r="J50" s="2831"/>
      <c r="K50" s="1604"/>
    </row>
    <row r="51" spans="1:12" ht="13.5" thickBot="1">
      <c r="A51" s="2838"/>
      <c r="B51" s="2839"/>
      <c r="C51" s="2839"/>
      <c r="D51" s="2839"/>
      <c r="E51" s="2839"/>
      <c r="F51" s="2839"/>
      <c r="G51" s="2839"/>
      <c r="H51" s="2839"/>
      <c r="I51" s="2839"/>
      <c r="J51" s="2840"/>
      <c r="K51" s="1604"/>
    </row>
    <row r="52" spans="1:12" ht="15">
      <c r="A52" s="2832" t="s">
        <v>1693</v>
      </c>
      <c r="B52" s="1604"/>
      <c r="C52" s="1604"/>
      <c r="D52" s="1604"/>
      <c r="E52" s="1604"/>
      <c r="F52" s="1604"/>
      <c r="G52" s="1604"/>
      <c r="H52" s="1604"/>
      <c r="I52" s="1604"/>
      <c r="J52" s="2831"/>
      <c r="K52" s="1604"/>
    </row>
    <row r="53" spans="1:12" ht="15">
      <c r="A53" s="2832"/>
      <c r="B53" s="1604"/>
      <c r="C53" s="1604"/>
      <c r="D53" s="1604"/>
      <c r="E53" s="1604"/>
      <c r="F53" s="1604"/>
      <c r="G53" s="1604"/>
      <c r="H53" s="1604"/>
      <c r="I53" s="1604"/>
      <c r="J53" s="2831"/>
      <c r="K53" s="1604"/>
    </row>
    <row r="54" spans="1:12" ht="15">
      <c r="A54" s="2832" t="s">
        <v>1679</v>
      </c>
      <c r="B54" s="2822">
        <v>0</v>
      </c>
      <c r="C54" s="1604"/>
      <c r="D54" s="1604"/>
      <c r="E54" s="1604"/>
      <c r="F54" s="1604"/>
      <c r="G54" s="1604"/>
      <c r="H54" s="1604"/>
      <c r="I54" s="1604"/>
      <c r="J54" s="2831"/>
      <c r="K54" s="1604"/>
    </row>
    <row r="55" spans="1:12" ht="15">
      <c r="A55" s="2832" t="s">
        <v>1680</v>
      </c>
      <c r="B55" s="2827">
        <v>0</v>
      </c>
      <c r="C55" s="1604"/>
      <c r="D55" s="1604"/>
      <c r="E55" s="1604"/>
      <c r="F55" s="1604"/>
      <c r="G55" s="1604"/>
      <c r="H55" s="1604"/>
      <c r="I55" s="1604"/>
      <c r="J55" s="2831"/>
      <c r="K55" s="1604"/>
      <c r="L55" s="2807" t="str">
        <f>IF(B55&gt;B54,"Capital losses exceed gross capital gain","")</f>
        <v/>
      </c>
    </row>
    <row r="56" spans="1:12" ht="15.75" thickBot="1">
      <c r="A56" s="2832" t="s">
        <v>1682</v>
      </c>
      <c r="B56" s="2874">
        <f>B54-B55</f>
        <v>0</v>
      </c>
      <c r="C56" s="1604"/>
      <c r="D56" s="1604"/>
      <c r="E56" s="1604"/>
      <c r="F56" s="1604"/>
      <c r="G56" s="1604"/>
      <c r="H56" s="1604"/>
      <c r="I56" s="1604"/>
      <c r="J56" s="2831"/>
      <c r="K56" s="1604"/>
    </row>
    <row r="57" spans="1:12" ht="15.75" thickTop="1">
      <c r="A57" s="2832"/>
      <c r="B57" s="2797"/>
      <c r="C57" s="1604"/>
      <c r="D57" s="1604"/>
      <c r="E57" s="1604"/>
      <c r="F57" s="1604"/>
      <c r="G57" s="1604"/>
      <c r="H57" s="1604"/>
      <c r="I57" s="1604"/>
      <c r="J57" s="2831"/>
      <c r="K57" s="1604"/>
    </row>
    <row r="58" spans="1:12">
      <c r="A58" s="2830"/>
      <c r="B58" s="1604"/>
      <c r="C58" s="1604"/>
      <c r="D58" s="1604"/>
      <c r="E58" s="1604"/>
      <c r="F58" s="1604"/>
      <c r="G58" s="1604"/>
      <c r="H58" s="1604"/>
      <c r="I58" s="1604"/>
      <c r="J58" s="2831"/>
      <c r="K58" s="1604"/>
    </row>
    <row r="59" spans="1:12" ht="15">
      <c r="A59" s="2833" t="s">
        <v>1683</v>
      </c>
      <c r="B59" s="2796" t="str">
        <f t="shared" ref="B59:I59" si="14">B17</f>
        <v>NAME 1</v>
      </c>
      <c r="C59" s="2796" t="str">
        <f t="shared" si="14"/>
        <v>NAME 2</v>
      </c>
      <c r="D59" s="2796" t="str">
        <f t="shared" si="14"/>
        <v>NAME 3</v>
      </c>
      <c r="E59" s="2796" t="str">
        <f t="shared" si="14"/>
        <v>NAME 4</v>
      </c>
      <c r="F59" s="2796" t="str">
        <f t="shared" si="14"/>
        <v>NAME 5</v>
      </c>
      <c r="G59" s="2796" t="str">
        <f t="shared" si="14"/>
        <v>NAME 6</v>
      </c>
      <c r="H59" s="2796" t="str">
        <f t="shared" si="14"/>
        <v>NAME 7</v>
      </c>
      <c r="I59" s="2796" t="str">
        <f t="shared" si="14"/>
        <v>NAME 8</v>
      </c>
      <c r="J59" s="2831"/>
      <c r="K59" s="1604"/>
    </row>
    <row r="60" spans="1:12" ht="15">
      <c r="A60" s="2834" t="s">
        <v>1684</v>
      </c>
      <c r="B60" s="2822">
        <v>0</v>
      </c>
      <c r="C60" s="2822">
        <v>0</v>
      </c>
      <c r="D60" s="2822">
        <v>0</v>
      </c>
      <c r="E60" s="2822">
        <v>0</v>
      </c>
      <c r="F60" s="2822">
        <v>0</v>
      </c>
      <c r="G60" s="2822">
        <v>0</v>
      </c>
      <c r="H60" s="2822">
        <v>0</v>
      </c>
      <c r="I60" s="2822">
        <v>0</v>
      </c>
      <c r="J60" s="1467"/>
      <c r="K60" s="2801"/>
      <c r="L60" s="2807" t="str">
        <f>IF(SUM(B60:I60)&gt;B54,"Specific entitlement exceeds total gross capital gains","")</f>
        <v/>
      </c>
    </row>
    <row r="61" spans="1:12" ht="15">
      <c r="A61" s="2834" t="s">
        <v>1685</v>
      </c>
      <c r="B61" s="2873">
        <f>($B$54-SUM($B$60:$I$60))*B28</f>
        <v>0</v>
      </c>
      <c r="C61" s="2873">
        <f t="shared" ref="C61:I61" si="15">($B$54-SUM($B$60:$I$60))*C28</f>
        <v>0</v>
      </c>
      <c r="D61" s="2873">
        <f t="shared" si="15"/>
        <v>0</v>
      </c>
      <c r="E61" s="2873">
        <f t="shared" si="15"/>
        <v>0</v>
      </c>
      <c r="F61" s="2873">
        <f t="shared" si="15"/>
        <v>0</v>
      </c>
      <c r="G61" s="2873">
        <f t="shared" si="15"/>
        <v>0</v>
      </c>
      <c r="H61" s="2873">
        <f t="shared" si="15"/>
        <v>0</v>
      </c>
      <c r="I61" s="2873">
        <f t="shared" si="15"/>
        <v>0</v>
      </c>
      <c r="J61" s="2831"/>
      <c r="K61" s="1604"/>
    </row>
    <row r="62" spans="1:12">
      <c r="A62" s="2834" t="s">
        <v>1686</v>
      </c>
      <c r="B62" s="2797">
        <f>SUM(B60:B61)</f>
        <v>0</v>
      </c>
      <c r="C62" s="2797">
        <f t="shared" ref="C62:I62" si="16">SUM(C60:C61)</f>
        <v>0</v>
      </c>
      <c r="D62" s="2797">
        <f t="shared" si="16"/>
        <v>0</v>
      </c>
      <c r="E62" s="2797">
        <f t="shared" si="16"/>
        <v>0</v>
      </c>
      <c r="F62" s="2797">
        <f t="shared" si="16"/>
        <v>0</v>
      </c>
      <c r="G62" s="2797">
        <f t="shared" si="16"/>
        <v>0</v>
      </c>
      <c r="H62" s="2797">
        <f t="shared" si="16"/>
        <v>0</v>
      </c>
      <c r="I62" s="2797">
        <f t="shared" si="16"/>
        <v>0</v>
      </c>
      <c r="J62" s="2831"/>
      <c r="K62" s="1604"/>
    </row>
    <row r="63" spans="1:12">
      <c r="A63" s="2834" t="s">
        <v>1687</v>
      </c>
      <c r="B63" s="2797">
        <f>IF(B62&gt;0,$B$54,0)</f>
        <v>0</v>
      </c>
      <c r="C63" s="2797">
        <f t="shared" ref="C63:I63" si="17">IF(C62&gt;0,$B$54,0)</f>
        <v>0</v>
      </c>
      <c r="D63" s="2797">
        <f t="shared" si="17"/>
        <v>0</v>
      </c>
      <c r="E63" s="2797">
        <f t="shared" si="17"/>
        <v>0</v>
      </c>
      <c r="F63" s="2797">
        <f t="shared" si="17"/>
        <v>0</v>
      </c>
      <c r="G63" s="2797">
        <f t="shared" si="17"/>
        <v>0</v>
      </c>
      <c r="H63" s="2797">
        <f t="shared" si="17"/>
        <v>0</v>
      </c>
      <c r="I63" s="2797">
        <f t="shared" si="17"/>
        <v>0</v>
      </c>
      <c r="J63" s="2831"/>
      <c r="K63" s="1604"/>
    </row>
    <row r="64" spans="1:12">
      <c r="A64" s="2834" t="s">
        <v>1688</v>
      </c>
      <c r="B64" s="2798">
        <f>IF(ISERROR(B62/B63),0,B62/B63)</f>
        <v>0</v>
      </c>
      <c r="C64" s="2798">
        <f t="shared" ref="C64:I64" si="18">IF(ISERROR(C62/C63),0,C62/C63)</f>
        <v>0</v>
      </c>
      <c r="D64" s="2798">
        <f t="shared" si="18"/>
        <v>0</v>
      </c>
      <c r="E64" s="2798">
        <f t="shared" si="18"/>
        <v>0</v>
      </c>
      <c r="F64" s="2798">
        <f t="shared" si="18"/>
        <v>0</v>
      </c>
      <c r="G64" s="2798">
        <f t="shared" si="18"/>
        <v>0</v>
      </c>
      <c r="H64" s="2798">
        <f t="shared" si="18"/>
        <v>0</v>
      </c>
      <c r="I64" s="2798">
        <f t="shared" si="18"/>
        <v>0</v>
      </c>
      <c r="J64" s="2831"/>
      <c r="K64" s="1604"/>
    </row>
    <row r="65" spans="1:12">
      <c r="A65" s="2834" t="s">
        <v>1689</v>
      </c>
      <c r="B65" s="2797">
        <f>IF(B62&gt;0,$B$56,0)</f>
        <v>0</v>
      </c>
      <c r="C65" s="2797">
        <f t="shared" ref="C65:I65" si="19">IF(C62&gt;0,$B$56,0)</f>
        <v>0</v>
      </c>
      <c r="D65" s="2797">
        <f t="shared" si="19"/>
        <v>0</v>
      </c>
      <c r="E65" s="2797">
        <f t="shared" si="19"/>
        <v>0</v>
      </c>
      <c r="F65" s="2797">
        <f t="shared" si="19"/>
        <v>0</v>
      </c>
      <c r="G65" s="2797">
        <f t="shared" si="19"/>
        <v>0</v>
      </c>
      <c r="H65" s="2797">
        <f t="shared" si="19"/>
        <v>0</v>
      </c>
      <c r="I65" s="2797">
        <f t="shared" si="19"/>
        <v>0</v>
      </c>
      <c r="J65" s="2831"/>
      <c r="K65" s="1604"/>
    </row>
    <row r="66" spans="1:12">
      <c r="A66" s="2834" t="s">
        <v>1690</v>
      </c>
      <c r="B66" s="2797">
        <f t="shared" ref="B66:I66" si="20">B64*B65</f>
        <v>0</v>
      </c>
      <c r="C66" s="2797">
        <f t="shared" si="20"/>
        <v>0</v>
      </c>
      <c r="D66" s="2797">
        <f t="shared" si="20"/>
        <v>0</v>
      </c>
      <c r="E66" s="2797">
        <f t="shared" si="20"/>
        <v>0</v>
      </c>
      <c r="F66" s="2797">
        <f t="shared" si="20"/>
        <v>0</v>
      </c>
      <c r="G66" s="2797">
        <f t="shared" si="20"/>
        <v>0</v>
      </c>
      <c r="H66" s="2797">
        <f t="shared" si="20"/>
        <v>0</v>
      </c>
      <c r="I66" s="2797">
        <f t="shared" si="20"/>
        <v>0</v>
      </c>
      <c r="J66" s="2831"/>
      <c r="K66" s="1604"/>
    </row>
    <row r="67" spans="1:12">
      <c r="A67" s="2834" t="s">
        <v>1691</v>
      </c>
      <c r="B67" s="2872" t="s">
        <v>441</v>
      </c>
      <c r="C67" s="2872" t="s">
        <v>441</v>
      </c>
      <c r="D67" s="2872" t="s">
        <v>441</v>
      </c>
      <c r="E67" s="2872" t="s">
        <v>441</v>
      </c>
      <c r="F67" s="2872" t="s">
        <v>441</v>
      </c>
      <c r="G67" s="2872" t="s">
        <v>441</v>
      </c>
      <c r="H67" s="2872" t="s">
        <v>441</v>
      </c>
      <c r="I67" s="2872" t="s">
        <v>441</v>
      </c>
      <c r="J67" s="2831"/>
      <c r="K67" s="1604"/>
    </row>
    <row r="68" spans="1:12">
      <c r="A68" s="2834" t="s">
        <v>1692</v>
      </c>
      <c r="B68" s="2797">
        <f>IF(B67="Yes",B66*2,B66)</f>
        <v>0</v>
      </c>
      <c r="C68" s="2797">
        <f t="shared" ref="C68:I68" si="21">IF(C67="Yes",C66*2,C66)</f>
        <v>0</v>
      </c>
      <c r="D68" s="2797">
        <f t="shared" si="21"/>
        <v>0</v>
      </c>
      <c r="E68" s="2797">
        <f t="shared" si="21"/>
        <v>0</v>
      </c>
      <c r="F68" s="2797">
        <f t="shared" si="21"/>
        <v>0</v>
      </c>
      <c r="G68" s="2797">
        <f t="shared" si="21"/>
        <v>0</v>
      </c>
      <c r="H68" s="2797">
        <f t="shared" si="21"/>
        <v>0</v>
      </c>
      <c r="I68" s="2797">
        <f t="shared" si="21"/>
        <v>0</v>
      </c>
      <c r="J68" s="2831"/>
      <c r="K68" s="1604"/>
    </row>
    <row r="69" spans="1:12" ht="13.5" thickBot="1">
      <c r="A69" s="2838"/>
      <c r="B69" s="2839"/>
      <c r="C69" s="2839"/>
      <c r="D69" s="2839"/>
      <c r="E69" s="2839"/>
      <c r="F69" s="2839"/>
      <c r="G69" s="2839"/>
      <c r="H69" s="2839"/>
      <c r="I69" s="2839"/>
      <c r="J69" s="2840"/>
      <c r="K69" s="1604"/>
    </row>
    <row r="70" spans="1:12" ht="15.75">
      <c r="A70" s="2828" t="s">
        <v>1694</v>
      </c>
      <c r="B70" s="2818"/>
      <c r="C70" s="2818"/>
      <c r="D70" s="2818"/>
      <c r="E70" s="2818"/>
      <c r="F70" s="2818"/>
      <c r="G70" s="2818"/>
      <c r="H70" s="2818"/>
      <c r="I70" s="2818"/>
      <c r="J70" s="2819"/>
      <c r="K70" s="1604"/>
    </row>
    <row r="71" spans="1:12">
      <c r="A71" s="2868"/>
      <c r="B71" s="1604"/>
      <c r="C71" s="1604"/>
      <c r="D71" s="1604"/>
      <c r="E71" s="1604"/>
      <c r="F71" s="1604"/>
      <c r="G71" s="1604"/>
      <c r="H71" s="1604"/>
      <c r="I71" s="1604"/>
      <c r="J71" s="2831"/>
      <c r="K71" s="1604"/>
    </row>
    <row r="72" spans="1:12" ht="15">
      <c r="A72" s="2850" t="s">
        <v>1695</v>
      </c>
      <c r="B72" s="1604"/>
      <c r="C72" s="1604"/>
      <c r="D72" s="1604"/>
      <c r="E72" s="1604"/>
      <c r="F72" s="1604"/>
      <c r="G72" s="1604"/>
      <c r="H72" s="1604"/>
      <c r="I72" s="1604"/>
      <c r="J72" s="2831"/>
      <c r="K72" s="1604"/>
    </row>
    <row r="73" spans="1:12">
      <c r="A73" s="2868" t="s">
        <v>1696</v>
      </c>
      <c r="B73" s="2822">
        <v>0</v>
      </c>
      <c r="C73" s="1604"/>
      <c r="D73" s="1604"/>
      <c r="E73" s="1604"/>
      <c r="F73" s="1604"/>
      <c r="G73" s="1604"/>
      <c r="H73" s="1604"/>
      <c r="I73" s="1604"/>
      <c r="J73" s="2831"/>
      <c r="K73" s="1604"/>
    </row>
    <row r="74" spans="1:12" ht="15">
      <c r="A74" s="2868" t="s">
        <v>1697</v>
      </c>
      <c r="B74" s="2827">
        <v>0</v>
      </c>
      <c r="C74" s="1604"/>
      <c r="D74" s="1604"/>
      <c r="E74" s="1604"/>
      <c r="F74" s="1604"/>
      <c r="G74" s="1604"/>
      <c r="H74" s="1604"/>
      <c r="I74" s="1604"/>
      <c r="J74" s="2831"/>
      <c r="K74" s="1604"/>
      <c r="L74" s="2807" t="str">
        <f>IF(B74&gt;B73,"Dividend deductions exceed franked dividends","")</f>
        <v/>
      </c>
    </row>
    <row r="75" spans="1:12">
      <c r="A75" s="2868" t="s">
        <v>1698</v>
      </c>
      <c r="B75" s="2870">
        <f>B73-B74</f>
        <v>0</v>
      </c>
      <c r="C75" s="1604"/>
      <c r="D75" s="1604"/>
      <c r="E75" s="1604"/>
      <c r="F75" s="1604"/>
      <c r="G75" s="1604"/>
      <c r="H75" s="1604"/>
      <c r="I75" s="1604"/>
      <c r="J75" s="2831"/>
      <c r="K75" s="1604"/>
    </row>
    <row r="76" spans="1:12">
      <c r="A76" s="2868" t="s">
        <v>1699</v>
      </c>
      <c r="B76" s="2822">
        <v>0</v>
      </c>
      <c r="C76" s="1604"/>
      <c r="D76" s="1604"/>
      <c r="E76" s="1604"/>
      <c r="F76" s="1604"/>
      <c r="G76" s="1604"/>
      <c r="H76" s="1604"/>
      <c r="I76" s="1604"/>
      <c r="J76" s="2831"/>
      <c r="K76" s="1604"/>
    </row>
    <row r="77" spans="1:12">
      <c r="A77" s="2868"/>
      <c r="B77" s="1604"/>
      <c r="C77" s="1604"/>
      <c r="D77" s="1604"/>
      <c r="E77" s="1604"/>
      <c r="F77" s="1604"/>
      <c r="G77" s="1604"/>
      <c r="H77" s="1604"/>
      <c r="I77" s="1604"/>
      <c r="J77" s="2831"/>
      <c r="K77" s="1604"/>
    </row>
    <row r="78" spans="1:12" ht="15">
      <c r="A78" s="2833" t="s">
        <v>1683</v>
      </c>
      <c r="B78" s="2796" t="str">
        <f t="shared" ref="B78:I78" si="22">B17</f>
        <v>NAME 1</v>
      </c>
      <c r="C78" s="2796" t="str">
        <f t="shared" si="22"/>
        <v>NAME 2</v>
      </c>
      <c r="D78" s="2796" t="str">
        <f t="shared" si="22"/>
        <v>NAME 3</v>
      </c>
      <c r="E78" s="2796" t="str">
        <f t="shared" si="22"/>
        <v>NAME 4</v>
      </c>
      <c r="F78" s="2796" t="str">
        <f t="shared" si="22"/>
        <v>NAME 5</v>
      </c>
      <c r="G78" s="2796" t="str">
        <f t="shared" si="22"/>
        <v>NAME 6</v>
      </c>
      <c r="H78" s="2796" t="str">
        <f t="shared" si="22"/>
        <v>NAME 7</v>
      </c>
      <c r="I78" s="2796" t="str">
        <f t="shared" si="22"/>
        <v>NAME 8</v>
      </c>
      <c r="J78" s="2871" t="s">
        <v>1129</v>
      </c>
      <c r="K78" s="2802"/>
    </row>
    <row r="79" spans="1:12" ht="15">
      <c r="A79" s="2834" t="s">
        <v>1700</v>
      </c>
      <c r="B79" s="2822">
        <v>0</v>
      </c>
      <c r="C79" s="2822">
        <v>0</v>
      </c>
      <c r="D79" s="2822">
        <v>0</v>
      </c>
      <c r="E79" s="2822">
        <v>0</v>
      </c>
      <c r="F79" s="2822">
        <v>0</v>
      </c>
      <c r="G79" s="2822">
        <v>0</v>
      </c>
      <c r="H79" s="2822">
        <v>0</v>
      </c>
      <c r="I79" s="2822">
        <v>0</v>
      </c>
      <c r="J79" s="1468">
        <f>SUM(B79:I79)</f>
        <v>0</v>
      </c>
      <c r="K79" s="2803"/>
      <c r="L79" s="2807" t="str">
        <f>IF(SUM(B79:I79)&gt;B73,"Specific entitlement exceeds total franked dividends","")</f>
        <v/>
      </c>
    </row>
    <row r="80" spans="1:12">
      <c r="A80" s="2834" t="s">
        <v>1701</v>
      </c>
      <c r="B80" s="2869">
        <f>IF(ISERROR((B79/$B$73)*$B$74),0,(B79/$B$73)*$B$74)</f>
        <v>0</v>
      </c>
      <c r="C80" s="2869">
        <f>IF(ISERROR((C79/$B$73)*$B$74),0,(C79/$B$73)*$B$74)</f>
        <v>0</v>
      </c>
      <c r="D80" s="2869">
        <f t="shared" ref="D80:I80" si="23">IF(ISERROR((D79/$B$73)*$B$74),0,(D79/$B$73)*$B$74)</f>
        <v>0</v>
      </c>
      <c r="E80" s="2869">
        <f t="shared" si="23"/>
        <v>0</v>
      </c>
      <c r="F80" s="2869">
        <f t="shared" si="23"/>
        <v>0</v>
      </c>
      <c r="G80" s="2869">
        <f t="shared" si="23"/>
        <v>0</v>
      </c>
      <c r="H80" s="2869">
        <f t="shared" si="23"/>
        <v>0</v>
      </c>
      <c r="I80" s="2869">
        <f t="shared" si="23"/>
        <v>0</v>
      </c>
      <c r="J80" s="2852">
        <f>SUM(B80:I80)</f>
        <v>0</v>
      </c>
      <c r="K80" s="2803"/>
    </row>
    <row r="81" spans="1:11" ht="15">
      <c r="A81" s="2835" t="s">
        <v>1702</v>
      </c>
      <c r="B81" s="2845">
        <f>B79-B80</f>
        <v>0</v>
      </c>
      <c r="C81" s="2845">
        <f t="shared" ref="C81:I81" si="24">C79-C80</f>
        <v>0</v>
      </c>
      <c r="D81" s="2845">
        <f t="shared" si="24"/>
        <v>0</v>
      </c>
      <c r="E81" s="2845">
        <f t="shared" si="24"/>
        <v>0</v>
      </c>
      <c r="F81" s="2845">
        <f t="shared" si="24"/>
        <v>0</v>
      </c>
      <c r="G81" s="2845">
        <f t="shared" si="24"/>
        <v>0</v>
      </c>
      <c r="H81" s="2845">
        <f t="shared" si="24"/>
        <v>0</v>
      </c>
      <c r="I81" s="2845">
        <f t="shared" si="24"/>
        <v>0</v>
      </c>
      <c r="J81" s="2849">
        <f>SUM(B81:I81)</f>
        <v>0</v>
      </c>
      <c r="K81" s="2804"/>
    </row>
    <row r="82" spans="1:11" ht="15">
      <c r="A82" s="2850"/>
      <c r="B82" s="1604"/>
      <c r="C82" s="1604"/>
      <c r="D82" s="1604"/>
      <c r="E82" s="1604"/>
      <c r="F82" s="1604"/>
      <c r="G82" s="1604"/>
      <c r="H82" s="1604"/>
      <c r="I82" s="1604"/>
      <c r="J82" s="2831"/>
      <c r="K82" s="1604"/>
    </row>
    <row r="83" spans="1:11">
      <c r="A83" s="2851" t="s">
        <v>1703</v>
      </c>
      <c r="B83" s="2797">
        <f>IF($G$13="Yes",($B$73+$B$76-SUM($B$79:$I$79))*B28,($B$73-SUM($B$79:$I$79))*B28)</f>
        <v>0</v>
      </c>
      <c r="C83" s="2797">
        <f t="shared" ref="C83:I83" si="25">IF($G$13="Yes",($B$73+$B$76-SUM($B$79:$I$79))*C28,($B$73-SUM($B$79:$I$79))*C28)</f>
        <v>0</v>
      </c>
      <c r="D83" s="2797">
        <f t="shared" si="25"/>
        <v>0</v>
      </c>
      <c r="E83" s="2797">
        <f t="shared" si="25"/>
        <v>0</v>
      </c>
      <c r="F83" s="2797">
        <f t="shared" si="25"/>
        <v>0</v>
      </c>
      <c r="G83" s="2797">
        <f t="shared" si="25"/>
        <v>0</v>
      </c>
      <c r="H83" s="2797">
        <f t="shared" si="25"/>
        <v>0</v>
      </c>
      <c r="I83" s="2797">
        <f t="shared" si="25"/>
        <v>0</v>
      </c>
      <c r="J83" s="2852">
        <f>SUM(B83:I83)</f>
        <v>0</v>
      </c>
      <c r="K83" s="2803"/>
    </row>
    <row r="84" spans="1:11">
      <c r="A84" s="2851" t="s">
        <v>1701</v>
      </c>
      <c r="B84" s="2843">
        <f t="shared" ref="B84:I84" si="26">($B$74-SUM($B$80:$I$80))*B28</f>
        <v>0</v>
      </c>
      <c r="C84" s="2843">
        <f>($B$74-SUM($B$80:$I$80))*C28</f>
        <v>0</v>
      </c>
      <c r="D84" s="2843">
        <f t="shared" si="26"/>
        <v>0</v>
      </c>
      <c r="E84" s="2843">
        <f t="shared" si="26"/>
        <v>0</v>
      </c>
      <c r="F84" s="2843">
        <f t="shared" si="26"/>
        <v>0</v>
      </c>
      <c r="G84" s="2843">
        <f t="shared" si="26"/>
        <v>0</v>
      </c>
      <c r="H84" s="2843">
        <f t="shared" si="26"/>
        <v>0</v>
      </c>
      <c r="I84" s="2843">
        <f t="shared" si="26"/>
        <v>0</v>
      </c>
      <c r="J84" s="2852">
        <f>SUM(B84:I84)</f>
        <v>0</v>
      </c>
      <c r="K84" s="2803"/>
    </row>
    <row r="85" spans="1:11" ht="15">
      <c r="A85" s="2835" t="s">
        <v>1704</v>
      </c>
      <c r="B85" s="2845">
        <f>B83-B84</f>
        <v>0</v>
      </c>
      <c r="C85" s="2845">
        <f>C83-C84</f>
        <v>0</v>
      </c>
      <c r="D85" s="2845">
        <f t="shared" ref="D85:I85" si="27">D83-D84</f>
        <v>0</v>
      </c>
      <c r="E85" s="2845">
        <f t="shared" si="27"/>
        <v>0</v>
      </c>
      <c r="F85" s="2845">
        <f t="shared" si="27"/>
        <v>0</v>
      </c>
      <c r="G85" s="2845">
        <f t="shared" si="27"/>
        <v>0</v>
      </c>
      <c r="H85" s="2845">
        <f t="shared" si="27"/>
        <v>0</v>
      </c>
      <c r="I85" s="2845">
        <f t="shared" si="27"/>
        <v>0</v>
      </c>
      <c r="J85" s="2849">
        <f>SUM(B85:I85)</f>
        <v>0</v>
      </c>
      <c r="K85" s="2804"/>
    </row>
    <row r="86" spans="1:11">
      <c r="A86" s="2834"/>
      <c r="B86" s="2797"/>
      <c r="C86" s="2797"/>
      <c r="D86" s="2797"/>
      <c r="E86" s="2797"/>
      <c r="F86" s="2797"/>
      <c r="G86" s="2797"/>
      <c r="H86" s="2797"/>
      <c r="I86" s="2797"/>
      <c r="J86" s="2831"/>
      <c r="K86" s="1604"/>
    </row>
    <row r="87" spans="1:11" ht="15">
      <c r="A87" s="2835" t="s">
        <v>1705</v>
      </c>
      <c r="B87" s="2806">
        <f t="shared" ref="B87:I87" si="28">B81+B85</f>
        <v>0</v>
      </c>
      <c r="C87" s="2806">
        <f t="shared" si="28"/>
        <v>0</v>
      </c>
      <c r="D87" s="2806">
        <f t="shared" si="28"/>
        <v>0</v>
      </c>
      <c r="E87" s="2806">
        <f t="shared" si="28"/>
        <v>0</v>
      </c>
      <c r="F87" s="2806">
        <f t="shared" si="28"/>
        <v>0</v>
      </c>
      <c r="G87" s="2806">
        <f t="shared" si="28"/>
        <v>0</v>
      </c>
      <c r="H87" s="2806">
        <f t="shared" si="28"/>
        <v>0</v>
      </c>
      <c r="I87" s="2806">
        <f t="shared" si="28"/>
        <v>0</v>
      </c>
      <c r="J87" s="2853">
        <f>SUM(B87:I87)</f>
        <v>0</v>
      </c>
      <c r="K87" s="2804"/>
    </row>
    <row r="88" spans="1:11">
      <c r="A88" s="2834" t="s">
        <v>1706</v>
      </c>
      <c r="B88" s="2854">
        <f>IF(AND($G$13="Yes",NOT(ISERROR(B87/($B$73+$B$76-$B$74)))),(B87/($B$73+$B$76-$B$74)),IF(AND($G$13="No",NOT(ISERROR((B87/($B$73-$B$74))))),(B87/($B$73-$B$74)),0))</f>
        <v>0</v>
      </c>
      <c r="C88" s="2854">
        <f t="shared" ref="C88:I88" si="29">IF(AND($G$13="Yes",NOT(ISERROR(C87/($B$73+$B$76-$B$74)))),(C87/($B$73+$B$76-$B$74)),IF(AND($G$13="No",NOT(ISERROR((C87/($B$73-$B$74))))),(C87/($B$73-$B$74)),0))</f>
        <v>0</v>
      </c>
      <c r="D88" s="2854">
        <f t="shared" si="29"/>
        <v>0</v>
      </c>
      <c r="E88" s="2854">
        <f t="shared" si="29"/>
        <v>0</v>
      </c>
      <c r="F88" s="2854">
        <f t="shared" si="29"/>
        <v>0</v>
      </c>
      <c r="G88" s="2854">
        <f t="shared" si="29"/>
        <v>0</v>
      </c>
      <c r="H88" s="2854">
        <f t="shared" si="29"/>
        <v>0</v>
      </c>
      <c r="I88" s="2854">
        <f t="shared" si="29"/>
        <v>0</v>
      </c>
      <c r="J88" s="2855">
        <f>IF(AND($G$13="Y",NOT(ISERROR(J87/($B$73+$B$76-$B$74)))),(J87/($B$73+$B$76-$B$74)),IF(AND($G$13="N",NOT(ISERROR((J87/($B$73-$B$74))))),(J87/($B$73-$B$74)),0))</f>
        <v>0</v>
      </c>
      <c r="K88" s="2798"/>
    </row>
    <row r="89" spans="1:11">
      <c r="A89" s="2834" t="s">
        <v>1707</v>
      </c>
      <c r="B89" s="2797">
        <f>$B$76*B88</f>
        <v>0</v>
      </c>
      <c r="C89" s="2797">
        <f t="shared" ref="C89:I89" si="30">$B$76*C88</f>
        <v>0</v>
      </c>
      <c r="D89" s="2797">
        <f t="shared" si="30"/>
        <v>0</v>
      </c>
      <c r="E89" s="2797">
        <f t="shared" si="30"/>
        <v>0</v>
      </c>
      <c r="F89" s="2797">
        <f t="shared" si="30"/>
        <v>0</v>
      </c>
      <c r="G89" s="2797">
        <f t="shared" si="30"/>
        <v>0</v>
      </c>
      <c r="H89" s="2797">
        <f t="shared" si="30"/>
        <v>0</v>
      </c>
      <c r="I89" s="2797">
        <f t="shared" si="30"/>
        <v>0</v>
      </c>
      <c r="J89" s="2856">
        <f>SUM(B89:I89)</f>
        <v>0</v>
      </c>
      <c r="K89" s="2805"/>
    </row>
    <row r="90" spans="1:11">
      <c r="A90" s="2834"/>
      <c r="B90" s="2797"/>
      <c r="C90" s="2797"/>
      <c r="D90" s="2797"/>
      <c r="E90" s="2797"/>
      <c r="F90" s="2797"/>
      <c r="G90" s="2797"/>
      <c r="H90" s="2797"/>
      <c r="I90" s="2797"/>
      <c r="J90" s="2831"/>
      <c r="K90" s="1604"/>
    </row>
    <row r="91" spans="1:11" ht="13.5" thickBot="1">
      <c r="A91" s="2838"/>
      <c r="B91" s="2839"/>
      <c r="C91" s="2839"/>
      <c r="D91" s="2839"/>
      <c r="E91" s="2839"/>
      <c r="F91" s="2839"/>
      <c r="G91" s="2839"/>
      <c r="H91" s="2839"/>
      <c r="I91" s="2839"/>
      <c r="J91" s="2840"/>
      <c r="K91" s="1604"/>
    </row>
    <row r="92" spans="1:11" ht="15.75">
      <c r="A92" s="2828" t="s">
        <v>1708</v>
      </c>
      <c r="B92" s="2818"/>
      <c r="C92" s="2818"/>
      <c r="D92" s="2818"/>
      <c r="E92" s="2818"/>
      <c r="F92" s="2818"/>
      <c r="G92" s="2818"/>
      <c r="H92" s="2818"/>
      <c r="I92" s="2818"/>
      <c r="J92" s="2819"/>
      <c r="K92" s="1604"/>
    </row>
    <row r="93" spans="1:11">
      <c r="A93" s="2830"/>
      <c r="B93" s="1604"/>
      <c r="C93" s="1604"/>
      <c r="D93" s="1604"/>
      <c r="E93" s="1604"/>
      <c r="F93" s="1604"/>
      <c r="G93" s="1604"/>
      <c r="H93" s="1604"/>
      <c r="I93" s="1604"/>
      <c r="J93" s="2831"/>
      <c r="K93" s="1604"/>
    </row>
    <row r="94" spans="1:11" ht="15">
      <c r="A94" s="2833" t="s">
        <v>151</v>
      </c>
      <c r="B94" s="2796" t="str">
        <f t="shared" ref="B94:I94" si="31">B17</f>
        <v>NAME 1</v>
      </c>
      <c r="C94" s="2796" t="str">
        <f t="shared" si="31"/>
        <v>NAME 2</v>
      </c>
      <c r="D94" s="2796" t="str">
        <f t="shared" si="31"/>
        <v>NAME 3</v>
      </c>
      <c r="E94" s="2796" t="str">
        <f t="shared" si="31"/>
        <v>NAME 4</v>
      </c>
      <c r="F94" s="2796" t="str">
        <f t="shared" si="31"/>
        <v>NAME 5</v>
      </c>
      <c r="G94" s="2796" t="str">
        <f t="shared" si="31"/>
        <v>NAME 6</v>
      </c>
      <c r="H94" s="2796" t="str">
        <f t="shared" si="31"/>
        <v>NAME 7</v>
      </c>
      <c r="I94" s="2796" t="str">
        <f t="shared" si="31"/>
        <v>NAME 8</v>
      </c>
      <c r="J94" s="2841" t="s">
        <v>1129</v>
      </c>
      <c r="K94" s="2796"/>
    </row>
    <row r="95" spans="1:11">
      <c r="A95" s="2834" t="s">
        <v>1709</v>
      </c>
      <c r="B95" s="2797">
        <f t="shared" ref="B95:I95" si="32">B18-B44-B62-B87</f>
        <v>0</v>
      </c>
      <c r="C95" s="2797">
        <f t="shared" si="32"/>
        <v>0</v>
      </c>
      <c r="D95" s="2797">
        <f t="shared" si="32"/>
        <v>0</v>
      </c>
      <c r="E95" s="2797">
        <f t="shared" si="32"/>
        <v>0</v>
      </c>
      <c r="F95" s="2797">
        <f t="shared" si="32"/>
        <v>0</v>
      </c>
      <c r="G95" s="2797">
        <f t="shared" si="32"/>
        <v>0</v>
      </c>
      <c r="H95" s="2797">
        <f t="shared" si="32"/>
        <v>0</v>
      </c>
      <c r="I95" s="2797">
        <f t="shared" si="32"/>
        <v>0</v>
      </c>
      <c r="J95" s="2847">
        <f>SUM(B95:I95)</f>
        <v>0</v>
      </c>
      <c r="K95" s="2803"/>
    </row>
    <row r="96" spans="1:11">
      <c r="A96" s="2834" t="s">
        <v>1710</v>
      </c>
      <c r="B96" s="2798">
        <f>IF(ISERROR(B95/$J$95),0,B95/$J$95)</f>
        <v>0</v>
      </c>
      <c r="C96" s="2798">
        <f t="shared" ref="C96:I96" si="33">IF(ISERROR(C95/$J$95),0,C95/$J$95)</f>
        <v>0</v>
      </c>
      <c r="D96" s="2798">
        <f t="shared" si="33"/>
        <v>0</v>
      </c>
      <c r="E96" s="2798">
        <f t="shared" si="33"/>
        <v>0</v>
      </c>
      <c r="F96" s="2798">
        <f t="shared" si="33"/>
        <v>0</v>
      </c>
      <c r="G96" s="2798">
        <f t="shared" si="33"/>
        <v>0</v>
      </c>
      <c r="H96" s="2798">
        <f t="shared" si="33"/>
        <v>0</v>
      </c>
      <c r="I96" s="2798">
        <f t="shared" si="33"/>
        <v>0</v>
      </c>
      <c r="J96" s="2848">
        <f>SUM(B96:I96)</f>
        <v>0</v>
      </c>
      <c r="K96" s="2798"/>
    </row>
    <row r="97" spans="1:11">
      <c r="A97" s="2834" t="s">
        <v>1732</v>
      </c>
      <c r="B97" s="2798"/>
      <c r="C97" s="2798"/>
      <c r="D97" s="2798"/>
      <c r="E97" s="2798"/>
      <c r="F97" s="2798"/>
      <c r="G97" s="2798"/>
      <c r="H97" s="2798"/>
      <c r="I97" s="2798"/>
      <c r="J97" s="2842">
        <f>J20-B39-B56-B75-B76</f>
        <v>0</v>
      </c>
      <c r="K97" s="2798"/>
    </row>
    <row r="98" spans="1:11">
      <c r="A98" s="2834" t="s">
        <v>1711</v>
      </c>
      <c r="B98" s="2797">
        <f>$J$97*B96</f>
        <v>0</v>
      </c>
      <c r="C98" s="2797">
        <f t="shared" ref="C98:I98" si="34">$J$97*C96</f>
        <v>0</v>
      </c>
      <c r="D98" s="2797">
        <f t="shared" si="34"/>
        <v>0</v>
      </c>
      <c r="E98" s="2797">
        <f t="shared" si="34"/>
        <v>0</v>
      </c>
      <c r="F98" s="2797">
        <f t="shared" si="34"/>
        <v>0</v>
      </c>
      <c r="G98" s="2797">
        <f t="shared" si="34"/>
        <v>0</v>
      </c>
      <c r="H98" s="2797">
        <f t="shared" si="34"/>
        <v>0</v>
      </c>
      <c r="I98" s="2797">
        <f t="shared" si="34"/>
        <v>0</v>
      </c>
      <c r="J98" s="2847">
        <f>SUM(B98:I98)</f>
        <v>0</v>
      </c>
      <c r="K98" s="2803"/>
    </row>
    <row r="99" spans="1:11">
      <c r="A99" s="2830"/>
      <c r="B99" s="1604"/>
      <c r="C99" s="1604"/>
      <c r="D99" s="1604"/>
      <c r="E99" s="1604"/>
      <c r="F99" s="1604"/>
      <c r="G99" s="1604"/>
      <c r="H99" s="1604"/>
      <c r="I99" s="1604"/>
      <c r="J99" s="2831"/>
      <c r="K99" s="1604"/>
    </row>
    <row r="100" spans="1:11" ht="13.5" thickBot="1">
      <c r="A100" s="2838"/>
      <c r="B100" s="2839"/>
      <c r="C100" s="2839"/>
      <c r="D100" s="2839"/>
      <c r="E100" s="2839"/>
      <c r="F100" s="2839"/>
      <c r="G100" s="2839"/>
      <c r="H100" s="2839"/>
      <c r="I100" s="2839"/>
      <c r="J100" s="2840"/>
      <c r="K100" s="1604"/>
    </row>
    <row r="101" spans="1:11" ht="15.75">
      <c r="A101" s="2829" t="s">
        <v>1712</v>
      </c>
      <c r="B101" s="2818"/>
      <c r="C101" s="2818"/>
      <c r="D101" s="2818"/>
      <c r="E101" s="2818"/>
      <c r="F101" s="2818"/>
      <c r="G101" s="2818"/>
      <c r="H101" s="2818"/>
      <c r="I101" s="2818"/>
      <c r="J101" s="2819"/>
      <c r="K101" s="1604"/>
    </row>
    <row r="102" spans="1:11">
      <c r="A102" s="2830"/>
      <c r="B102" s="1604"/>
      <c r="C102" s="1604"/>
      <c r="D102" s="1604"/>
      <c r="E102" s="1604"/>
      <c r="F102" s="1604"/>
      <c r="G102" s="1604"/>
      <c r="H102" s="1604"/>
      <c r="I102" s="1604"/>
      <c r="J102" s="2831"/>
      <c r="K102" s="1604"/>
    </row>
    <row r="103" spans="1:11" ht="15">
      <c r="A103" s="2833" t="s">
        <v>1683</v>
      </c>
      <c r="B103" s="2796" t="str">
        <f t="shared" ref="B103:I103" si="35">B17</f>
        <v>NAME 1</v>
      </c>
      <c r="C103" s="2796" t="str">
        <f t="shared" si="35"/>
        <v>NAME 2</v>
      </c>
      <c r="D103" s="2796" t="str">
        <f t="shared" si="35"/>
        <v>NAME 3</v>
      </c>
      <c r="E103" s="2796" t="str">
        <f t="shared" si="35"/>
        <v>NAME 4</v>
      </c>
      <c r="F103" s="2796" t="str">
        <f t="shared" si="35"/>
        <v>NAME 5</v>
      </c>
      <c r="G103" s="2796" t="str">
        <f t="shared" si="35"/>
        <v>NAME 6</v>
      </c>
      <c r="H103" s="2796" t="str">
        <f t="shared" si="35"/>
        <v>NAME 7</v>
      </c>
      <c r="I103" s="2796" t="str">
        <f t="shared" si="35"/>
        <v>NAME 8</v>
      </c>
      <c r="J103" s="2841" t="s">
        <v>1129</v>
      </c>
      <c r="K103" s="2796"/>
    </row>
    <row r="104" spans="1:11">
      <c r="A104" s="2834" t="s">
        <v>1713</v>
      </c>
      <c r="B104" s="2797">
        <f>B98</f>
        <v>0</v>
      </c>
      <c r="C104" s="2797">
        <f t="shared" ref="C104:I104" si="36">C98</f>
        <v>0</v>
      </c>
      <c r="D104" s="2797">
        <f t="shared" si="36"/>
        <v>0</v>
      </c>
      <c r="E104" s="2797">
        <f t="shared" si="36"/>
        <v>0</v>
      </c>
      <c r="F104" s="2797">
        <f t="shared" si="36"/>
        <v>0</v>
      </c>
      <c r="G104" s="2797">
        <f t="shared" si="36"/>
        <v>0</v>
      </c>
      <c r="H104" s="2797">
        <f t="shared" si="36"/>
        <v>0</v>
      </c>
      <c r="I104" s="2797">
        <f t="shared" si="36"/>
        <v>0</v>
      </c>
      <c r="J104" s="2842">
        <f t="shared" ref="J104:J109" si="37">SUM(B104:I104)</f>
        <v>0</v>
      </c>
      <c r="K104" s="2797"/>
    </row>
    <row r="105" spans="1:11">
      <c r="A105" s="2834" t="s">
        <v>1714</v>
      </c>
      <c r="B105" s="2797">
        <f t="shared" ref="B105:I105" si="38">B48+B66</f>
        <v>0</v>
      </c>
      <c r="C105" s="2797">
        <f t="shared" si="38"/>
        <v>0</v>
      </c>
      <c r="D105" s="2797">
        <f t="shared" si="38"/>
        <v>0</v>
      </c>
      <c r="E105" s="2797">
        <f t="shared" si="38"/>
        <v>0</v>
      </c>
      <c r="F105" s="2797">
        <f t="shared" si="38"/>
        <v>0</v>
      </c>
      <c r="G105" s="2797">
        <f t="shared" si="38"/>
        <v>0</v>
      </c>
      <c r="H105" s="2797">
        <f t="shared" si="38"/>
        <v>0</v>
      </c>
      <c r="I105" s="2797">
        <f t="shared" si="38"/>
        <v>0</v>
      </c>
      <c r="J105" s="2842">
        <f t="shared" si="37"/>
        <v>0</v>
      </c>
      <c r="K105" s="2797"/>
    </row>
    <row r="106" spans="1:11">
      <c r="A106" s="2834" t="s">
        <v>1715</v>
      </c>
      <c r="B106" s="2797">
        <f>IF($G$13="Yes",B87-B89,B87)</f>
        <v>0</v>
      </c>
      <c r="C106" s="2797">
        <f t="shared" ref="C106:I106" si="39">IF($G$13="Yes",C87-C89,C87)</f>
        <v>0</v>
      </c>
      <c r="D106" s="2797">
        <f t="shared" si="39"/>
        <v>0</v>
      </c>
      <c r="E106" s="2797">
        <f t="shared" si="39"/>
        <v>0</v>
      </c>
      <c r="F106" s="2797">
        <f t="shared" si="39"/>
        <v>0</v>
      </c>
      <c r="G106" s="2797">
        <f t="shared" si="39"/>
        <v>0</v>
      </c>
      <c r="H106" s="2797">
        <f t="shared" si="39"/>
        <v>0</v>
      </c>
      <c r="I106" s="2797">
        <f t="shared" si="39"/>
        <v>0</v>
      </c>
      <c r="J106" s="2842">
        <f t="shared" si="37"/>
        <v>0</v>
      </c>
      <c r="K106" s="2797"/>
    </row>
    <row r="107" spans="1:11">
      <c r="A107" s="2834" t="s">
        <v>1707</v>
      </c>
      <c r="B107" s="2843">
        <f>B89</f>
        <v>0</v>
      </c>
      <c r="C107" s="2843">
        <f t="shared" ref="C107:I107" si="40">C89</f>
        <v>0</v>
      </c>
      <c r="D107" s="2843">
        <f t="shared" si="40"/>
        <v>0</v>
      </c>
      <c r="E107" s="2843">
        <f t="shared" si="40"/>
        <v>0</v>
      </c>
      <c r="F107" s="2843">
        <f t="shared" si="40"/>
        <v>0</v>
      </c>
      <c r="G107" s="2843">
        <f t="shared" si="40"/>
        <v>0</v>
      </c>
      <c r="H107" s="2843">
        <f t="shared" si="40"/>
        <v>0</v>
      </c>
      <c r="I107" s="2843">
        <f t="shared" si="40"/>
        <v>0</v>
      </c>
      <c r="J107" s="2844">
        <f t="shared" si="37"/>
        <v>0</v>
      </c>
      <c r="K107" s="2797"/>
    </row>
    <row r="108" spans="1:11" ht="15">
      <c r="A108" s="2835" t="s">
        <v>1733</v>
      </c>
      <c r="B108" s="2845">
        <f>SUM(B104:B107)</f>
        <v>0</v>
      </c>
      <c r="C108" s="2845">
        <f t="shared" ref="C108:H108" si="41">SUM(C104:C107)</f>
        <v>0</v>
      </c>
      <c r="D108" s="2845">
        <f t="shared" si="41"/>
        <v>0</v>
      </c>
      <c r="E108" s="2845">
        <f t="shared" si="41"/>
        <v>0</v>
      </c>
      <c r="F108" s="2845">
        <f t="shared" si="41"/>
        <v>0</v>
      </c>
      <c r="G108" s="2845">
        <f t="shared" si="41"/>
        <v>0</v>
      </c>
      <c r="H108" s="2845">
        <f t="shared" si="41"/>
        <v>0</v>
      </c>
      <c r="I108" s="2845">
        <f>SUM(I104:I107)</f>
        <v>0</v>
      </c>
      <c r="J108" s="2846">
        <f t="shared" si="37"/>
        <v>0</v>
      </c>
      <c r="K108" s="2806"/>
    </row>
    <row r="109" spans="1:11">
      <c r="A109" s="2834" t="s">
        <v>1734</v>
      </c>
      <c r="B109" s="2797">
        <f t="shared" ref="B109:I109" si="42">B18</f>
        <v>0</v>
      </c>
      <c r="C109" s="2797">
        <f t="shared" si="42"/>
        <v>0</v>
      </c>
      <c r="D109" s="2797">
        <f t="shared" si="42"/>
        <v>0</v>
      </c>
      <c r="E109" s="2797">
        <f t="shared" si="42"/>
        <v>0</v>
      </c>
      <c r="F109" s="2797">
        <f t="shared" si="42"/>
        <v>0</v>
      </c>
      <c r="G109" s="2797">
        <f t="shared" si="42"/>
        <v>0</v>
      </c>
      <c r="H109" s="2797">
        <f t="shared" si="42"/>
        <v>0</v>
      </c>
      <c r="I109" s="2797">
        <f t="shared" si="42"/>
        <v>0</v>
      </c>
      <c r="J109" s="2842">
        <f t="shared" si="37"/>
        <v>0</v>
      </c>
      <c r="K109" s="2797"/>
    </row>
    <row r="110" spans="1:11">
      <c r="A110" s="2830"/>
      <c r="B110" s="1604"/>
      <c r="C110" s="1604"/>
      <c r="D110" s="1604"/>
      <c r="E110" s="1604"/>
      <c r="F110" s="1604"/>
      <c r="G110" s="1604"/>
      <c r="H110" s="1604"/>
      <c r="I110" s="1604"/>
      <c r="J110" s="2831"/>
      <c r="K110" s="1604"/>
    </row>
    <row r="111" spans="1:11" ht="13.5" thickBot="1">
      <c r="A111" s="2838"/>
      <c r="B111" s="2839"/>
      <c r="C111" s="2839"/>
      <c r="D111" s="2839"/>
      <c r="E111" s="2839"/>
      <c r="F111" s="2839"/>
      <c r="G111" s="2839"/>
      <c r="H111" s="2839"/>
      <c r="I111" s="2839"/>
      <c r="J111" s="2840"/>
      <c r="K111" s="1604"/>
    </row>
    <row r="112" spans="1:11" ht="15.75">
      <c r="A112" s="2817" t="s">
        <v>1716</v>
      </c>
      <c r="B112" s="2818"/>
      <c r="C112" s="2818"/>
      <c r="D112" s="2818"/>
      <c r="E112" s="2818"/>
      <c r="F112" s="2818"/>
      <c r="G112" s="2818"/>
      <c r="H112" s="2818"/>
      <c r="I112" s="2818"/>
      <c r="J112" s="2819"/>
      <c r="K112" s="1604"/>
    </row>
    <row r="113" spans="1:11">
      <c r="A113" s="2830"/>
      <c r="B113" s="1604"/>
      <c r="C113" s="1604"/>
      <c r="D113" s="1604"/>
      <c r="E113" s="1604"/>
      <c r="F113" s="1604"/>
      <c r="G113" s="1604"/>
      <c r="H113" s="1604"/>
      <c r="I113" s="1604"/>
      <c r="J113" s="2831"/>
      <c r="K113" s="1604"/>
    </row>
    <row r="114" spans="1:11" ht="15">
      <c r="A114" s="2832" t="s">
        <v>1717</v>
      </c>
      <c r="B114" s="1604"/>
      <c r="C114" s="1604"/>
      <c r="D114" s="1604"/>
      <c r="E114" s="1604"/>
      <c r="F114" s="1604"/>
      <c r="G114" s="1604"/>
      <c r="H114" s="1604"/>
      <c r="I114" s="1604"/>
      <c r="J114" s="2831"/>
      <c r="K114" s="1604"/>
    </row>
    <row r="115" spans="1:11" ht="15">
      <c r="A115" s="2832"/>
      <c r="B115" s="1604"/>
      <c r="C115" s="1604"/>
      <c r="D115" s="1604"/>
      <c r="E115" s="1604"/>
      <c r="F115" s="1604"/>
      <c r="G115" s="1604"/>
      <c r="H115" s="1604"/>
      <c r="I115" s="1604"/>
      <c r="J115" s="2831"/>
      <c r="K115" s="1604"/>
    </row>
    <row r="116" spans="1:11" ht="15">
      <c r="A116" s="2833" t="s">
        <v>151</v>
      </c>
      <c r="B116" s="2796" t="str">
        <f t="shared" ref="B116:I116" si="43">B17</f>
        <v>NAME 1</v>
      </c>
      <c r="C116" s="2796" t="str">
        <f t="shared" si="43"/>
        <v>NAME 2</v>
      </c>
      <c r="D116" s="2796" t="str">
        <f t="shared" si="43"/>
        <v>NAME 3</v>
      </c>
      <c r="E116" s="2796" t="str">
        <f t="shared" si="43"/>
        <v>NAME 4</v>
      </c>
      <c r="F116" s="2796" t="str">
        <f t="shared" si="43"/>
        <v>NAME 5</v>
      </c>
      <c r="G116" s="2796" t="str">
        <f t="shared" si="43"/>
        <v>NAME 6</v>
      </c>
      <c r="H116" s="2796" t="str">
        <f t="shared" si="43"/>
        <v>NAME 7</v>
      </c>
      <c r="I116" s="2796" t="str">
        <f t="shared" si="43"/>
        <v>NAME 8</v>
      </c>
      <c r="J116" s="2831"/>
      <c r="K116" s="1604"/>
    </row>
    <row r="117" spans="1:11">
      <c r="A117" s="2834" t="s">
        <v>1718</v>
      </c>
      <c r="B117" s="2803">
        <f t="shared" ref="B117:I117" si="44">B26</f>
        <v>0</v>
      </c>
      <c r="C117" s="2803">
        <f t="shared" si="44"/>
        <v>0</v>
      </c>
      <c r="D117" s="2803">
        <f t="shared" si="44"/>
        <v>0</v>
      </c>
      <c r="E117" s="2803">
        <f t="shared" si="44"/>
        <v>0</v>
      </c>
      <c r="F117" s="2803">
        <f t="shared" si="44"/>
        <v>0</v>
      </c>
      <c r="G117" s="2803">
        <f t="shared" si="44"/>
        <v>0</v>
      </c>
      <c r="H117" s="2803">
        <f t="shared" si="44"/>
        <v>0</v>
      </c>
      <c r="I117" s="2803">
        <f t="shared" si="44"/>
        <v>0</v>
      </c>
      <c r="J117" s="2831"/>
      <c r="K117" s="1604"/>
    </row>
    <row r="118" spans="1:11">
      <c r="A118" s="2834" t="s">
        <v>1719</v>
      </c>
      <c r="B118" s="2803">
        <f t="shared" ref="B118:I118" si="45">-B42</f>
        <v>0</v>
      </c>
      <c r="C118" s="2803">
        <f t="shared" si="45"/>
        <v>0</v>
      </c>
      <c r="D118" s="2803">
        <f t="shared" si="45"/>
        <v>0</v>
      </c>
      <c r="E118" s="2803">
        <f t="shared" si="45"/>
        <v>0</v>
      </c>
      <c r="F118" s="2803">
        <f t="shared" si="45"/>
        <v>0</v>
      </c>
      <c r="G118" s="2803">
        <f t="shared" si="45"/>
        <v>0</v>
      </c>
      <c r="H118" s="2803">
        <f t="shared" si="45"/>
        <v>0</v>
      </c>
      <c r="I118" s="2803">
        <f t="shared" si="45"/>
        <v>0</v>
      </c>
      <c r="J118" s="2831"/>
      <c r="K118" s="1604"/>
    </row>
    <row r="119" spans="1:11">
      <c r="A119" s="2834" t="s">
        <v>1720</v>
      </c>
      <c r="B119" s="2803">
        <f t="shared" ref="B119:I119" si="46">-B60</f>
        <v>0</v>
      </c>
      <c r="C119" s="2803">
        <f t="shared" si="46"/>
        <v>0</v>
      </c>
      <c r="D119" s="2803">
        <f t="shared" si="46"/>
        <v>0</v>
      </c>
      <c r="E119" s="2803">
        <f t="shared" si="46"/>
        <v>0</v>
      </c>
      <c r="F119" s="2803">
        <f t="shared" si="46"/>
        <v>0</v>
      </c>
      <c r="G119" s="2803">
        <f t="shared" si="46"/>
        <v>0</v>
      </c>
      <c r="H119" s="2803">
        <f t="shared" si="46"/>
        <v>0</v>
      </c>
      <c r="I119" s="2803">
        <f t="shared" si="46"/>
        <v>0</v>
      </c>
      <c r="J119" s="2831"/>
      <c r="K119" s="1604"/>
    </row>
    <row r="120" spans="1:11">
      <c r="A120" s="2834" t="s">
        <v>1721</v>
      </c>
      <c r="B120" s="2803">
        <f t="shared" ref="B120:I120" si="47">-B81</f>
        <v>0</v>
      </c>
      <c r="C120" s="2803">
        <f t="shared" si="47"/>
        <v>0</v>
      </c>
      <c r="D120" s="2803">
        <f t="shared" si="47"/>
        <v>0</v>
      </c>
      <c r="E120" s="2803">
        <f t="shared" si="47"/>
        <v>0</v>
      </c>
      <c r="F120" s="2803">
        <f t="shared" si="47"/>
        <v>0</v>
      </c>
      <c r="G120" s="2803">
        <f t="shared" si="47"/>
        <v>0</v>
      </c>
      <c r="H120" s="2803">
        <f t="shared" si="47"/>
        <v>0</v>
      </c>
      <c r="I120" s="2803">
        <f t="shared" si="47"/>
        <v>0</v>
      </c>
      <c r="J120" s="2831"/>
      <c r="K120" s="1604"/>
    </row>
    <row r="121" spans="1:11" ht="15.75" thickBot="1">
      <c r="A121" s="2835" t="s">
        <v>1722</v>
      </c>
      <c r="B121" s="2836">
        <f>SUM(B117:B120)</f>
        <v>0</v>
      </c>
      <c r="C121" s="2836">
        <f t="shared" ref="C121:I121" si="48">SUM(C117:C120)</f>
        <v>0</v>
      </c>
      <c r="D121" s="2836">
        <f t="shared" si="48"/>
        <v>0</v>
      </c>
      <c r="E121" s="2836">
        <f t="shared" si="48"/>
        <v>0</v>
      </c>
      <c r="F121" s="2836">
        <f t="shared" si="48"/>
        <v>0</v>
      </c>
      <c r="G121" s="2836">
        <f t="shared" si="48"/>
        <v>0</v>
      </c>
      <c r="H121" s="2836">
        <f t="shared" si="48"/>
        <v>0</v>
      </c>
      <c r="I121" s="2836">
        <f t="shared" si="48"/>
        <v>0</v>
      </c>
      <c r="J121" s="2831"/>
      <c r="K121" s="1604"/>
    </row>
    <row r="122" spans="1:11" ht="13.5" thickTop="1">
      <c r="A122" s="2830"/>
      <c r="B122" s="1604"/>
      <c r="C122" s="1604"/>
      <c r="D122" s="1604"/>
      <c r="E122" s="1604"/>
      <c r="F122" s="1604"/>
      <c r="G122" s="1604"/>
      <c r="H122" s="1604"/>
      <c r="I122" s="1604"/>
      <c r="J122" s="2831"/>
      <c r="K122" s="1604"/>
    </row>
    <row r="123" spans="1:11" ht="30">
      <c r="A123" s="2835" t="s">
        <v>1723</v>
      </c>
      <c r="B123" s="2837"/>
      <c r="C123" s="1604"/>
      <c r="D123" s="1604"/>
      <c r="E123" s="1604"/>
      <c r="F123" s="1604"/>
      <c r="G123" s="1604"/>
      <c r="H123" s="1604"/>
      <c r="I123" s="1604"/>
      <c r="J123" s="2831"/>
      <c r="K123" s="1604"/>
    </row>
    <row r="124" spans="1:11" ht="15">
      <c r="A124" s="2835" t="s">
        <v>1724</v>
      </c>
      <c r="B124" s="1604" t="str">
        <f>IF(SUM(B42:I42)&gt;$B$35,"Check allocations of specifically entitled capital gains, as they exceed total discount capital gains","Yes")</f>
        <v>Yes</v>
      </c>
      <c r="C124" s="1604"/>
      <c r="D124" s="1604"/>
      <c r="E124" s="1604"/>
      <c r="F124" s="1604"/>
      <c r="G124" s="1604"/>
      <c r="H124" s="1604"/>
      <c r="I124" s="1604"/>
      <c r="J124" s="2831"/>
      <c r="K124" s="1604"/>
    </row>
    <row r="125" spans="1:11" ht="15">
      <c r="A125" s="2835" t="s">
        <v>1725</v>
      </c>
      <c r="B125" s="1604" t="str">
        <f>IF(SUM(B60:I60)&gt;$B$54,"Check allocations of specifically entitled non-discount capital gains, as they exceed total non-discount capital gains","Yes")</f>
        <v>Yes</v>
      </c>
      <c r="C125" s="1604"/>
      <c r="D125" s="1604"/>
      <c r="E125" s="1604"/>
      <c r="F125" s="1604"/>
      <c r="G125" s="1604"/>
      <c r="H125" s="1604"/>
      <c r="I125" s="1604"/>
      <c r="J125" s="2831"/>
      <c r="K125" s="1604"/>
    </row>
    <row r="126" spans="1:11" ht="15">
      <c r="A126" s="2835" t="s">
        <v>1726</v>
      </c>
      <c r="B126" s="1604" t="str">
        <f>IF(SUM(B79:I79)&gt;$B$73,"Check allocations of specifically entitled franked dividends, as they exceed total franked dividends","Yes")</f>
        <v>Yes</v>
      </c>
      <c r="C126" s="1604"/>
      <c r="D126" s="1604"/>
      <c r="E126" s="1604"/>
      <c r="F126" s="1604"/>
      <c r="G126" s="1604"/>
      <c r="H126" s="1604"/>
      <c r="I126" s="1604"/>
      <c r="J126" s="2831"/>
      <c r="K126" s="1604"/>
    </row>
    <row r="127" spans="1:11" ht="15">
      <c r="A127" s="2835"/>
      <c r="B127" s="1604"/>
      <c r="C127" s="1604"/>
      <c r="D127" s="1604"/>
      <c r="E127" s="1604"/>
      <c r="F127" s="1604"/>
      <c r="G127" s="1604"/>
      <c r="H127" s="1604"/>
      <c r="I127" s="1604"/>
      <c r="J127" s="2831"/>
      <c r="K127" s="1604"/>
    </row>
    <row r="128" spans="1:11" ht="30">
      <c r="A128" s="2835" t="s">
        <v>1727</v>
      </c>
      <c r="B128" s="1604" t="str">
        <f>IF(J95&gt;=0,"Yes","No, check allocations")</f>
        <v>Yes</v>
      </c>
      <c r="C128" s="1604"/>
      <c r="D128" s="1604"/>
      <c r="E128" s="1604"/>
      <c r="F128" s="1604"/>
      <c r="G128" s="1604"/>
      <c r="H128" s="1604"/>
      <c r="I128" s="1604"/>
      <c r="J128" s="2831"/>
      <c r="K128" s="1604"/>
    </row>
    <row r="129" spans="1:11" ht="30">
      <c r="A129" s="2835" t="s">
        <v>1728</v>
      </c>
      <c r="B129" s="1604" t="str">
        <f>IF(J108&lt;&gt;J20,"Amounts do not match, check allocations","Yes")</f>
        <v>Yes</v>
      </c>
      <c r="C129" s="1604"/>
      <c r="D129" s="1604"/>
      <c r="E129" s="1604"/>
      <c r="F129" s="1604"/>
      <c r="G129" s="1604"/>
      <c r="H129" s="1604"/>
      <c r="I129" s="1604"/>
      <c r="J129" s="2831"/>
      <c r="K129" s="1604"/>
    </row>
    <row r="130" spans="1:11" ht="30">
      <c r="A130" s="2835" t="s">
        <v>1729</v>
      </c>
      <c r="B130" s="1604" t="str">
        <f>IF(J109&lt;&gt;J18,"Amounts do not match, check allocations","Yes")</f>
        <v>Yes</v>
      </c>
      <c r="C130" s="1604"/>
      <c r="D130" s="1604"/>
      <c r="E130" s="1604"/>
      <c r="F130" s="1604"/>
      <c r="G130" s="1604"/>
      <c r="H130" s="1604"/>
      <c r="I130" s="1604"/>
      <c r="J130" s="2831"/>
      <c r="K130" s="1604"/>
    </row>
    <row r="131" spans="1:11" ht="13.5" thickBot="1">
      <c r="A131" s="2838"/>
      <c r="B131" s="2839"/>
      <c r="C131" s="2839"/>
      <c r="D131" s="2839"/>
      <c r="E131" s="2839"/>
      <c r="F131" s="2839"/>
      <c r="G131" s="2839"/>
      <c r="H131" s="2839"/>
      <c r="I131" s="2839"/>
      <c r="J131" s="2840"/>
      <c r="K131" s="1604"/>
    </row>
  </sheetData>
  <customSheetViews>
    <customSheetView guid="{BCBE45D4-3C45-4659-992E-5C5D3E9FD81C}" showPageBreaks="1" printArea="1" hiddenColumns="1" state="hidden" topLeftCell="B1">
      <selection activeCell="B7" sqref="B7"/>
      <rowBreaks count="2" manualBreakCount="2">
        <brk id="49" max="16383" man="1"/>
        <brk id="98" min="1" max="10" man="1"/>
      </rowBreaks>
      <colBreaks count="1" manualBreakCount="1">
        <brk id="11" max="1048575" man="1"/>
      </colBreaks>
      <pageMargins left="0.59055118110236227" right="0.43307086614173229" top="0.6692913385826772" bottom="0.94488188976377963" header="0.51181102362204722" footer="0.39370078740157483"/>
      <printOptions horizontalCentered="1"/>
      <pageSetup paperSize="9" scale="72" fitToHeight="999" orientation="landscape" blackAndWhite="1" r:id="rId1"/>
      <headerFooter alignWithMargins="0">
        <oddFooter>&amp;L&amp;8Copyright Crowe Horwath (Aust) Ltd 2016.  All rights reserved.
&amp;Z&amp;F[&amp;A]&amp;R&amp;8&amp;P/&amp;N</oddFooter>
      </headerFooter>
    </customSheetView>
    <customSheetView guid="{C24F3A9E-A8AA-4925-82D2-3EFABA416C15}" showPageBreaks="1" printArea="1" hiddenColumns="1" state="hidden" topLeftCell="B1">
      <selection activeCell="B7" sqref="B7"/>
      <rowBreaks count="2" manualBreakCount="2">
        <brk id="49" max="16383" man="1"/>
        <brk id="98" min="1" max="10" man="1"/>
      </rowBreaks>
      <colBreaks count="1" manualBreakCount="1">
        <brk id="11" max="1048575" man="1"/>
      </colBreaks>
      <pageMargins left="0.59055118110236227" right="0.43307086614173229" top="0.6692913385826772" bottom="0.94488188976377963" header="0.51181102362204722" footer="0.39370078740157483"/>
      <printOptions horizontalCentered="1"/>
      <pageSetup paperSize="9" scale="72" fitToHeight="999" orientation="landscape" blackAndWhite="1" r:id="rId2"/>
      <headerFooter alignWithMargins="0">
        <oddFooter>&amp;L&amp;8Copyright Crowe Horwath (Aust) Ltd 2016.  All rights reserved.
&amp;Z&amp;F[&amp;A]&amp;R&amp;8&amp;P/&amp;N</oddFooter>
      </headerFooter>
    </customSheetView>
  </customSheetViews>
  <mergeCells count="1">
    <mergeCell ref="A8:J8"/>
  </mergeCells>
  <conditionalFormatting sqref="L42">
    <cfRule type="notContainsBlanks" dxfId="65" priority="9">
      <formula>LEN(TRIM(L42))&gt;0</formula>
    </cfRule>
  </conditionalFormatting>
  <conditionalFormatting sqref="I121 B121:G121">
    <cfRule type="cellIs" dxfId="64" priority="8" operator="notEqual">
      <formula>0</formula>
    </cfRule>
  </conditionalFormatting>
  <conditionalFormatting sqref="J95:K95">
    <cfRule type="cellIs" dxfId="63" priority="7" operator="lessThan">
      <formula>0</formula>
    </cfRule>
  </conditionalFormatting>
  <conditionalFormatting sqref="H121">
    <cfRule type="cellIs" dxfId="62" priority="6" operator="notEqual">
      <formula>0</formula>
    </cfRule>
  </conditionalFormatting>
  <conditionalFormatting sqref="L60">
    <cfRule type="notContainsBlanks" dxfId="61" priority="5">
      <formula>LEN(TRIM(L60))&gt;0</formula>
    </cfRule>
  </conditionalFormatting>
  <conditionalFormatting sqref="L79">
    <cfRule type="notContainsBlanks" dxfId="60" priority="4">
      <formula>LEN(TRIM(L79))&gt;0</formula>
    </cfRule>
  </conditionalFormatting>
  <conditionalFormatting sqref="L74">
    <cfRule type="notContainsBlanks" dxfId="59" priority="3">
      <formula>LEN(TRIM(L74))&gt;0</formula>
    </cfRule>
  </conditionalFormatting>
  <conditionalFormatting sqref="L36">
    <cfRule type="notContainsBlanks" dxfId="58" priority="2">
      <formula>LEN(TRIM(L36))&gt;0</formula>
    </cfRule>
  </conditionalFormatting>
  <conditionalFormatting sqref="L55">
    <cfRule type="notContainsBlanks" dxfId="57" priority="1">
      <formula>LEN(TRIM(L55))&gt;0</formula>
    </cfRule>
  </conditionalFormatting>
  <dataValidations disablePrompts="1" count="3">
    <dataValidation type="decimal" operator="greaterThanOrEqual" allowBlank="1" showInputMessage="1" showErrorMessage="1" errorTitle="Incorrect data entered" error="Please enter dividend deductions as a positive number." sqref="B74" xr:uid="{00000000-0002-0000-0800-000000000000}">
      <formula1>0</formula1>
    </dataValidation>
    <dataValidation type="decimal" operator="greaterThanOrEqual" allowBlank="1" showInputMessage="1" showErrorMessage="1" errorTitle="Incorrect data entered" error="Please enter capital losses as a positive number." sqref="B36 B55" xr:uid="{00000000-0002-0000-0800-000001000000}">
      <formula1>0</formula1>
    </dataValidation>
    <dataValidation type="list" allowBlank="1" showInputMessage="1" showErrorMessage="1" errorTitle="Error" error="Please enter &quot;Y&quot; or &quot;N&quot;." sqref="G12:G13" xr:uid="{00000000-0002-0000-0800-000002000000}">
      <formula1>#REF!</formula1>
    </dataValidation>
  </dataValidations>
  <hyperlinks>
    <hyperlink ref="A10" location="ClientName" display="ClientName" xr:uid="{00000000-0004-0000-0800-000001000000}"/>
    <hyperlink ref="J9" location="'WPIndex'!A1" display="Back to Workpaper Index" xr:uid="{D510DA9D-71D2-463C-BD6F-41184FB30905}"/>
  </hyperlinks>
  <printOptions horizontalCentered="1"/>
  <pageMargins left="0.59055118110236227" right="0.43307086614173229" top="0.6692913385826772" bottom="0.94488188976377963" header="0.51181102362204722" footer="0.39370078740157483"/>
  <pageSetup paperSize="9" scale="68" fitToHeight="999" orientation="landscape" blackAndWhite="1" r:id="rId3"/>
  <headerFooter alignWithMargins="0">
    <oddFooter>&amp;L&amp;8© Findex (Aust) Pty Ltd.  All rights reserved.&amp;R&amp;8&amp;P/&amp;N</oddFooter>
  </headerFooter>
  <rowBreaks count="2" manualBreakCount="2">
    <brk id="51" max="16383" man="1"/>
    <brk id="100" max="9" man="1"/>
  </rowBreaks>
  <colBreaks count="1" manualBreakCount="1">
    <brk id="10" max="1048575" man="1"/>
  </colBreaks>
  <drawing r:id="rId4"/>
  <legacyDrawing r:id="rId5"/>
  <oleObjects>
    <mc:AlternateContent xmlns:mc="http://schemas.openxmlformats.org/markup-compatibility/2006">
      <mc:Choice Requires="x14">
        <oleObject progId="Document" dvAspect="DVASPECT_ICON" shapeId="196660" r:id="rId6">
          <objectPr defaultSize="0" autoPict="0" r:id="rId7">
            <anchor moveWithCells="1">
              <from>
                <xdr:col>13</xdr:col>
                <xdr:colOff>304800</xdr:colOff>
                <xdr:row>1</xdr:row>
                <xdr:rowOff>0</xdr:rowOff>
              </from>
              <to>
                <xdr:col>15</xdr:col>
                <xdr:colOff>0</xdr:colOff>
                <xdr:row>4</xdr:row>
                <xdr:rowOff>47625</xdr:rowOff>
              </to>
            </anchor>
          </objectPr>
        </oleObject>
      </mc:Choice>
      <mc:Fallback>
        <oleObject progId="Document" dvAspect="DVASPECT_ICON" shapeId="196660" r:id="rId6"/>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6B5EB-93B4-4C0E-890D-46BEEF96E9B5}">
  <sheetPr codeName="Sheet10">
    <tabColor theme="8" tint="0.79998168889431442"/>
    <pageSetUpPr fitToPage="1"/>
  </sheetPr>
  <dimension ref="A1:I74"/>
  <sheetViews>
    <sheetView zoomScaleNormal="100" workbookViewId="0">
      <selection sqref="A1:F1"/>
    </sheetView>
  </sheetViews>
  <sheetFormatPr defaultColWidth="9" defaultRowHeight="14.25"/>
  <cols>
    <col min="1" max="1" width="39.140625" style="3421" customWidth="1"/>
    <col min="2" max="6" width="14.7109375" style="3421" customWidth="1"/>
    <col min="7" max="8" width="11.28515625" style="3421" customWidth="1"/>
    <col min="9" max="16384" width="9" style="3421"/>
  </cols>
  <sheetData>
    <row r="1" spans="1:9" s="3415" customFormat="1">
      <c r="G1" s="3404" t="s">
        <v>2425</v>
      </c>
      <c r="H1" s="3576" t="s">
        <v>2758</v>
      </c>
    </row>
    <row r="2" spans="1:9" s="3390" customFormat="1" ht="18.75" customHeight="1">
      <c r="A2" s="3401"/>
      <c r="B2" s="3403"/>
      <c r="C2" s="3403"/>
      <c r="D2" s="3403"/>
      <c r="E2" s="3403"/>
      <c r="F2" s="3403"/>
      <c r="G2" s="3403"/>
      <c r="I2" s="3391"/>
    </row>
    <row r="3" spans="1:9" s="3390" customFormat="1" ht="12.75">
      <c r="A3" s="3401"/>
      <c r="F3" s="3396"/>
      <c r="G3" s="3402" t="s">
        <v>1163</v>
      </c>
      <c r="H3" s="3402" t="s">
        <v>1262</v>
      </c>
      <c r="I3" s="3400"/>
    </row>
    <row r="4" spans="1:9" s="3390" customFormat="1" ht="17.25" customHeight="1">
      <c r="A4" s="3401"/>
      <c r="F4" s="3395" t="s">
        <v>332</v>
      </c>
      <c r="G4" s="2624" t="str">
        <f>IF(PreparedBy="","",PreparedBy)</f>
        <v/>
      </c>
      <c r="H4" s="2623" t="str">
        <f>IF(DatePrepared="","",DatePrepared)</f>
        <v/>
      </c>
      <c r="I4" s="3400"/>
    </row>
    <row r="5" spans="1:9" s="3390" customFormat="1" ht="17.25" customHeight="1">
      <c r="A5" s="3401"/>
      <c r="F5" s="3395" t="s">
        <v>333</v>
      </c>
      <c r="G5" s="2625"/>
      <c r="H5" s="2626"/>
      <c r="I5" s="3400"/>
    </row>
    <row r="6" spans="1:9" s="3390" customFormat="1" ht="3.95" customHeight="1">
      <c r="A6" s="3401"/>
      <c r="B6" s="3403"/>
      <c r="C6" s="3403"/>
      <c r="D6" s="3403"/>
      <c r="E6" s="3403"/>
      <c r="F6" s="3403"/>
      <c r="G6" s="3403"/>
      <c r="H6" s="3403"/>
      <c r="I6" s="3400"/>
    </row>
    <row r="7" spans="1:9" s="3390" customFormat="1" ht="15.75">
      <c r="A7" s="3855" t="s">
        <v>2546</v>
      </c>
      <c r="B7" s="3856"/>
      <c r="C7" s="3856"/>
      <c r="D7" s="3856"/>
      <c r="E7" s="3856"/>
      <c r="F7" s="3856"/>
      <c r="G7" s="3856"/>
      <c r="H7" s="3857"/>
      <c r="I7" s="3391"/>
    </row>
    <row r="8" spans="1:9" s="3390" customFormat="1" ht="12.75">
      <c r="B8" s="3392"/>
      <c r="C8" s="3392"/>
      <c r="D8" s="3392"/>
      <c r="E8" s="3392"/>
      <c r="F8" s="3393"/>
      <c r="G8" s="3392"/>
      <c r="H8" s="3420" t="s">
        <v>2526</v>
      </c>
      <c r="I8" s="3391"/>
    </row>
    <row r="9" spans="1:9" s="3390" customFormat="1" ht="15.75">
      <c r="A9" s="3398" t="str">
        <f>"CLIENT NAME:   "&amp;IF(ClientName="[ENTER CLIENT NAME]","",ClientName)</f>
        <v>CLIENT NAME:   Example Trust</v>
      </c>
      <c r="B9" s="3392"/>
      <c r="C9" s="3392"/>
      <c r="D9" s="3392"/>
      <c r="E9" s="3392"/>
      <c r="F9" s="3393"/>
      <c r="G9" s="3392"/>
      <c r="H9" s="3392"/>
      <c r="I9" s="3391"/>
    </row>
    <row r="10" spans="1:9" s="3390" customFormat="1" ht="12.75">
      <c r="A10" s="3397" t="str">
        <f>"CLIENT CODE:   "&amp;'WP Index'!E4</f>
        <v>CLIENT CODE:   99999</v>
      </c>
      <c r="B10" s="3392"/>
      <c r="C10" s="3392"/>
      <c r="D10" s="3392"/>
      <c r="E10" s="3392"/>
      <c r="F10" s="3393"/>
      <c r="G10" s="3395" t="s">
        <v>951</v>
      </c>
      <c r="H10" s="3394">
        <f>'Input Info'!F8</f>
        <v>45473</v>
      </c>
      <c r="I10" s="3391"/>
    </row>
    <row r="11" spans="1:9" s="3390" customFormat="1" ht="12.75">
      <c r="A11" s="3396"/>
      <c r="B11" s="3392"/>
      <c r="C11" s="3392"/>
      <c r="D11" s="3392"/>
      <c r="E11" s="3392"/>
      <c r="F11" s="3393"/>
      <c r="G11" s="3395"/>
      <c r="H11" s="3394"/>
      <c r="I11" s="3391"/>
    </row>
    <row r="12" spans="1:9" s="3390" customFormat="1" ht="15.75">
      <c r="A12" s="3852" t="s">
        <v>2148</v>
      </c>
      <c r="B12" s="3853"/>
      <c r="C12" s="3853"/>
      <c r="D12" s="3853"/>
      <c r="E12" s="3853"/>
      <c r="F12" s="3853"/>
      <c r="G12" s="3853"/>
      <c r="H12" s="3854"/>
      <c r="I12" s="3391"/>
    </row>
    <row r="13" spans="1:9" s="3390" customFormat="1" ht="12.75">
      <c r="B13" s="3392"/>
      <c r="C13" s="3392"/>
      <c r="D13" s="3392"/>
      <c r="E13" s="3392"/>
      <c r="F13" s="3393"/>
      <c r="G13" s="3392"/>
      <c r="H13" s="3377"/>
      <c r="I13" s="3391"/>
    </row>
    <row r="14" spans="1:9" s="3377" customFormat="1" ht="12.75">
      <c r="A14" s="3389" t="s">
        <v>2583</v>
      </c>
    </row>
    <row r="15" spans="1:9" s="3377" customFormat="1" ht="12.75">
      <c r="A15" s="3389" t="s">
        <v>2568</v>
      </c>
    </row>
    <row r="16" spans="1:9" s="3377" customFormat="1" ht="12.75">
      <c r="A16" s="3389" t="s">
        <v>2567</v>
      </c>
    </row>
    <row r="17" spans="1:9" s="3377" customFormat="1" ht="12.75">
      <c r="A17" s="3389" t="s">
        <v>2566</v>
      </c>
    </row>
    <row r="18" spans="1:9" s="3377" customFormat="1" ht="12.75"/>
    <row r="19" spans="1:9" s="3377" customFormat="1" ht="12.75"/>
    <row r="20" spans="1:9" s="3390" customFormat="1" ht="15.75">
      <c r="A20" s="3852" t="s">
        <v>2565</v>
      </c>
      <c r="B20" s="3853"/>
      <c r="C20" s="3853"/>
      <c r="D20" s="3853"/>
      <c r="E20" s="3853"/>
      <c r="F20" s="3853"/>
      <c r="G20" s="3853"/>
      <c r="H20" s="3854"/>
      <c r="I20" s="3391"/>
    </row>
    <row r="21" spans="1:9" s="3377" customFormat="1" ht="12.75">
      <c r="A21" s="3388"/>
    </row>
    <row r="22" spans="1:9" s="3377" customFormat="1" ht="25.5" customHeight="1">
      <c r="A22" s="3858" t="s">
        <v>2564</v>
      </c>
      <c r="B22" s="3858"/>
      <c r="C22" s="3858"/>
      <c r="D22" s="3858"/>
      <c r="E22" s="3858"/>
      <c r="F22" s="3858"/>
      <c r="G22" s="3858"/>
      <c r="H22" s="3858"/>
    </row>
    <row r="23" spans="1:9" s="3377" customFormat="1" ht="12.75">
      <c r="A23" s="3389" t="s">
        <v>2563</v>
      </c>
    </row>
    <row r="24" spans="1:9" s="3377" customFormat="1" ht="25.5" customHeight="1">
      <c r="A24" s="3858" t="s">
        <v>2562</v>
      </c>
      <c r="B24" s="3858"/>
      <c r="C24" s="3858"/>
      <c r="D24" s="3858"/>
      <c r="E24" s="3858"/>
      <c r="F24" s="3858"/>
      <c r="G24" s="3858"/>
      <c r="H24" s="3858"/>
    </row>
    <row r="25" spans="1:9" s="3377" customFormat="1" ht="12.75">
      <c r="A25" s="3389" t="s">
        <v>2561</v>
      </c>
    </row>
    <row r="26" spans="1:9" s="3377" customFormat="1" ht="12.75"/>
    <row r="27" spans="1:9" s="3377" customFormat="1" ht="12.75"/>
    <row r="28" spans="1:9" s="3390" customFormat="1" ht="15.75">
      <c r="A28" s="3852" t="s">
        <v>2560</v>
      </c>
      <c r="B28" s="3853"/>
      <c r="C28" s="3853"/>
      <c r="D28" s="3853"/>
      <c r="E28" s="3853"/>
      <c r="F28" s="3853"/>
      <c r="G28" s="3853"/>
      <c r="H28" s="3854"/>
      <c r="I28" s="3391"/>
    </row>
    <row r="29" spans="1:9" s="3377" customFormat="1" ht="12.75">
      <c r="A29" s="3388"/>
    </row>
    <row r="30" spans="1:9" s="3377" customFormat="1" ht="12.75">
      <c r="A30" s="3389" t="s">
        <v>2559</v>
      </c>
    </row>
    <row r="31" spans="1:9" s="3377" customFormat="1" ht="12.75">
      <c r="A31" s="3389" t="s">
        <v>2558</v>
      </c>
    </row>
    <row r="32" spans="1:9" s="3377" customFormat="1" ht="12.75">
      <c r="A32" s="3389" t="s">
        <v>2557</v>
      </c>
    </row>
    <row r="33" spans="1:6" s="3377" customFormat="1" ht="12.75">
      <c r="A33" s="3389" t="s">
        <v>2556</v>
      </c>
    </row>
    <row r="34" spans="1:6" s="3377" customFormat="1" ht="12.75">
      <c r="A34" s="3389" t="s">
        <v>2555</v>
      </c>
    </row>
    <row r="35" spans="1:6" s="3377" customFormat="1" ht="12.75"/>
    <row r="36" spans="1:6" s="3377" customFormat="1" ht="12.75">
      <c r="A36" s="2282" t="s">
        <v>2554</v>
      </c>
    </row>
    <row r="37" spans="1:6" s="3377" customFormat="1" ht="12.75">
      <c r="A37" s="3388"/>
    </row>
    <row r="38" spans="1:6" s="3377" customFormat="1" ht="51">
      <c r="A38" s="3387" t="s">
        <v>2553</v>
      </c>
      <c r="B38" s="3386" t="s">
        <v>2552</v>
      </c>
      <c r="C38" s="3386" t="s">
        <v>2550</v>
      </c>
      <c r="D38" s="3386" t="s">
        <v>2551</v>
      </c>
      <c r="E38" s="3386" t="s">
        <v>2550</v>
      </c>
      <c r="F38" s="3386" t="s">
        <v>1129</v>
      </c>
    </row>
    <row r="39" spans="1:6" s="3377" customFormat="1" ht="12.75">
      <c r="A39" s="3385"/>
      <c r="B39" s="3384"/>
      <c r="C39" s="3383">
        <v>1</v>
      </c>
      <c r="D39" s="3384"/>
      <c r="E39" s="3383">
        <v>1</v>
      </c>
      <c r="F39" s="3382">
        <f t="shared" ref="F39:F68" si="0">B39*C39+D39*E39</f>
        <v>0</v>
      </c>
    </row>
    <row r="40" spans="1:6" s="3377" customFormat="1" ht="12.75">
      <c r="A40" s="3385"/>
      <c r="B40" s="3384"/>
      <c r="C40" s="3383">
        <v>1</v>
      </c>
      <c r="D40" s="3384"/>
      <c r="E40" s="3383">
        <v>1</v>
      </c>
      <c r="F40" s="3382">
        <f t="shared" si="0"/>
        <v>0</v>
      </c>
    </row>
    <row r="41" spans="1:6" s="3377" customFormat="1" ht="12.75">
      <c r="A41" s="3385"/>
      <c r="B41" s="3384"/>
      <c r="C41" s="3383">
        <v>1</v>
      </c>
      <c r="D41" s="3384"/>
      <c r="E41" s="3383">
        <v>1</v>
      </c>
      <c r="F41" s="3382">
        <f t="shared" si="0"/>
        <v>0</v>
      </c>
    </row>
    <row r="42" spans="1:6" s="3377" customFormat="1" ht="12.75">
      <c r="A42" s="3385"/>
      <c r="B42" s="3384"/>
      <c r="C42" s="3383">
        <v>1</v>
      </c>
      <c r="D42" s="3384"/>
      <c r="E42" s="3383">
        <v>1</v>
      </c>
      <c r="F42" s="3382">
        <f t="shared" si="0"/>
        <v>0</v>
      </c>
    </row>
    <row r="43" spans="1:6" s="3377" customFormat="1" ht="12.75">
      <c r="A43" s="3385"/>
      <c r="B43" s="3384"/>
      <c r="C43" s="3383">
        <v>1</v>
      </c>
      <c r="D43" s="3384"/>
      <c r="E43" s="3383">
        <v>1</v>
      </c>
      <c r="F43" s="3382">
        <f t="shared" si="0"/>
        <v>0</v>
      </c>
    </row>
    <row r="44" spans="1:6" s="3377" customFormat="1" ht="12.75">
      <c r="A44" s="3385"/>
      <c r="B44" s="3384"/>
      <c r="C44" s="3383">
        <v>1</v>
      </c>
      <c r="D44" s="3384"/>
      <c r="E44" s="3383">
        <v>1</v>
      </c>
      <c r="F44" s="3382">
        <f t="shared" si="0"/>
        <v>0</v>
      </c>
    </row>
    <row r="45" spans="1:6" s="3377" customFormat="1" ht="12.75">
      <c r="A45" s="3385"/>
      <c r="B45" s="3384"/>
      <c r="C45" s="3383">
        <v>1</v>
      </c>
      <c r="D45" s="3384"/>
      <c r="E45" s="3383">
        <v>1</v>
      </c>
      <c r="F45" s="3382">
        <f t="shared" si="0"/>
        <v>0</v>
      </c>
    </row>
    <row r="46" spans="1:6" s="3377" customFormat="1" ht="12.75">
      <c r="A46" s="3385"/>
      <c r="B46" s="3384"/>
      <c r="C46" s="3383">
        <v>1</v>
      </c>
      <c r="D46" s="3384"/>
      <c r="E46" s="3383">
        <v>1</v>
      </c>
      <c r="F46" s="3382">
        <f t="shared" si="0"/>
        <v>0</v>
      </c>
    </row>
    <row r="47" spans="1:6" s="3377" customFormat="1" ht="12.75">
      <c r="A47" s="3385"/>
      <c r="B47" s="3384"/>
      <c r="C47" s="3383">
        <v>1</v>
      </c>
      <c r="D47" s="3384"/>
      <c r="E47" s="3383">
        <v>1</v>
      </c>
      <c r="F47" s="3382">
        <f t="shared" si="0"/>
        <v>0</v>
      </c>
    </row>
    <row r="48" spans="1:6" s="3377" customFormat="1" ht="12.75">
      <c r="A48" s="3385"/>
      <c r="B48" s="3384"/>
      <c r="C48" s="3383">
        <v>1</v>
      </c>
      <c r="D48" s="3384"/>
      <c r="E48" s="3383">
        <v>1</v>
      </c>
      <c r="F48" s="3382">
        <f t="shared" si="0"/>
        <v>0</v>
      </c>
    </row>
    <row r="49" spans="1:6" s="3377" customFormat="1" ht="12.75">
      <c r="A49" s="3385"/>
      <c r="B49" s="3384"/>
      <c r="C49" s="3383">
        <v>1</v>
      </c>
      <c r="D49" s="3384"/>
      <c r="E49" s="3383">
        <v>1</v>
      </c>
      <c r="F49" s="3382">
        <f t="shared" si="0"/>
        <v>0</v>
      </c>
    </row>
    <row r="50" spans="1:6" s="3377" customFormat="1" ht="12.75">
      <c r="A50" s="3385"/>
      <c r="B50" s="3384"/>
      <c r="C50" s="3383">
        <v>1</v>
      </c>
      <c r="D50" s="3384"/>
      <c r="E50" s="3383">
        <v>1</v>
      </c>
      <c r="F50" s="3382">
        <f t="shared" si="0"/>
        <v>0</v>
      </c>
    </row>
    <row r="51" spans="1:6" s="3377" customFormat="1" ht="12.75">
      <c r="A51" s="3385"/>
      <c r="B51" s="3384"/>
      <c r="C51" s="3383">
        <v>1</v>
      </c>
      <c r="D51" s="3384"/>
      <c r="E51" s="3383">
        <v>1</v>
      </c>
      <c r="F51" s="3382">
        <f t="shared" si="0"/>
        <v>0</v>
      </c>
    </row>
    <row r="52" spans="1:6" s="3377" customFormat="1" ht="12.75">
      <c r="A52" s="3385"/>
      <c r="B52" s="3384"/>
      <c r="C52" s="3383">
        <v>1</v>
      </c>
      <c r="D52" s="3384"/>
      <c r="E52" s="3383">
        <v>1</v>
      </c>
      <c r="F52" s="3382">
        <f t="shared" si="0"/>
        <v>0</v>
      </c>
    </row>
    <row r="53" spans="1:6" s="3377" customFormat="1" ht="12.75">
      <c r="A53" s="3385"/>
      <c r="B53" s="3384"/>
      <c r="C53" s="3383">
        <v>1</v>
      </c>
      <c r="D53" s="3384"/>
      <c r="E53" s="3383">
        <v>1</v>
      </c>
      <c r="F53" s="3382">
        <f t="shared" si="0"/>
        <v>0</v>
      </c>
    </row>
    <row r="54" spans="1:6" s="3377" customFormat="1" ht="12.75">
      <c r="A54" s="3385"/>
      <c r="B54" s="3384"/>
      <c r="C54" s="3383">
        <v>1</v>
      </c>
      <c r="D54" s="3384"/>
      <c r="E54" s="3383">
        <v>1</v>
      </c>
      <c r="F54" s="3382">
        <f t="shared" si="0"/>
        <v>0</v>
      </c>
    </row>
    <row r="55" spans="1:6" s="3377" customFormat="1" ht="12.75">
      <c r="A55" s="3385"/>
      <c r="B55" s="3384"/>
      <c r="C55" s="3383">
        <v>1</v>
      </c>
      <c r="D55" s="3384"/>
      <c r="E55" s="3383">
        <v>1</v>
      </c>
      <c r="F55" s="3382">
        <f t="shared" si="0"/>
        <v>0</v>
      </c>
    </row>
    <row r="56" spans="1:6" s="3377" customFormat="1" ht="12.75">
      <c r="A56" s="3385"/>
      <c r="B56" s="3384"/>
      <c r="C56" s="3383">
        <v>1</v>
      </c>
      <c r="D56" s="3384"/>
      <c r="E56" s="3383">
        <v>1</v>
      </c>
      <c r="F56" s="3382">
        <f t="shared" si="0"/>
        <v>0</v>
      </c>
    </row>
    <row r="57" spans="1:6" s="3377" customFormat="1" ht="12.75">
      <c r="A57" s="3385"/>
      <c r="B57" s="3384"/>
      <c r="C57" s="3383">
        <v>1</v>
      </c>
      <c r="D57" s="3384"/>
      <c r="E57" s="3383">
        <v>1</v>
      </c>
      <c r="F57" s="3382">
        <f t="shared" si="0"/>
        <v>0</v>
      </c>
    </row>
    <row r="58" spans="1:6" s="3377" customFormat="1" ht="12.75">
      <c r="A58" s="3385"/>
      <c r="B58" s="3384"/>
      <c r="C58" s="3383">
        <v>1</v>
      </c>
      <c r="D58" s="3384"/>
      <c r="E58" s="3383">
        <v>1</v>
      </c>
      <c r="F58" s="3382">
        <f t="shared" si="0"/>
        <v>0</v>
      </c>
    </row>
    <row r="59" spans="1:6" s="3377" customFormat="1" ht="12.75">
      <c r="A59" s="3385"/>
      <c r="B59" s="3384"/>
      <c r="C59" s="3383">
        <v>1</v>
      </c>
      <c r="D59" s="3384"/>
      <c r="E59" s="3383">
        <v>1</v>
      </c>
      <c r="F59" s="3382">
        <f t="shared" si="0"/>
        <v>0</v>
      </c>
    </row>
    <row r="60" spans="1:6" s="3377" customFormat="1" ht="12.75">
      <c r="A60" s="3385"/>
      <c r="B60" s="3384"/>
      <c r="C60" s="3383">
        <v>1</v>
      </c>
      <c r="D60" s="3384"/>
      <c r="E60" s="3383">
        <v>1</v>
      </c>
      <c r="F60" s="3382">
        <f t="shared" si="0"/>
        <v>0</v>
      </c>
    </row>
    <row r="61" spans="1:6" s="3377" customFormat="1" ht="12.75">
      <c r="A61" s="3385"/>
      <c r="B61" s="3384"/>
      <c r="C61" s="3383">
        <v>1</v>
      </c>
      <c r="D61" s="3384"/>
      <c r="E61" s="3383">
        <v>1</v>
      </c>
      <c r="F61" s="3382">
        <f t="shared" si="0"/>
        <v>0</v>
      </c>
    </row>
    <row r="62" spans="1:6" s="3377" customFormat="1" ht="12.75">
      <c r="A62" s="3385"/>
      <c r="B62" s="3384"/>
      <c r="C62" s="3383">
        <v>1</v>
      </c>
      <c r="D62" s="3384"/>
      <c r="E62" s="3383">
        <v>1</v>
      </c>
      <c r="F62" s="3382">
        <f t="shared" si="0"/>
        <v>0</v>
      </c>
    </row>
    <row r="63" spans="1:6" s="3377" customFormat="1" ht="12.75">
      <c r="A63" s="3385"/>
      <c r="B63" s="3384"/>
      <c r="C63" s="3383">
        <v>1</v>
      </c>
      <c r="D63" s="3384"/>
      <c r="E63" s="3383">
        <v>1</v>
      </c>
      <c r="F63" s="3382">
        <f t="shared" si="0"/>
        <v>0</v>
      </c>
    </row>
    <row r="64" spans="1:6" s="3377" customFormat="1" ht="12.75">
      <c r="A64" s="3385"/>
      <c r="B64" s="3384"/>
      <c r="C64" s="3383">
        <v>1</v>
      </c>
      <c r="D64" s="3384"/>
      <c r="E64" s="3383">
        <v>1</v>
      </c>
      <c r="F64" s="3382">
        <f t="shared" si="0"/>
        <v>0</v>
      </c>
    </row>
    <row r="65" spans="1:6" s="3377" customFormat="1" ht="12.75">
      <c r="A65" s="3385"/>
      <c r="B65" s="3384"/>
      <c r="C65" s="3383">
        <v>1</v>
      </c>
      <c r="D65" s="3384"/>
      <c r="E65" s="3383">
        <v>1</v>
      </c>
      <c r="F65" s="3382">
        <f t="shared" si="0"/>
        <v>0</v>
      </c>
    </row>
    <row r="66" spans="1:6" s="3377" customFormat="1" ht="12.75">
      <c r="A66" s="3385"/>
      <c r="B66" s="3384"/>
      <c r="C66" s="3383">
        <v>1</v>
      </c>
      <c r="D66" s="3384"/>
      <c r="E66" s="3383">
        <v>1</v>
      </c>
      <c r="F66" s="3382">
        <f t="shared" si="0"/>
        <v>0</v>
      </c>
    </row>
    <row r="67" spans="1:6" s="3377" customFormat="1" ht="12.75">
      <c r="A67" s="3385"/>
      <c r="B67" s="3384"/>
      <c r="C67" s="3383">
        <v>1</v>
      </c>
      <c r="D67" s="3384"/>
      <c r="E67" s="3383">
        <v>1</v>
      </c>
      <c r="F67" s="3382">
        <f t="shared" si="0"/>
        <v>0</v>
      </c>
    </row>
    <row r="68" spans="1:6" s="3377" customFormat="1" ht="12.75">
      <c r="A68" s="3385"/>
      <c r="B68" s="3384"/>
      <c r="C68" s="3383">
        <v>1</v>
      </c>
      <c r="D68" s="3384"/>
      <c r="E68" s="3383">
        <v>1</v>
      </c>
      <c r="F68" s="3382">
        <f t="shared" si="0"/>
        <v>0</v>
      </c>
    </row>
    <row r="69" spans="1:6" s="3377" customFormat="1" ht="12.75"/>
    <row r="70" spans="1:6" s="3377" customFormat="1" ht="12.75">
      <c r="A70" s="3381"/>
      <c r="B70" s="3380">
        <v>2022</v>
      </c>
      <c r="C70" s="3380">
        <v>2023</v>
      </c>
      <c r="D70" s="3380" t="s">
        <v>1129</v>
      </c>
    </row>
    <row r="71" spans="1:6" s="3377" customFormat="1" ht="12.75">
      <c r="A71" s="3379" t="s">
        <v>2549</v>
      </c>
      <c r="B71" s="3378">
        <f>MIN(SUMPRODUCT(B39:B68,C39:C68),100000)</f>
        <v>0</v>
      </c>
      <c r="C71" s="3378">
        <f>MIN(SUMPRODUCT(D39:D68,E39:E68),100000)</f>
        <v>0</v>
      </c>
      <c r="D71" s="3378">
        <f>B71+C71</f>
        <v>0</v>
      </c>
    </row>
    <row r="72" spans="1:6" s="3377" customFormat="1" ht="12.75">
      <c r="A72" s="3379" t="s">
        <v>2548</v>
      </c>
      <c r="B72" s="3378">
        <f>B71*20%</f>
        <v>0</v>
      </c>
      <c r="C72" s="3378">
        <f>C71*20%</f>
        <v>0</v>
      </c>
      <c r="D72" s="3378">
        <f>B72+C72</f>
        <v>0</v>
      </c>
    </row>
    <row r="73" spans="1:6" s="3377" customFormat="1" ht="12.75"/>
    <row r="74" spans="1:6" s="3377" customFormat="1" ht="12.75"/>
  </sheetData>
  <mergeCells count="6">
    <mergeCell ref="A12:H12"/>
    <mergeCell ref="A7:H7"/>
    <mergeCell ref="A20:H20"/>
    <mergeCell ref="A28:H28"/>
    <mergeCell ref="A22:H22"/>
    <mergeCell ref="A24:H24"/>
  </mergeCells>
  <hyperlinks>
    <hyperlink ref="A36" r:id="rId1" display="ATO Link" xr:uid="{3B632E62-0C24-4CFC-AD00-22792573546B}"/>
    <hyperlink ref="A9" location="ClientName" display="ClientName" xr:uid="{4FCABBEE-1EEA-4B33-AE82-B3227F127767}"/>
    <hyperlink ref="H8" location="'WPIndex'!A1" display="Back to Workpaper Index" xr:uid="{26FF408F-C55F-4576-9A5E-245F186B55C5}"/>
  </hyperlinks>
  <pageMargins left="0.70866141732283472" right="0.70866141732283472" top="0.74803149606299213" bottom="0.74803149606299213" header="0.31496062992125984" footer="0.31496062992125984"/>
  <pageSetup paperSize="9" scale="65" orientation="portrait" r:id="rId2"/>
  <headerFooter>
    <oddFooter>&amp;L© Findex (Aust) Pty Ltd.  All rights reserved.</oddFooter>
  </headerFooter>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26B6D-D564-4912-BA16-276A4A350AE1}">
  <sheetPr codeName="Sheet11">
    <tabColor theme="8" tint="0.79998168889431442"/>
    <pageSetUpPr fitToPage="1"/>
  </sheetPr>
  <dimension ref="A1:I74"/>
  <sheetViews>
    <sheetView topLeftCell="A5" zoomScaleNormal="100" workbookViewId="0">
      <selection sqref="A1:F1"/>
    </sheetView>
  </sheetViews>
  <sheetFormatPr defaultColWidth="9" defaultRowHeight="14.25"/>
  <cols>
    <col min="1" max="1" width="39.140625" style="3415" customWidth="1"/>
    <col min="2" max="6" width="14.7109375" style="3415" customWidth="1"/>
    <col min="7" max="8" width="13.140625" style="3415" customWidth="1"/>
    <col min="9" max="16384" width="9" style="3415"/>
  </cols>
  <sheetData>
    <row r="1" spans="1:9">
      <c r="G1" s="3404" t="s">
        <v>2425</v>
      </c>
      <c r="H1" s="3576" t="s">
        <v>2758</v>
      </c>
    </row>
    <row r="2" spans="1:9" s="3390" customFormat="1" ht="18.75" customHeight="1">
      <c r="A2" s="3401"/>
      <c r="B2" s="3403"/>
      <c r="C2" s="3403"/>
      <c r="D2" s="3403"/>
      <c r="E2" s="3403"/>
      <c r="F2" s="3403"/>
      <c r="G2" s="3403"/>
      <c r="I2" s="3391"/>
    </row>
    <row r="3" spans="1:9" s="3390" customFormat="1" ht="12.75">
      <c r="A3" s="3401"/>
      <c r="F3" s="3396"/>
      <c r="G3" s="3402" t="s">
        <v>1163</v>
      </c>
      <c r="H3" s="3402" t="s">
        <v>1262</v>
      </c>
      <c r="I3" s="3400"/>
    </row>
    <row r="4" spans="1:9" s="3390" customFormat="1" ht="17.25" customHeight="1">
      <c r="A4" s="3401"/>
      <c r="F4" s="3395" t="s">
        <v>332</v>
      </c>
      <c r="G4" s="2624" t="str">
        <f>IF(PreparedBy="","",PreparedBy)</f>
        <v/>
      </c>
      <c r="H4" s="2623" t="str">
        <f>IF(DatePrepared="","",DatePrepared)</f>
        <v/>
      </c>
      <c r="I4" s="3400"/>
    </row>
    <row r="5" spans="1:9" s="3390" customFormat="1" ht="17.25" customHeight="1">
      <c r="A5" s="3401"/>
      <c r="F5" s="3395" t="s">
        <v>333</v>
      </c>
      <c r="G5" s="2625"/>
      <c r="H5" s="2626"/>
      <c r="I5" s="3400"/>
    </row>
    <row r="6" spans="1:9" s="3390" customFormat="1" ht="4.5" customHeight="1">
      <c r="A6" s="3401"/>
      <c r="B6" s="3403"/>
      <c r="C6" s="3403"/>
      <c r="D6" s="3403"/>
      <c r="E6" s="3403"/>
      <c r="F6" s="3403"/>
      <c r="G6" s="3403"/>
      <c r="H6" s="3403"/>
      <c r="I6" s="3400"/>
    </row>
    <row r="7" spans="1:9" s="3390" customFormat="1" ht="15.75">
      <c r="A7" s="3855" t="s">
        <v>2547</v>
      </c>
      <c r="B7" s="3856"/>
      <c r="C7" s="3856"/>
      <c r="D7" s="3856"/>
      <c r="E7" s="3856"/>
      <c r="F7" s="3856"/>
      <c r="G7" s="3856"/>
      <c r="H7" s="3857"/>
      <c r="I7" s="3391"/>
    </row>
    <row r="8" spans="1:9" s="3390" customFormat="1" ht="12.75">
      <c r="B8" s="3392"/>
      <c r="C8" s="3392"/>
      <c r="D8" s="3392"/>
      <c r="E8" s="3392"/>
      <c r="F8" s="3393"/>
      <c r="G8" s="3392"/>
      <c r="H8" s="3399" t="s">
        <v>2526</v>
      </c>
      <c r="I8" s="3391"/>
    </row>
    <row r="9" spans="1:9" s="3390" customFormat="1" ht="15.75">
      <c r="A9" s="3398" t="str">
        <f>"CLIENT NAME:   "&amp;IF(ClientName="[ENTER CLIENT NAME]","",ClientName)</f>
        <v>CLIENT NAME:   Example Trust</v>
      </c>
      <c r="B9" s="3392"/>
      <c r="C9" s="3392"/>
      <c r="D9" s="3392"/>
      <c r="E9" s="3392"/>
      <c r="F9" s="3393"/>
      <c r="G9" s="3392"/>
      <c r="H9" s="3392"/>
      <c r="I9" s="3391"/>
    </row>
    <row r="10" spans="1:9" s="3390" customFormat="1" ht="12.75">
      <c r="A10" s="3397" t="str">
        <f>"CLIENT CODE:   "&amp;'WP Index'!E4</f>
        <v>CLIENT CODE:   99999</v>
      </c>
      <c r="B10" s="3392"/>
      <c r="C10" s="3392"/>
      <c r="D10" s="3392"/>
      <c r="E10" s="3392"/>
      <c r="F10" s="3393"/>
      <c r="G10" s="3395" t="s">
        <v>951</v>
      </c>
      <c r="H10" s="3394">
        <f>'Input Info'!F8</f>
        <v>45473</v>
      </c>
      <c r="I10" s="3391"/>
    </row>
    <row r="11" spans="1:9" s="3390" customFormat="1" ht="12.75">
      <c r="A11" s="3396"/>
      <c r="B11" s="3392"/>
      <c r="C11" s="3392"/>
      <c r="D11" s="3392"/>
      <c r="E11" s="3392"/>
      <c r="F11" s="3393"/>
      <c r="G11" s="3395"/>
      <c r="H11" s="3394"/>
      <c r="I11" s="3391"/>
    </row>
    <row r="12" spans="1:9" ht="15.75">
      <c r="A12" s="3852" t="s">
        <v>2148</v>
      </c>
      <c r="B12" s="3853"/>
      <c r="C12" s="3853"/>
      <c r="D12" s="3853"/>
      <c r="E12" s="3853"/>
      <c r="F12" s="3853"/>
      <c r="G12" s="3853"/>
      <c r="H12" s="3854"/>
    </row>
    <row r="13" spans="1:9" ht="15.75">
      <c r="A13" s="3411"/>
      <c r="B13" s="3411"/>
      <c r="C13" s="3411"/>
      <c r="D13" s="3411"/>
      <c r="E13" s="3411"/>
      <c r="F13" s="3411"/>
      <c r="G13" s="3411"/>
      <c r="H13" s="3411"/>
    </row>
    <row r="14" spans="1:9" s="3409" customFormat="1" ht="12.75">
      <c r="A14" s="3410" t="s">
        <v>2583</v>
      </c>
    </row>
    <row r="15" spans="1:9" s="3409" customFormat="1" ht="12.75">
      <c r="A15" s="3410" t="s">
        <v>2580</v>
      </c>
    </row>
    <row r="16" spans="1:9" s="3409" customFormat="1" ht="12.75">
      <c r="A16" s="3414" t="s">
        <v>2579</v>
      </c>
    </row>
    <row r="17" spans="1:8" s="3409" customFormat="1" ht="12.75">
      <c r="A17" s="3414" t="s">
        <v>2581</v>
      </c>
    </row>
    <row r="18" spans="1:8" s="3409" customFormat="1" ht="12.75">
      <c r="A18" s="3414" t="s">
        <v>2578</v>
      </c>
    </row>
    <row r="19" spans="1:8" s="3409" customFormat="1" ht="12.75">
      <c r="A19" s="3414" t="s">
        <v>2577</v>
      </c>
    </row>
    <row r="20" spans="1:8" s="3409" customFormat="1" ht="25.5" customHeight="1">
      <c r="A20" s="3859" t="s">
        <v>2576</v>
      </c>
      <c r="B20" s="3859"/>
      <c r="C20" s="3859"/>
      <c r="D20" s="3859"/>
      <c r="E20" s="3859"/>
      <c r="F20" s="3859"/>
      <c r="G20" s="3859"/>
      <c r="H20" s="3859"/>
    </row>
    <row r="21" spans="1:8" s="3409" customFormat="1" ht="12.75"/>
    <row r="22" spans="1:8" s="3409" customFormat="1" ht="12.75"/>
    <row r="23" spans="1:8" ht="15.75">
      <c r="A23" s="3852" t="s">
        <v>2575</v>
      </c>
      <c r="B23" s="3853"/>
      <c r="C23" s="3853"/>
      <c r="D23" s="3853"/>
      <c r="E23" s="3853"/>
      <c r="F23" s="3853"/>
      <c r="G23" s="3853"/>
      <c r="H23" s="3854"/>
    </row>
    <row r="24" spans="1:8" s="3409" customFormat="1" ht="12.75">
      <c r="A24" s="3413"/>
    </row>
    <row r="25" spans="1:8" s="3409" customFormat="1" ht="12.75">
      <c r="A25" s="3412" t="s">
        <v>2574</v>
      </c>
    </row>
    <row r="26" spans="1:8" s="3409" customFormat="1" ht="12.75">
      <c r="A26" s="2282" t="s">
        <v>2573</v>
      </c>
    </row>
    <row r="27" spans="1:8" s="3409" customFormat="1" ht="12.75"/>
    <row r="28" spans="1:8" s="3409" customFormat="1" ht="12.75"/>
    <row r="29" spans="1:8" ht="14.65" customHeight="1">
      <c r="A29" s="3852" t="s">
        <v>2565</v>
      </c>
      <c r="B29" s="3853"/>
      <c r="C29" s="3853"/>
      <c r="D29" s="3853"/>
      <c r="E29" s="3853"/>
      <c r="F29" s="3853"/>
      <c r="G29" s="3853"/>
      <c r="H29" s="3854"/>
    </row>
    <row r="30" spans="1:8" ht="14.65" customHeight="1">
      <c r="A30" s="3411"/>
      <c r="B30" s="3411"/>
      <c r="C30" s="3411"/>
      <c r="D30" s="3411"/>
      <c r="E30" s="3411"/>
      <c r="F30" s="3411"/>
      <c r="G30" s="3411"/>
      <c r="H30" s="3411"/>
    </row>
    <row r="31" spans="1:8" s="3409" customFormat="1" ht="12.75">
      <c r="A31" s="3410" t="s">
        <v>2572</v>
      </c>
    </row>
    <row r="32" spans="1:8" s="3410" customFormat="1" ht="25.5" customHeight="1">
      <c r="A32" s="3859" t="s">
        <v>2571</v>
      </c>
      <c r="B32" s="3859"/>
      <c r="C32" s="3859"/>
      <c r="D32" s="3859"/>
      <c r="E32" s="3859"/>
      <c r="F32" s="3859"/>
      <c r="G32" s="3859"/>
      <c r="H32" s="3859"/>
    </row>
    <row r="33" spans="1:8" s="3409" customFormat="1" ht="12.75">
      <c r="A33" s="3410"/>
    </row>
    <row r="34" spans="1:8" s="3409" customFormat="1" ht="12.75">
      <c r="A34" s="3410"/>
    </row>
    <row r="35" spans="1:8" ht="14.65" customHeight="1">
      <c r="A35" s="3852" t="s">
        <v>2560</v>
      </c>
      <c r="B35" s="3853"/>
      <c r="C35" s="3853"/>
      <c r="D35" s="3853"/>
      <c r="E35" s="3853"/>
      <c r="F35" s="3853"/>
      <c r="G35" s="3853"/>
      <c r="H35" s="3854"/>
    </row>
    <row r="36" spans="1:8" ht="14.65" customHeight="1">
      <c r="A36" s="3411"/>
      <c r="B36" s="3411"/>
      <c r="C36" s="3411"/>
      <c r="D36" s="3411"/>
      <c r="E36" s="3411"/>
      <c r="F36" s="3411"/>
      <c r="G36" s="3411"/>
      <c r="H36" s="3411"/>
    </row>
    <row r="37" spans="1:8" s="3409" customFormat="1" ht="12.75">
      <c r="A37" s="3410" t="s">
        <v>2570</v>
      </c>
    </row>
    <row r="38" spans="1:8" s="3410" customFormat="1" ht="25.5" customHeight="1">
      <c r="A38" s="3859" t="s">
        <v>2582</v>
      </c>
      <c r="B38" s="3859"/>
      <c r="C38" s="3859"/>
      <c r="D38" s="3859"/>
      <c r="E38" s="3859"/>
      <c r="F38" s="3859"/>
      <c r="G38" s="3859"/>
      <c r="H38" s="3859"/>
    </row>
    <row r="39" spans="1:8" s="3409" customFormat="1" ht="12.75">
      <c r="A39" s="3410"/>
    </row>
    <row r="40" spans="1:8" s="3409" customFormat="1" ht="12.75">
      <c r="A40" s="2282" t="s">
        <v>2554</v>
      </c>
    </row>
    <row r="41" spans="1:8" ht="15">
      <c r="A41" s="3422"/>
    </row>
    <row r="42" spans="1:8" ht="51">
      <c r="A42" s="3416" t="s">
        <v>2553</v>
      </c>
      <c r="B42" s="3417" t="s">
        <v>2552</v>
      </c>
      <c r="C42" s="3417" t="s">
        <v>2551</v>
      </c>
      <c r="D42" s="3417" t="s">
        <v>1129</v>
      </c>
      <c r="E42" s="3409"/>
      <c r="F42" s="3417" t="s">
        <v>2569</v>
      </c>
    </row>
    <row r="43" spans="1:8">
      <c r="A43" s="3418"/>
      <c r="B43" s="3407"/>
      <c r="C43" s="3407"/>
      <c r="D43" s="3408">
        <f t="shared" ref="D43:D72" si="0">SUM(B43:C43)</f>
        <v>0</v>
      </c>
      <c r="E43" s="3406"/>
      <c r="F43" s="3407"/>
    </row>
    <row r="44" spans="1:8">
      <c r="A44" s="3418"/>
      <c r="B44" s="3407"/>
      <c r="C44" s="3407"/>
      <c r="D44" s="3408">
        <f t="shared" si="0"/>
        <v>0</v>
      </c>
      <c r="E44" s="3406"/>
      <c r="F44" s="3407"/>
    </row>
    <row r="45" spans="1:8">
      <c r="A45" s="3418"/>
      <c r="B45" s="3407"/>
      <c r="C45" s="3407"/>
      <c r="D45" s="3408">
        <f t="shared" si="0"/>
        <v>0</v>
      </c>
      <c r="E45" s="3406"/>
      <c r="F45" s="3407"/>
    </row>
    <row r="46" spans="1:8">
      <c r="A46" s="3418"/>
      <c r="B46" s="3407"/>
      <c r="C46" s="3407"/>
      <c r="D46" s="3408">
        <f t="shared" si="0"/>
        <v>0</v>
      </c>
      <c r="E46" s="3406"/>
      <c r="F46" s="3407"/>
    </row>
    <row r="47" spans="1:8">
      <c r="A47" s="3418"/>
      <c r="B47" s="3407"/>
      <c r="C47" s="3407"/>
      <c r="D47" s="3408">
        <f t="shared" si="0"/>
        <v>0</v>
      </c>
      <c r="E47" s="3406"/>
      <c r="F47" s="3407"/>
    </row>
    <row r="48" spans="1:8">
      <c r="A48" s="3418"/>
      <c r="B48" s="3407"/>
      <c r="C48" s="3407"/>
      <c r="D48" s="3408">
        <f t="shared" si="0"/>
        <v>0</v>
      </c>
      <c r="E48" s="3406"/>
      <c r="F48" s="3407"/>
    </row>
    <row r="49" spans="1:6">
      <c r="A49" s="3418"/>
      <c r="B49" s="3407"/>
      <c r="C49" s="3407"/>
      <c r="D49" s="3408">
        <f t="shared" si="0"/>
        <v>0</v>
      </c>
      <c r="E49" s="3406"/>
      <c r="F49" s="3407"/>
    </row>
    <row r="50" spans="1:6">
      <c r="A50" s="3418"/>
      <c r="B50" s="3407"/>
      <c r="C50" s="3407"/>
      <c r="D50" s="3408">
        <f t="shared" si="0"/>
        <v>0</v>
      </c>
      <c r="E50" s="3406"/>
      <c r="F50" s="3407"/>
    </row>
    <row r="51" spans="1:6">
      <c r="A51" s="3418"/>
      <c r="B51" s="3407"/>
      <c r="C51" s="3407"/>
      <c r="D51" s="3408">
        <f t="shared" si="0"/>
        <v>0</v>
      </c>
      <c r="E51" s="3406"/>
      <c r="F51" s="3407"/>
    </row>
    <row r="52" spans="1:6">
      <c r="A52" s="3418"/>
      <c r="B52" s="3407"/>
      <c r="C52" s="3407"/>
      <c r="D52" s="3408">
        <f t="shared" si="0"/>
        <v>0</v>
      </c>
      <c r="E52" s="3406"/>
      <c r="F52" s="3407"/>
    </row>
    <row r="53" spans="1:6">
      <c r="A53" s="3418"/>
      <c r="B53" s="3407"/>
      <c r="C53" s="3407"/>
      <c r="D53" s="3408">
        <f t="shared" si="0"/>
        <v>0</v>
      </c>
      <c r="E53" s="3406"/>
      <c r="F53" s="3407"/>
    </row>
    <row r="54" spans="1:6">
      <c r="A54" s="3418"/>
      <c r="B54" s="3407"/>
      <c r="C54" s="3407"/>
      <c r="D54" s="3408">
        <f t="shared" si="0"/>
        <v>0</v>
      </c>
      <c r="E54" s="3406"/>
      <c r="F54" s="3407"/>
    </row>
    <row r="55" spans="1:6">
      <c r="A55" s="3418"/>
      <c r="B55" s="3407"/>
      <c r="C55" s="3407"/>
      <c r="D55" s="3408">
        <f t="shared" si="0"/>
        <v>0</v>
      </c>
      <c r="E55" s="3406"/>
      <c r="F55" s="3407"/>
    </row>
    <row r="56" spans="1:6">
      <c r="A56" s="3418"/>
      <c r="B56" s="3407"/>
      <c r="C56" s="3407"/>
      <c r="D56" s="3408">
        <f t="shared" si="0"/>
        <v>0</v>
      </c>
      <c r="E56" s="3406"/>
      <c r="F56" s="3407"/>
    </row>
    <row r="57" spans="1:6">
      <c r="A57" s="3418"/>
      <c r="B57" s="3407"/>
      <c r="C57" s="3407"/>
      <c r="D57" s="3408">
        <f t="shared" si="0"/>
        <v>0</v>
      </c>
      <c r="E57" s="3406"/>
      <c r="F57" s="3407"/>
    </row>
    <row r="58" spans="1:6">
      <c r="A58" s="3418"/>
      <c r="B58" s="3407"/>
      <c r="C58" s="3407"/>
      <c r="D58" s="3408">
        <f t="shared" si="0"/>
        <v>0</v>
      </c>
      <c r="E58" s="3406"/>
      <c r="F58" s="3407"/>
    </row>
    <row r="59" spans="1:6">
      <c r="A59" s="3418"/>
      <c r="B59" s="3407"/>
      <c r="C59" s="3407"/>
      <c r="D59" s="3408">
        <f t="shared" si="0"/>
        <v>0</v>
      </c>
      <c r="E59" s="3406"/>
      <c r="F59" s="3407"/>
    </row>
    <row r="60" spans="1:6">
      <c r="A60" s="3418"/>
      <c r="B60" s="3407"/>
      <c r="C60" s="3407"/>
      <c r="D60" s="3408">
        <f t="shared" si="0"/>
        <v>0</v>
      </c>
      <c r="E60" s="3406"/>
      <c r="F60" s="3407"/>
    </row>
    <row r="61" spans="1:6">
      <c r="A61" s="3418"/>
      <c r="B61" s="3407"/>
      <c r="C61" s="3407"/>
      <c r="D61" s="3408">
        <f t="shared" si="0"/>
        <v>0</v>
      </c>
      <c r="E61" s="3406"/>
      <c r="F61" s="3407"/>
    </row>
    <row r="62" spans="1:6">
      <c r="A62" s="3418"/>
      <c r="B62" s="3407"/>
      <c r="C62" s="3407"/>
      <c r="D62" s="3408">
        <f t="shared" si="0"/>
        <v>0</v>
      </c>
      <c r="E62" s="3406"/>
      <c r="F62" s="3407"/>
    </row>
    <row r="63" spans="1:6">
      <c r="A63" s="3418"/>
      <c r="B63" s="3407"/>
      <c r="C63" s="3407"/>
      <c r="D63" s="3408">
        <f t="shared" si="0"/>
        <v>0</v>
      </c>
      <c r="E63" s="3406"/>
      <c r="F63" s="3407"/>
    </row>
    <row r="64" spans="1:6">
      <c r="A64" s="3418"/>
      <c r="B64" s="3407"/>
      <c r="C64" s="3407"/>
      <c r="D64" s="3408">
        <f t="shared" si="0"/>
        <v>0</v>
      </c>
      <c r="E64" s="3406"/>
      <c r="F64" s="3407"/>
    </row>
    <row r="65" spans="1:6">
      <c r="A65" s="3418"/>
      <c r="B65" s="3407"/>
      <c r="C65" s="3407"/>
      <c r="D65" s="3408">
        <f t="shared" si="0"/>
        <v>0</v>
      </c>
      <c r="E65" s="3406"/>
      <c r="F65" s="3407"/>
    </row>
    <row r="66" spans="1:6">
      <c r="A66" s="3418"/>
      <c r="B66" s="3407"/>
      <c r="C66" s="3407"/>
      <c r="D66" s="3408">
        <f t="shared" si="0"/>
        <v>0</v>
      </c>
      <c r="E66" s="3406"/>
      <c r="F66" s="3407"/>
    </row>
    <row r="67" spans="1:6">
      <c r="A67" s="3418"/>
      <c r="B67" s="3407"/>
      <c r="C67" s="3407"/>
      <c r="D67" s="3408">
        <f t="shared" si="0"/>
        <v>0</v>
      </c>
      <c r="E67" s="3406"/>
      <c r="F67" s="3407"/>
    </row>
    <row r="68" spans="1:6">
      <c r="A68" s="3418"/>
      <c r="B68" s="3407"/>
      <c r="C68" s="3407"/>
      <c r="D68" s="3408">
        <f t="shared" si="0"/>
        <v>0</v>
      </c>
      <c r="E68" s="3406"/>
      <c r="F68" s="3407"/>
    </row>
    <row r="69" spans="1:6">
      <c r="A69" s="3418"/>
      <c r="B69" s="3407"/>
      <c r="C69" s="3407"/>
      <c r="D69" s="3408">
        <f t="shared" si="0"/>
        <v>0</v>
      </c>
      <c r="E69" s="3406"/>
      <c r="F69" s="3407"/>
    </row>
    <row r="70" spans="1:6">
      <c r="A70" s="3418"/>
      <c r="B70" s="3407"/>
      <c r="C70" s="3407"/>
      <c r="D70" s="3408">
        <f t="shared" si="0"/>
        <v>0</v>
      </c>
      <c r="E70" s="3406"/>
      <c r="F70" s="3407"/>
    </row>
    <row r="71" spans="1:6">
      <c r="A71" s="3418"/>
      <c r="B71" s="3407"/>
      <c r="C71" s="3407"/>
      <c r="D71" s="3408">
        <f t="shared" si="0"/>
        <v>0</v>
      </c>
      <c r="E71" s="3406"/>
      <c r="F71" s="3407"/>
    </row>
    <row r="72" spans="1:6">
      <c r="A72" s="3418"/>
      <c r="B72" s="3407"/>
      <c r="C72" s="3407"/>
      <c r="D72" s="3408">
        <f t="shared" si="0"/>
        <v>0</v>
      </c>
      <c r="E72" s="3406"/>
      <c r="F72" s="3407"/>
    </row>
    <row r="73" spans="1:6">
      <c r="A73" s="3419" t="s">
        <v>1129</v>
      </c>
      <c r="B73" s="3405">
        <f>SUM(B43:B72)</f>
        <v>0</v>
      </c>
      <c r="C73" s="3405">
        <f>SUM(C43:C72)</f>
        <v>0</v>
      </c>
      <c r="D73" s="3405">
        <f>SUM(D43:D72)</f>
        <v>0</v>
      </c>
      <c r="E73" s="3406"/>
      <c r="F73" s="3405">
        <f>SUM(F43:F72)</f>
        <v>0</v>
      </c>
    </row>
    <row r="74" spans="1:6">
      <c r="A74" s="3419" t="s">
        <v>2548</v>
      </c>
      <c r="B74" s="3405">
        <f>B73*20%</f>
        <v>0</v>
      </c>
      <c r="C74" s="3405">
        <f>C73*20%</f>
        <v>0</v>
      </c>
      <c r="D74" s="3405">
        <f>B74+C74</f>
        <v>0</v>
      </c>
      <c r="E74" s="3406"/>
      <c r="F74" s="3405">
        <f>F73*20%</f>
        <v>0</v>
      </c>
    </row>
  </sheetData>
  <mergeCells count="8">
    <mergeCell ref="A38:H38"/>
    <mergeCell ref="A7:H7"/>
    <mergeCell ref="A12:H12"/>
    <mergeCell ref="A23:H23"/>
    <mergeCell ref="A29:H29"/>
    <mergeCell ref="A35:H35"/>
    <mergeCell ref="A20:H20"/>
    <mergeCell ref="A32:H32"/>
  </mergeCells>
  <hyperlinks>
    <hyperlink ref="A40" r:id="rId1" xr:uid="{B98BEF32-136B-4D09-92CC-171CE2325099}"/>
    <hyperlink ref="A25" r:id="rId2" xr:uid="{9640C04B-2938-46ED-8B51-A309D861F720}"/>
    <hyperlink ref="A26" r:id="rId3" xr:uid="{90850D41-9AF9-44EF-BDBC-E7E856D9E6C8}"/>
    <hyperlink ref="A9" location="ClientName" display="ClientName" xr:uid="{515F71F4-E179-445C-96FE-39A30AFC4576}"/>
    <hyperlink ref="H8" location="'WPIndex'!A1" display="Back to Workpaper Index" xr:uid="{7766DDE0-786B-4492-8127-83F57555A0FE}"/>
  </hyperlinks>
  <pageMargins left="0.70866141732283472" right="0.70866141732283472" top="0.74803149606299213" bottom="0.74803149606299213" header="0.31496062992125984" footer="0.31496062992125984"/>
  <pageSetup paperSize="9" scale="59" orientation="portrait" r:id="rId4"/>
  <headerFooter>
    <oddFooter>&amp;L© Findex (Aust) Pty Ltd.  All rights reserved.</oddFooter>
  </headerFooter>
  <drawing r:id="rId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8" tint="0.79998168889431442"/>
  </sheetPr>
  <dimension ref="A1:X153"/>
  <sheetViews>
    <sheetView zoomScaleNormal="100" workbookViewId="0">
      <pane ySplit="9" topLeftCell="A10" activePane="bottomLeft" state="frozen"/>
      <selection sqref="A1:F1"/>
      <selection pane="bottomLeft" sqref="A1:F1"/>
    </sheetView>
  </sheetViews>
  <sheetFormatPr defaultColWidth="9.140625" defaultRowHeight="12.75"/>
  <cols>
    <col min="1" max="1" width="4.42578125" style="1731" customWidth="1"/>
    <col min="2" max="2" width="59" style="1731" customWidth="1"/>
    <col min="3" max="7" width="11.7109375" style="1731" customWidth="1"/>
    <col min="8" max="9" width="9.140625" style="1731"/>
    <col min="10" max="10" width="16.140625" style="1731" customWidth="1"/>
    <col min="11" max="24" width="9.140625" style="1731"/>
    <col min="25" max="16384" width="9.140625" style="1730"/>
  </cols>
  <sheetData>
    <row r="1" spans="1:24" ht="37.5" customHeight="1">
      <c r="A1" s="1730"/>
      <c r="B1" s="1730"/>
      <c r="C1" s="1730"/>
      <c r="D1" s="1730"/>
      <c r="E1" s="1730"/>
      <c r="F1" s="1730"/>
      <c r="G1" s="1730"/>
      <c r="H1" s="1730"/>
      <c r="I1" s="1730"/>
      <c r="J1" s="1730"/>
      <c r="K1" s="1730"/>
      <c r="L1" s="1730"/>
      <c r="M1" s="1730"/>
      <c r="N1" s="1730"/>
      <c r="O1" s="1730"/>
      <c r="P1" s="1730"/>
      <c r="Q1" s="1730"/>
      <c r="R1" s="1730"/>
      <c r="S1" s="1730"/>
      <c r="T1" s="1730"/>
      <c r="U1" s="1730"/>
      <c r="V1" s="1730"/>
      <c r="W1" s="1730"/>
      <c r="X1" s="1730"/>
    </row>
    <row r="2" spans="1:24" ht="30" customHeight="1">
      <c r="A2" s="3861" t="str">
        <f>+'Tax Rec Report'!B1</f>
        <v>EXAMPLE TRUST</v>
      </c>
      <c r="B2" s="3861"/>
      <c r="C2" s="3861"/>
      <c r="D2" s="3861"/>
      <c r="E2" s="3861"/>
      <c r="F2" s="3861"/>
      <c r="G2" s="3861"/>
      <c r="H2" s="1730"/>
      <c r="I2" s="3277"/>
      <c r="J2" s="3248" t="s">
        <v>2526</v>
      </c>
      <c r="K2" s="1730"/>
      <c r="L2" s="1730"/>
      <c r="M2" s="1730"/>
      <c r="N2" s="1730"/>
      <c r="O2" s="1730"/>
      <c r="P2" s="1730"/>
      <c r="Q2" s="1730"/>
      <c r="R2" s="1730"/>
      <c r="S2" s="1730"/>
      <c r="T2" s="1730"/>
      <c r="U2" s="1730"/>
      <c r="V2" s="1730"/>
      <c r="W2" s="1730"/>
      <c r="X2" s="1730"/>
    </row>
    <row r="3" spans="1:24" ht="20.25">
      <c r="A3" s="3861" t="s">
        <v>1905</v>
      </c>
      <c r="B3" s="3861"/>
      <c r="C3" s="3861"/>
      <c r="D3" s="3861"/>
      <c r="E3" s="3861"/>
      <c r="F3" s="3861"/>
      <c r="G3" s="3861"/>
      <c r="H3" s="1730"/>
      <c r="I3" s="1730"/>
      <c r="J3" s="1730"/>
      <c r="K3" s="1730"/>
      <c r="L3" s="1730"/>
      <c r="M3" s="1730"/>
      <c r="N3" s="1730"/>
      <c r="O3" s="1730"/>
      <c r="P3" s="1730"/>
      <c r="Q3" s="1730"/>
      <c r="R3" s="1730"/>
      <c r="S3" s="1730"/>
      <c r="T3" s="1730"/>
      <c r="U3" s="1730"/>
      <c r="V3" s="1730"/>
      <c r="W3" s="1730"/>
      <c r="X3" s="1730"/>
    </row>
    <row r="4" spans="1:24" s="1732" customFormat="1">
      <c r="A4" s="3860" t="str">
        <f>"For the Year Ended 30 June "&amp;YEAR(Period_End)</f>
        <v>For the Year Ended 30 June 2024</v>
      </c>
      <c r="B4" s="3860"/>
      <c r="C4" s="3860"/>
      <c r="D4" s="3860"/>
      <c r="E4" s="3860"/>
      <c r="F4" s="3860"/>
      <c r="G4" s="3860"/>
    </row>
    <row r="5" spans="1:24" s="1733" customFormat="1" ht="5.25" customHeight="1">
      <c r="A5" s="1991"/>
      <c r="B5" s="1991"/>
      <c r="C5" s="1991"/>
      <c r="D5" s="1991"/>
      <c r="E5" s="1991"/>
      <c r="F5" s="1991"/>
      <c r="G5" s="1991"/>
    </row>
    <row r="6" spans="1:24" s="1733" customFormat="1" ht="15">
      <c r="A6" s="1989"/>
      <c r="B6" s="1989"/>
      <c r="C6" s="1989"/>
      <c r="D6" s="1989">
        <f>YEAR(Period_End)</f>
        <v>2024</v>
      </c>
      <c r="E6" s="1989">
        <f>YEAR(Period_End)-COUNTA($D$6:D6)</f>
        <v>2023</v>
      </c>
      <c r="F6" s="1989">
        <f>YEAR(Period_End)-COUNTA($D$6:E8)</f>
        <v>2022</v>
      </c>
      <c r="G6" s="1989">
        <f>YEAR(Period_End)-COUNTA($D$6:F8)</f>
        <v>2021</v>
      </c>
    </row>
    <row r="7" spans="1:24" s="1733" customFormat="1" ht="15" hidden="1">
      <c r="A7" s="1989"/>
      <c r="B7" s="1989"/>
      <c r="C7" s="1989"/>
      <c r="D7" s="1989"/>
      <c r="E7" s="1989"/>
      <c r="F7" s="1989"/>
      <c r="G7" s="1989"/>
    </row>
    <row r="8" spans="1:24" s="1733" customFormat="1" ht="15" hidden="1">
      <c r="A8" s="1989"/>
      <c r="B8" s="1989"/>
      <c r="C8" s="1989"/>
      <c r="D8" s="1989"/>
      <c r="E8" s="1989"/>
      <c r="F8" s="1989"/>
      <c r="G8" s="1989"/>
    </row>
    <row r="9" spans="1:24" s="1733" customFormat="1" ht="15">
      <c r="A9" s="1989"/>
      <c r="B9" s="1989"/>
      <c r="C9" s="1989"/>
      <c r="D9" s="1989" t="s">
        <v>976</v>
      </c>
      <c r="E9" s="1989" t="s">
        <v>976</v>
      </c>
      <c r="F9" s="1989" t="s">
        <v>976</v>
      </c>
      <c r="G9" s="1989" t="s">
        <v>1254</v>
      </c>
    </row>
    <row r="10" spans="1:24" s="1736" customFormat="1" ht="13.5">
      <c r="A10" s="1734"/>
      <c r="B10" s="1735"/>
    </row>
    <row r="11" spans="1:24" s="1738" customFormat="1" ht="12.75" customHeight="1">
      <c r="A11" s="1737" t="s">
        <v>1906</v>
      </c>
      <c r="C11" s="1739"/>
      <c r="D11" s="1739">
        <v>0</v>
      </c>
      <c r="E11" s="1739">
        <v>0</v>
      </c>
      <c r="F11" s="1739">
        <v>0</v>
      </c>
      <c r="G11" s="1739">
        <v>0</v>
      </c>
    </row>
    <row r="12" spans="1:24" s="1738" customFormat="1" ht="12.75" customHeight="1">
      <c r="A12" s="1737"/>
      <c r="C12" s="1739"/>
      <c r="D12" s="1739"/>
      <c r="E12" s="1739"/>
      <c r="F12" s="1739"/>
      <c r="G12" s="1739"/>
    </row>
    <row r="13" spans="1:24" s="1738" customFormat="1" ht="12.75" customHeight="1">
      <c r="A13" s="1737" t="s">
        <v>29</v>
      </c>
      <c r="C13" s="1739"/>
      <c r="D13" s="1739"/>
      <c r="E13" s="1739"/>
      <c r="F13" s="1739"/>
      <c r="G13" s="1739"/>
    </row>
    <row r="14" spans="1:24" s="1738" customFormat="1" ht="12.75" customHeight="1">
      <c r="A14" s="1738" t="s">
        <v>1907</v>
      </c>
      <c r="C14" s="1739"/>
      <c r="D14" s="1739"/>
      <c r="E14" s="1739"/>
      <c r="F14" s="1739"/>
      <c r="G14" s="1739"/>
    </row>
    <row r="15" spans="1:24" s="1738" customFormat="1" ht="12.75" customHeight="1">
      <c r="B15" s="1740" t="s">
        <v>1908</v>
      </c>
      <c r="C15" s="1739"/>
      <c r="D15" s="1741">
        <v>0</v>
      </c>
      <c r="E15" s="1741">
        <v>0</v>
      </c>
      <c r="F15" s="1741">
        <v>0</v>
      </c>
      <c r="G15" s="1741">
        <v>0</v>
      </c>
    </row>
    <row r="16" spans="1:24" s="1738" customFormat="1" ht="12.75" customHeight="1">
      <c r="B16" s="1740" t="s">
        <v>1909</v>
      </c>
      <c r="C16" s="1739"/>
      <c r="D16" s="1741">
        <v>0</v>
      </c>
      <c r="E16" s="1741">
        <v>0</v>
      </c>
      <c r="F16" s="1741">
        <v>0</v>
      </c>
      <c r="G16" s="1741">
        <v>0</v>
      </c>
    </row>
    <row r="17" spans="1:7" s="1738" customFormat="1" ht="12.75" customHeight="1">
      <c r="B17" s="1740" t="s">
        <v>1910</v>
      </c>
      <c r="C17" s="1739"/>
      <c r="D17" s="1741">
        <v>0</v>
      </c>
      <c r="E17" s="1741">
        <v>0</v>
      </c>
      <c r="F17" s="1741">
        <v>0</v>
      </c>
      <c r="G17" s="1741">
        <v>0</v>
      </c>
    </row>
    <row r="18" spans="1:7" s="1738" customFormat="1" ht="12.75" customHeight="1">
      <c r="B18" s="1740" t="s">
        <v>433</v>
      </c>
      <c r="C18" s="1739"/>
      <c r="D18" s="1741">
        <v>0</v>
      </c>
      <c r="E18" s="1741">
        <v>0</v>
      </c>
      <c r="F18" s="1741">
        <v>0</v>
      </c>
      <c r="G18" s="1741">
        <v>0</v>
      </c>
    </row>
    <row r="19" spans="1:7" s="1738" customFormat="1" ht="12.75" customHeight="1">
      <c r="B19" s="1740" t="s">
        <v>1911</v>
      </c>
      <c r="C19" s="1739"/>
      <c r="D19" s="1741">
        <v>0</v>
      </c>
      <c r="E19" s="1741">
        <v>0</v>
      </c>
      <c r="F19" s="1741">
        <v>0</v>
      </c>
      <c r="G19" s="1741">
        <v>0</v>
      </c>
    </row>
    <row r="20" spans="1:7" s="1738" customFormat="1" ht="12.75" customHeight="1">
      <c r="A20" s="1738" t="s">
        <v>1912</v>
      </c>
      <c r="C20" s="1739"/>
      <c r="D20" s="1741">
        <v>0</v>
      </c>
      <c r="E20" s="1741">
        <v>0</v>
      </c>
      <c r="F20" s="1741">
        <v>0</v>
      </c>
      <c r="G20" s="1741">
        <v>0</v>
      </c>
    </row>
    <row r="21" spans="1:7" s="1738" customFormat="1" ht="12.75" customHeight="1">
      <c r="A21" s="1738" t="s">
        <v>1913</v>
      </c>
      <c r="C21" s="1739"/>
      <c r="D21" s="1741">
        <v>0</v>
      </c>
      <c r="E21" s="1741">
        <v>0</v>
      </c>
      <c r="F21" s="1741">
        <v>0</v>
      </c>
      <c r="G21" s="1741">
        <v>0</v>
      </c>
    </row>
    <row r="22" spans="1:7" s="1738" customFormat="1" ht="12.75" customHeight="1">
      <c r="A22" s="1738" t="s">
        <v>1914</v>
      </c>
      <c r="C22" s="1739"/>
      <c r="D22" s="1741">
        <v>0</v>
      </c>
      <c r="E22" s="1741">
        <v>0</v>
      </c>
      <c r="F22" s="1741">
        <v>0</v>
      </c>
      <c r="G22" s="1741">
        <v>0</v>
      </c>
    </row>
    <row r="23" spans="1:7" s="1738" customFormat="1" ht="12.75" customHeight="1">
      <c r="A23" s="1738" t="s">
        <v>1524</v>
      </c>
      <c r="C23" s="1739"/>
      <c r="D23" s="1741">
        <v>0</v>
      </c>
      <c r="E23" s="1741">
        <v>0</v>
      </c>
      <c r="F23" s="1741">
        <v>0</v>
      </c>
      <c r="G23" s="1741">
        <v>0</v>
      </c>
    </row>
    <row r="24" spans="1:7" s="1738" customFormat="1" ht="12.75" customHeight="1">
      <c r="A24" s="1738" t="s">
        <v>1915</v>
      </c>
      <c r="C24" s="1739"/>
      <c r="D24" s="1741">
        <v>0</v>
      </c>
      <c r="E24" s="1741">
        <v>0</v>
      </c>
      <c r="F24" s="1741">
        <v>0</v>
      </c>
      <c r="G24" s="1741">
        <v>0</v>
      </c>
    </row>
    <row r="25" spans="1:7" s="1738" customFormat="1" ht="12.75" customHeight="1">
      <c r="A25" s="1738" t="s">
        <v>1916</v>
      </c>
      <c r="C25" s="1739"/>
      <c r="D25" s="1741">
        <v>0</v>
      </c>
      <c r="E25" s="1741">
        <v>0</v>
      </c>
      <c r="F25" s="1741">
        <v>0</v>
      </c>
      <c r="G25" s="1741">
        <v>0</v>
      </c>
    </row>
    <row r="26" spans="1:7" s="1738" customFormat="1" ht="12.75" customHeight="1">
      <c r="A26" s="1738" t="s">
        <v>1917</v>
      </c>
      <c r="C26" s="1739"/>
      <c r="D26" s="1741">
        <v>0</v>
      </c>
      <c r="E26" s="1741">
        <v>0</v>
      </c>
      <c r="F26" s="1741">
        <v>0</v>
      </c>
      <c r="G26" s="1741">
        <v>0</v>
      </c>
    </row>
    <row r="27" spans="1:7" s="1738" customFormat="1" ht="12.75" customHeight="1">
      <c r="A27" s="1738" t="s">
        <v>1918</v>
      </c>
      <c r="C27" s="1739"/>
      <c r="D27" s="1741">
        <v>0</v>
      </c>
      <c r="E27" s="1741">
        <v>0</v>
      </c>
      <c r="F27" s="1741">
        <v>0</v>
      </c>
      <c r="G27" s="1741">
        <v>0</v>
      </c>
    </row>
    <row r="28" spans="1:7" s="1738" customFormat="1" ht="12.75" customHeight="1">
      <c r="A28" s="1738" t="s">
        <v>1919</v>
      </c>
      <c r="C28" s="1739"/>
      <c r="D28" s="1741">
        <v>0</v>
      </c>
      <c r="E28" s="1741">
        <v>0</v>
      </c>
      <c r="F28" s="1741">
        <v>0</v>
      </c>
      <c r="G28" s="1741">
        <v>0</v>
      </c>
    </row>
    <row r="29" spans="1:7" s="1738" customFormat="1" ht="12.75" customHeight="1">
      <c r="A29" s="1738" t="s">
        <v>1920</v>
      </c>
      <c r="C29" s="1739"/>
      <c r="D29" s="1741">
        <v>0</v>
      </c>
      <c r="E29" s="1741">
        <v>0</v>
      </c>
      <c r="F29" s="1741">
        <v>0</v>
      </c>
      <c r="G29" s="1741">
        <v>0</v>
      </c>
    </row>
    <row r="30" spans="1:7" s="1738" customFormat="1" ht="12.75" customHeight="1">
      <c r="A30" s="1738" t="s">
        <v>1921</v>
      </c>
      <c r="C30" s="1739"/>
      <c r="D30" s="1741">
        <v>0</v>
      </c>
      <c r="E30" s="1741">
        <v>0</v>
      </c>
      <c r="F30" s="1741">
        <v>0</v>
      </c>
      <c r="G30" s="1741">
        <v>0</v>
      </c>
    </row>
    <row r="31" spans="1:7" s="1738" customFormat="1" ht="12.75" customHeight="1">
      <c r="A31" s="1738" t="s">
        <v>1922</v>
      </c>
      <c r="C31" s="1739"/>
      <c r="D31" s="1741">
        <v>0</v>
      </c>
      <c r="E31" s="1741">
        <v>0</v>
      </c>
      <c r="F31" s="1741">
        <v>0</v>
      </c>
      <c r="G31" s="1741">
        <v>0</v>
      </c>
    </row>
    <row r="32" spans="1:7" s="1738" customFormat="1" ht="12.75" customHeight="1">
      <c r="A32" s="1738" t="s">
        <v>1923</v>
      </c>
      <c r="C32" s="1739"/>
      <c r="D32" s="1741">
        <v>0</v>
      </c>
      <c r="E32" s="1741">
        <v>0</v>
      </c>
      <c r="F32" s="1741">
        <v>0</v>
      </c>
      <c r="G32" s="1741">
        <v>0</v>
      </c>
    </row>
    <row r="33" spans="1:7" s="1738" customFormat="1" ht="12.75" customHeight="1">
      <c r="A33" s="1738" t="s">
        <v>1924</v>
      </c>
      <c r="C33" s="1739"/>
      <c r="D33" s="1741">
        <v>0</v>
      </c>
      <c r="E33" s="1741">
        <v>0</v>
      </c>
      <c r="F33" s="1741">
        <v>0</v>
      </c>
      <c r="G33" s="1741">
        <v>0</v>
      </c>
    </row>
    <row r="34" spans="1:7" s="1738" customFormat="1" ht="12.75" customHeight="1">
      <c r="A34" s="1738" t="s">
        <v>1925</v>
      </c>
      <c r="C34" s="1739"/>
      <c r="D34" s="1741"/>
      <c r="E34" s="1741"/>
      <c r="F34" s="1741"/>
      <c r="G34" s="1741"/>
    </row>
    <row r="35" spans="1:7" s="1738" customFormat="1" ht="12.75" customHeight="1">
      <c r="B35" s="1738" t="s">
        <v>1926</v>
      </c>
      <c r="C35" s="1739"/>
      <c r="D35" s="1741">
        <v>0</v>
      </c>
      <c r="E35" s="1741">
        <v>0</v>
      </c>
      <c r="F35" s="1741">
        <v>0</v>
      </c>
      <c r="G35" s="1741">
        <v>0</v>
      </c>
    </row>
    <row r="36" spans="1:7" s="1738" customFormat="1" ht="12.75" customHeight="1">
      <c r="B36" s="1738" t="s">
        <v>1927</v>
      </c>
      <c r="C36" s="1739"/>
      <c r="D36" s="1741">
        <v>0</v>
      </c>
      <c r="E36" s="1741">
        <v>0</v>
      </c>
      <c r="F36" s="1741">
        <v>0</v>
      </c>
      <c r="G36" s="1741">
        <v>0</v>
      </c>
    </row>
    <row r="37" spans="1:7" s="1738" customFormat="1" ht="12.75" customHeight="1">
      <c r="B37" s="1738" t="s">
        <v>1928</v>
      </c>
      <c r="C37" s="1739"/>
      <c r="D37" s="1741">
        <v>0</v>
      </c>
      <c r="E37" s="1741">
        <v>0</v>
      </c>
      <c r="F37" s="1741">
        <v>0</v>
      </c>
      <c r="G37" s="1741">
        <v>0</v>
      </c>
    </row>
    <row r="38" spans="1:7" s="1738" customFormat="1" ht="12.75" customHeight="1">
      <c r="B38" s="1738" t="s">
        <v>1929</v>
      </c>
      <c r="C38" s="1739"/>
      <c r="D38" s="1741">
        <v>0</v>
      </c>
      <c r="E38" s="1741">
        <v>0</v>
      </c>
      <c r="F38" s="1741">
        <v>0</v>
      </c>
      <c r="G38" s="1741">
        <v>0</v>
      </c>
    </row>
    <row r="39" spans="1:7" s="1738" customFormat="1" ht="12.75" customHeight="1">
      <c r="B39" s="1738" t="s">
        <v>1930</v>
      </c>
      <c r="C39" s="1739"/>
      <c r="D39" s="1741">
        <v>0</v>
      </c>
      <c r="E39" s="1741">
        <v>0</v>
      </c>
      <c r="F39" s="1741">
        <v>0</v>
      </c>
      <c r="G39" s="1741">
        <v>0</v>
      </c>
    </row>
    <row r="40" spans="1:7" s="1738" customFormat="1" ht="12.75" customHeight="1">
      <c r="A40" s="1738" t="s">
        <v>1931</v>
      </c>
      <c r="C40" s="1739"/>
      <c r="D40" s="1741"/>
      <c r="E40" s="1741"/>
      <c r="F40" s="1741"/>
      <c r="G40" s="1741"/>
    </row>
    <row r="41" spans="1:7" s="1738" customFormat="1" ht="12.75" customHeight="1">
      <c r="B41" s="1738" t="s">
        <v>1932</v>
      </c>
      <c r="C41" s="1739"/>
      <c r="D41" s="1739">
        <v>0</v>
      </c>
      <c r="E41" s="1739">
        <v>0</v>
      </c>
      <c r="F41" s="1739">
        <v>0</v>
      </c>
      <c r="G41" s="1739">
        <v>0</v>
      </c>
    </row>
    <row r="42" spans="1:7" s="1738" customFormat="1" ht="12.75" customHeight="1">
      <c r="C42" s="1739"/>
      <c r="D42" s="1742"/>
      <c r="E42" s="1742"/>
      <c r="F42" s="1742"/>
      <c r="G42" s="1742"/>
    </row>
    <row r="43" spans="1:7" s="1738" customFormat="1" ht="12.75" customHeight="1">
      <c r="A43" s="1743" t="s">
        <v>1933</v>
      </c>
      <c r="C43" s="1739"/>
      <c r="D43" s="1741">
        <f>SUM(D14:D42)</f>
        <v>0</v>
      </c>
      <c r="E43" s="1741">
        <f>SUM(E14:E42)</f>
        <v>0</v>
      </c>
      <c r="F43" s="1741">
        <f>SUM(F14:F42)</f>
        <v>0</v>
      </c>
      <c r="G43" s="1741">
        <f>SUM(G14:G42)</f>
        <v>0</v>
      </c>
    </row>
    <row r="44" spans="1:7" s="1738" customFormat="1" ht="12.75" customHeight="1">
      <c r="C44" s="1739"/>
      <c r="D44" s="1741"/>
      <c r="E44" s="1741"/>
      <c r="F44" s="1741"/>
      <c r="G44" s="1741"/>
    </row>
    <row r="45" spans="1:7" s="1738" customFormat="1" ht="12.75" customHeight="1">
      <c r="A45" s="1737" t="s">
        <v>82</v>
      </c>
      <c r="C45" s="1739"/>
      <c r="D45" s="1741"/>
      <c r="E45" s="1741"/>
      <c r="F45" s="1741"/>
      <c r="G45" s="1741"/>
    </row>
    <row r="46" spans="1:7" s="1738" customFormat="1" ht="12.75" customHeight="1">
      <c r="A46" s="1738" t="s">
        <v>1934</v>
      </c>
      <c r="C46" s="1739"/>
      <c r="D46" s="1741"/>
      <c r="E46" s="1741"/>
      <c r="F46" s="1741"/>
      <c r="G46" s="1741"/>
    </row>
    <row r="47" spans="1:7" s="1738" customFormat="1" ht="12.75" customHeight="1">
      <c r="B47" s="1740" t="s">
        <v>1908</v>
      </c>
      <c r="C47" s="1739"/>
      <c r="D47" s="1741">
        <v>0</v>
      </c>
      <c r="E47" s="1741">
        <v>0</v>
      </c>
      <c r="F47" s="1741">
        <v>0</v>
      </c>
      <c r="G47" s="1741">
        <v>0</v>
      </c>
    </row>
    <row r="48" spans="1:7" s="1738" customFormat="1" ht="12.75" customHeight="1">
      <c r="B48" s="1740" t="s">
        <v>1909</v>
      </c>
      <c r="C48" s="1739"/>
      <c r="D48" s="1741">
        <v>0</v>
      </c>
      <c r="E48" s="1741">
        <v>0</v>
      </c>
      <c r="F48" s="1741">
        <v>0</v>
      </c>
      <c r="G48" s="1741">
        <v>0</v>
      </c>
    </row>
    <row r="49" spans="1:7" s="1738" customFormat="1" ht="12.75" customHeight="1">
      <c r="B49" s="1740" t="s">
        <v>1910</v>
      </c>
      <c r="C49" s="1739"/>
      <c r="D49" s="1741">
        <v>0</v>
      </c>
      <c r="E49" s="1741">
        <v>0</v>
      </c>
      <c r="F49" s="1741">
        <v>0</v>
      </c>
      <c r="G49" s="1741">
        <v>0</v>
      </c>
    </row>
    <row r="50" spans="1:7" s="1738" customFormat="1" ht="12.75" customHeight="1">
      <c r="B50" s="1740" t="s">
        <v>433</v>
      </c>
      <c r="C50" s="1739"/>
      <c r="D50" s="1741">
        <v>0</v>
      </c>
      <c r="E50" s="1741">
        <v>0</v>
      </c>
      <c r="F50" s="1741">
        <v>0</v>
      </c>
      <c r="G50" s="1741">
        <v>0</v>
      </c>
    </row>
    <row r="51" spans="1:7" s="1738" customFormat="1" ht="12.75" customHeight="1">
      <c r="B51" s="1740" t="s">
        <v>1911</v>
      </c>
      <c r="C51" s="1739"/>
      <c r="D51" s="1741">
        <v>0</v>
      </c>
      <c r="E51" s="1741">
        <v>0</v>
      </c>
      <c r="F51" s="1741">
        <v>0</v>
      </c>
      <c r="G51" s="1741">
        <v>0</v>
      </c>
    </row>
    <row r="52" spans="1:7" s="1738" customFormat="1" ht="12.75" customHeight="1">
      <c r="A52" s="1738" t="s">
        <v>1935</v>
      </c>
      <c r="C52" s="1739"/>
      <c r="D52" s="1741">
        <v>0</v>
      </c>
      <c r="E52" s="1741">
        <v>0</v>
      </c>
      <c r="F52" s="1741">
        <v>0</v>
      </c>
      <c r="G52" s="1741">
        <v>0</v>
      </c>
    </row>
    <row r="53" spans="1:7" s="1738" customFormat="1" ht="12.75" customHeight="1">
      <c r="A53" s="1738" t="s">
        <v>1936</v>
      </c>
      <c r="C53" s="1739"/>
      <c r="D53" s="1741">
        <v>0</v>
      </c>
      <c r="E53" s="1741">
        <v>0</v>
      </c>
      <c r="F53" s="1741">
        <v>0</v>
      </c>
      <c r="G53" s="1741">
        <v>0</v>
      </c>
    </row>
    <row r="54" spans="1:7" s="1738" customFormat="1" ht="12.75" customHeight="1">
      <c r="A54" s="1738" t="s">
        <v>1937</v>
      </c>
      <c r="C54" s="1739"/>
      <c r="D54" s="1741">
        <v>0</v>
      </c>
      <c r="E54" s="1741">
        <v>0</v>
      </c>
      <c r="F54" s="1741">
        <v>0</v>
      </c>
      <c r="G54" s="1741">
        <v>0</v>
      </c>
    </row>
    <row r="55" spans="1:7" s="1738" customFormat="1" ht="12.75" customHeight="1">
      <c r="A55" s="1738" t="s">
        <v>1938</v>
      </c>
      <c r="C55" s="1739"/>
      <c r="D55" s="1741">
        <v>0</v>
      </c>
      <c r="E55" s="1741">
        <v>0</v>
      </c>
      <c r="F55" s="1741">
        <v>0</v>
      </c>
      <c r="G55" s="1741">
        <v>0</v>
      </c>
    </row>
    <row r="56" spans="1:7" s="1738" customFormat="1" ht="12.75" customHeight="1">
      <c r="A56" s="1738" t="s">
        <v>1939</v>
      </c>
      <c r="C56" s="1739"/>
      <c r="D56" s="1741">
        <v>0</v>
      </c>
      <c r="E56" s="1741">
        <v>0</v>
      </c>
      <c r="F56" s="1741">
        <v>0</v>
      </c>
      <c r="G56" s="1741">
        <v>0</v>
      </c>
    </row>
    <row r="57" spans="1:7" s="1738" customFormat="1" ht="12.75" customHeight="1">
      <c r="A57" s="1738" t="s">
        <v>1665</v>
      </c>
      <c r="C57" s="1739"/>
      <c r="D57" s="1741">
        <v>0</v>
      </c>
      <c r="E57" s="1741">
        <v>0</v>
      </c>
      <c r="F57" s="1741">
        <v>0</v>
      </c>
      <c r="G57" s="1741">
        <v>0</v>
      </c>
    </row>
    <row r="58" spans="1:7" s="1738" customFormat="1" ht="12.75" customHeight="1">
      <c r="A58" s="1738" t="s">
        <v>1940</v>
      </c>
      <c r="C58" s="1739"/>
      <c r="D58" s="1741">
        <v>0</v>
      </c>
      <c r="E58" s="1741">
        <v>0</v>
      </c>
      <c r="F58" s="1741">
        <v>0</v>
      </c>
      <c r="G58" s="1741">
        <v>0</v>
      </c>
    </row>
    <row r="59" spans="1:7" s="1738" customFormat="1" ht="12.75" customHeight="1">
      <c r="A59" s="1738" t="s">
        <v>1941</v>
      </c>
      <c r="C59" s="1739"/>
      <c r="D59" s="1741">
        <v>0</v>
      </c>
      <c r="E59" s="1741">
        <v>0</v>
      </c>
      <c r="F59" s="1741">
        <v>0</v>
      </c>
      <c r="G59" s="1741">
        <v>0</v>
      </c>
    </row>
    <row r="60" spans="1:7" s="1738" customFormat="1" ht="12.75" customHeight="1">
      <c r="A60" s="1738" t="s">
        <v>1942</v>
      </c>
      <c r="C60" s="1739"/>
      <c r="D60" s="1741">
        <v>0</v>
      </c>
      <c r="E60" s="1741">
        <v>0</v>
      </c>
      <c r="F60" s="1741">
        <v>0</v>
      </c>
      <c r="G60" s="1741">
        <v>0</v>
      </c>
    </row>
    <row r="61" spans="1:7" s="1738" customFormat="1" ht="12.75" customHeight="1">
      <c r="A61" s="1738" t="s">
        <v>1923</v>
      </c>
      <c r="C61" s="1739"/>
      <c r="D61" s="1741">
        <v>0</v>
      </c>
      <c r="E61" s="1741">
        <v>0</v>
      </c>
      <c r="F61" s="1741">
        <v>0</v>
      </c>
      <c r="G61" s="1741">
        <v>0</v>
      </c>
    </row>
    <row r="62" spans="1:7" s="1738" customFormat="1" ht="12.75" customHeight="1">
      <c r="A62" s="1738" t="s">
        <v>1943</v>
      </c>
      <c r="C62" s="1739"/>
      <c r="D62" s="1741">
        <v>0</v>
      </c>
      <c r="E62" s="1741">
        <v>0</v>
      </c>
      <c r="F62" s="1741">
        <v>0</v>
      </c>
      <c r="G62" s="1741">
        <v>0</v>
      </c>
    </row>
    <row r="63" spans="1:7" s="1738" customFormat="1" ht="12.75" customHeight="1">
      <c r="A63" s="1738" t="s">
        <v>1944</v>
      </c>
      <c r="C63" s="1739"/>
      <c r="D63" s="1741"/>
      <c r="E63" s="1741"/>
      <c r="F63" s="1741"/>
      <c r="G63" s="1741"/>
    </row>
    <row r="64" spans="1:7" s="1738" customFormat="1" ht="12.75" customHeight="1">
      <c r="B64" s="1738" t="s">
        <v>1945</v>
      </c>
      <c r="C64" s="1739"/>
      <c r="D64" s="1741">
        <v>0</v>
      </c>
      <c r="E64" s="1741">
        <v>0</v>
      </c>
      <c r="F64" s="1741">
        <v>0</v>
      </c>
      <c r="G64" s="1741">
        <v>0</v>
      </c>
    </row>
    <row r="65" spans="1:7" s="1738" customFormat="1" ht="12.75" customHeight="1">
      <c r="B65" s="1738" t="s">
        <v>1946</v>
      </c>
      <c r="C65" s="1739"/>
      <c r="D65" s="1741">
        <v>0</v>
      </c>
      <c r="E65" s="1741">
        <v>0</v>
      </c>
      <c r="F65" s="1741">
        <v>0</v>
      </c>
      <c r="G65" s="1741">
        <v>0</v>
      </c>
    </row>
    <row r="66" spans="1:7" s="1738" customFormat="1" ht="12.75" customHeight="1">
      <c r="B66" s="1738" t="s">
        <v>1928</v>
      </c>
      <c r="C66" s="1739"/>
      <c r="D66" s="1741">
        <v>0</v>
      </c>
      <c r="E66" s="1741">
        <v>0</v>
      </c>
      <c r="F66" s="1741">
        <v>0</v>
      </c>
      <c r="G66" s="1741">
        <v>0</v>
      </c>
    </row>
    <row r="67" spans="1:7" s="1738" customFormat="1" ht="12.75" customHeight="1">
      <c r="B67" s="1738" t="s">
        <v>1974</v>
      </c>
      <c r="C67" s="1739"/>
      <c r="D67" s="1741">
        <v>0</v>
      </c>
      <c r="E67" s="1741">
        <v>0</v>
      </c>
      <c r="F67" s="1741">
        <v>0</v>
      </c>
      <c r="G67" s="1741">
        <v>0</v>
      </c>
    </row>
    <row r="68" spans="1:7" s="1738" customFormat="1" ht="12.75" customHeight="1">
      <c r="B68" s="1738" t="s">
        <v>1947</v>
      </c>
      <c r="C68" s="1739"/>
      <c r="D68" s="1741">
        <v>0</v>
      </c>
      <c r="E68" s="1741">
        <v>0</v>
      </c>
      <c r="F68" s="1741">
        <v>0</v>
      </c>
      <c r="G68" s="1741">
        <v>0</v>
      </c>
    </row>
    <row r="69" spans="1:7" s="1738" customFormat="1" ht="12.75" customHeight="1">
      <c r="B69" s="1738" t="s">
        <v>1948</v>
      </c>
      <c r="C69" s="1739"/>
      <c r="D69" s="1741">
        <v>0</v>
      </c>
      <c r="E69" s="1741">
        <v>0</v>
      </c>
      <c r="F69" s="1741">
        <v>0</v>
      </c>
      <c r="G69" s="1741">
        <v>0</v>
      </c>
    </row>
    <row r="70" spans="1:7" s="1738" customFormat="1" ht="12.75" customHeight="1">
      <c r="A70" s="1738" t="s">
        <v>1931</v>
      </c>
      <c r="C70" s="1739"/>
      <c r="D70" s="1741"/>
      <c r="E70" s="1741"/>
      <c r="F70" s="1741"/>
      <c r="G70" s="1741"/>
    </row>
    <row r="71" spans="1:7" s="1738" customFormat="1" ht="12.75" customHeight="1">
      <c r="B71" s="1738" t="s">
        <v>1949</v>
      </c>
      <c r="C71" s="1739"/>
      <c r="D71" s="1741">
        <v>0</v>
      </c>
      <c r="E71" s="1741">
        <v>0</v>
      </c>
      <c r="F71" s="1741">
        <v>0</v>
      </c>
      <c r="G71" s="1741">
        <v>0</v>
      </c>
    </row>
    <row r="72" spans="1:7" s="1738" customFormat="1" ht="12.75" customHeight="1">
      <c r="C72" s="1739"/>
      <c r="D72" s="1742"/>
      <c r="E72" s="1742"/>
      <c r="F72" s="1742"/>
      <c r="G72" s="1742"/>
    </row>
    <row r="73" spans="1:7" s="1738" customFormat="1" ht="12.75" customHeight="1">
      <c r="A73" s="1743" t="s">
        <v>1950</v>
      </c>
      <c r="C73" s="1739"/>
      <c r="D73" s="1741">
        <f>SUM(D46:D72)</f>
        <v>0</v>
      </c>
      <c r="E73" s="1741">
        <f>SUM(E46:E72)</f>
        <v>0</v>
      </c>
      <c r="F73" s="1741">
        <f>SUM(F46:F72)</f>
        <v>0</v>
      </c>
      <c r="G73" s="1741">
        <f>SUM(G46:G72)</f>
        <v>0</v>
      </c>
    </row>
    <row r="74" spans="1:7" s="1738" customFormat="1" ht="12.75" customHeight="1">
      <c r="C74" s="1739"/>
      <c r="D74" s="1742"/>
      <c r="E74" s="1742"/>
      <c r="F74" s="1742"/>
      <c r="G74" s="1742"/>
    </row>
    <row r="75" spans="1:7" s="1738" customFormat="1" ht="12.75" customHeight="1">
      <c r="A75" s="1737" t="s">
        <v>1951</v>
      </c>
      <c r="C75" s="1739"/>
      <c r="D75" s="1744">
        <f>D11+D43-D73</f>
        <v>0</v>
      </c>
      <c r="E75" s="1744">
        <f>E11+E43-E73</f>
        <v>0</v>
      </c>
      <c r="F75" s="1744">
        <f>F11+F43-F73</f>
        <v>0</v>
      </c>
      <c r="G75" s="1744">
        <f>G11+G43-G73</f>
        <v>0</v>
      </c>
    </row>
    <row r="76" spans="1:7" s="1738" customFormat="1" ht="12.75" customHeight="1">
      <c r="C76" s="1739"/>
      <c r="D76" s="1739"/>
      <c r="E76" s="1739"/>
      <c r="F76" s="1739"/>
      <c r="G76" s="1739"/>
    </row>
    <row r="77" spans="1:7" s="1738" customFormat="1" ht="12.75" customHeight="1">
      <c r="A77" s="1745" t="str">
        <f>"Income Tax Expense at "&amp;(COY_Tax_Rate*100)&amp;"%"</f>
        <v>Income Tax Expense at 25%</v>
      </c>
      <c r="B77" s="1746"/>
      <c r="D77" s="1747" t="str">
        <f>+IF(D75&gt;0,D75*COY_Tax_Rate,"")</f>
        <v/>
      </c>
      <c r="E77" s="1747" t="str">
        <f>+IF(E75&gt;0,E75*COY_Tax_Rate,"")</f>
        <v/>
      </c>
      <c r="F77" s="1747" t="str">
        <f>+IF(F75&gt;0,F75*COY_Tax_Rate,"")</f>
        <v/>
      </c>
      <c r="G77" s="1747" t="str">
        <f>+IF(G75&gt;0,G75*COY_Tax_Rate,"")</f>
        <v/>
      </c>
    </row>
    <row r="78" spans="1:7" s="1738" customFormat="1" ht="12.75" customHeight="1">
      <c r="A78" s="1746"/>
      <c r="B78" s="1746"/>
      <c r="D78" s="1747"/>
      <c r="E78" s="1747"/>
      <c r="F78" s="1747"/>
      <c r="G78" s="1747"/>
    </row>
    <row r="79" spans="1:7" s="1738" customFormat="1" ht="12.75" customHeight="1">
      <c r="A79" s="1746" t="s">
        <v>1952</v>
      </c>
      <c r="B79" s="1746"/>
      <c r="D79" s="1747"/>
      <c r="E79" s="1747"/>
      <c r="F79" s="1747"/>
      <c r="G79" s="1747"/>
    </row>
    <row r="80" spans="1:7" s="1738" customFormat="1" ht="12.75" customHeight="1">
      <c r="A80" s="1746"/>
      <c r="B80" s="1746" t="s">
        <v>675</v>
      </c>
      <c r="D80" s="1748">
        <v>0</v>
      </c>
      <c r="E80" s="1748">
        <v>0</v>
      </c>
      <c r="F80" s="1748">
        <v>0</v>
      </c>
      <c r="G80" s="1748">
        <v>0</v>
      </c>
    </row>
    <row r="81" spans="1:24" s="1738" customFormat="1" ht="12.75" customHeight="1">
      <c r="A81" s="1746"/>
      <c r="B81" s="1746" t="s">
        <v>678</v>
      </c>
      <c r="D81" s="1748">
        <v>0</v>
      </c>
      <c r="E81" s="1748">
        <v>0</v>
      </c>
      <c r="F81" s="1748">
        <v>0</v>
      </c>
      <c r="G81" s="1748">
        <v>0</v>
      </c>
    </row>
    <row r="82" spans="1:24" s="1738" customFormat="1" ht="12.75" customHeight="1">
      <c r="A82" s="1746"/>
      <c r="B82" s="1746" t="s">
        <v>681</v>
      </c>
      <c r="D82" s="1748">
        <v>0</v>
      </c>
      <c r="E82" s="1748">
        <v>0</v>
      </c>
      <c r="F82" s="1748">
        <v>0</v>
      </c>
      <c r="G82" s="1748">
        <v>0</v>
      </c>
    </row>
    <row r="83" spans="1:24" s="1738" customFormat="1" ht="12.75" customHeight="1">
      <c r="A83" s="1746"/>
      <c r="B83" s="1746" t="s">
        <v>1953</v>
      </c>
      <c r="D83" s="1749">
        <v>0</v>
      </c>
      <c r="E83" s="1749">
        <v>0</v>
      </c>
      <c r="F83" s="1749">
        <v>0</v>
      </c>
      <c r="G83" s="1749">
        <v>0</v>
      </c>
    </row>
    <row r="84" spans="1:24" s="1738" customFormat="1" ht="12.75" customHeight="1">
      <c r="A84" s="1746"/>
      <c r="B84" s="1746"/>
      <c r="D84" s="1750">
        <f>SUM(D80:D83)</f>
        <v>0</v>
      </c>
      <c r="E84" s="1750">
        <f>SUM(E80:E83)</f>
        <v>0</v>
      </c>
      <c r="F84" s="1750">
        <f>SUM(F80:F83)</f>
        <v>0</v>
      </c>
      <c r="G84" s="1750">
        <f>SUM(G80:G83)</f>
        <v>0</v>
      </c>
    </row>
    <row r="85" spans="1:24" s="1738" customFormat="1" ht="12.75" customHeight="1">
      <c r="A85" s="1746"/>
      <c r="B85" s="1746"/>
      <c r="D85" s="1750"/>
      <c r="E85" s="1750"/>
      <c r="F85" s="1750"/>
      <c r="G85" s="1750"/>
    </row>
    <row r="86" spans="1:24" s="1738" customFormat="1" ht="12.75" customHeight="1">
      <c r="A86" s="1745" t="s">
        <v>1954</v>
      </c>
      <c r="B86" s="1745"/>
      <c r="D86" s="1751" t="str">
        <f>IFERROR(D77-D84,"")</f>
        <v/>
      </c>
      <c r="E86" s="1751" t="str">
        <f>IFERROR(E77-E84,"")</f>
        <v/>
      </c>
      <c r="F86" s="1751" t="str">
        <f>IFERROR(F77-F84,"")</f>
        <v/>
      </c>
      <c r="G86" s="1751" t="str">
        <f>IFERROR(G77-G84,"")</f>
        <v/>
      </c>
    </row>
    <row r="87" spans="1:24" s="1738" customFormat="1" ht="12">
      <c r="D87" s="1752"/>
      <c r="E87" s="1752"/>
      <c r="F87" s="1752"/>
      <c r="G87" s="1752"/>
    </row>
    <row r="88" spans="1:24" s="1738" customFormat="1" ht="12">
      <c r="D88" s="1752"/>
      <c r="E88" s="1752"/>
      <c r="F88" s="1752"/>
      <c r="G88" s="1753"/>
    </row>
    <row r="89" spans="1:24" s="1738" customFormat="1" ht="12">
      <c r="D89" s="1752"/>
      <c r="E89" s="1752"/>
      <c r="F89" s="1752"/>
      <c r="G89" s="1753"/>
    </row>
    <row r="90" spans="1:24" s="1738" customFormat="1" ht="12">
      <c r="D90" s="1752"/>
      <c r="E90" s="1752"/>
      <c r="F90" s="1752"/>
      <c r="G90" s="1753"/>
    </row>
    <row r="91" spans="1:24" s="1738" customFormat="1">
      <c r="A91" s="1730"/>
      <c r="B91" s="1730"/>
      <c r="C91" s="1730"/>
      <c r="D91" s="1730"/>
      <c r="E91" s="1730"/>
      <c r="F91" s="1752"/>
      <c r="G91" s="1753"/>
    </row>
    <row r="92" spans="1:24" s="1738" customFormat="1" ht="30.75" customHeight="1">
      <c r="A92" s="3861" t="str">
        <f>+A2</f>
        <v>EXAMPLE TRUST</v>
      </c>
      <c r="B92" s="3861"/>
      <c r="C92" s="3861"/>
      <c r="D92" s="3861"/>
      <c r="E92" s="3861"/>
      <c r="F92" s="1752"/>
      <c r="G92" s="1753"/>
    </row>
    <row r="93" spans="1:24" ht="20.25">
      <c r="A93" s="3861" t="s">
        <v>1955</v>
      </c>
      <c r="B93" s="3861"/>
      <c r="C93" s="3861"/>
      <c r="D93" s="3861"/>
      <c r="E93" s="3861"/>
      <c r="F93" s="1754"/>
      <c r="G93" s="1755"/>
      <c r="H93" s="1730"/>
      <c r="I93" s="1730"/>
      <c r="J93" s="1730"/>
      <c r="K93" s="1730"/>
      <c r="L93" s="1730"/>
      <c r="M93" s="1730"/>
      <c r="N93" s="1730"/>
      <c r="O93" s="1730"/>
      <c r="P93" s="1730"/>
      <c r="Q93" s="1730"/>
      <c r="R93" s="1730"/>
      <c r="S93" s="1730"/>
      <c r="T93" s="1730"/>
      <c r="U93" s="1730"/>
      <c r="V93" s="1730"/>
      <c r="W93" s="1730"/>
      <c r="X93" s="1730"/>
    </row>
    <row r="94" spans="1:24">
      <c r="A94" s="3860" t="str">
        <f>+A4</f>
        <v>For the Year Ended 30 June 2024</v>
      </c>
      <c r="B94" s="3860"/>
      <c r="C94" s="3860"/>
      <c r="D94" s="3860"/>
      <c r="E94" s="3860"/>
      <c r="F94" s="1754"/>
      <c r="G94" s="1755"/>
      <c r="H94" s="1730"/>
      <c r="I94" s="1730"/>
      <c r="J94" s="1730"/>
      <c r="K94" s="1730"/>
      <c r="L94" s="1730"/>
      <c r="M94" s="1730"/>
      <c r="N94" s="1730"/>
      <c r="O94" s="1730"/>
      <c r="P94" s="1730"/>
      <c r="Q94" s="1730"/>
      <c r="R94" s="1730"/>
      <c r="S94" s="1730"/>
      <c r="T94" s="1730"/>
      <c r="U94" s="1730"/>
      <c r="V94" s="1730"/>
      <c r="W94" s="1730"/>
      <c r="X94" s="1730"/>
    </row>
    <row r="95" spans="1:24" ht="5.25" customHeight="1">
      <c r="A95" s="1991"/>
      <c r="B95" s="1991"/>
      <c r="C95" s="1991"/>
      <c r="D95" s="1991"/>
      <c r="E95" s="1991"/>
      <c r="F95" s="1991"/>
      <c r="G95" s="1991"/>
      <c r="H95" s="1730"/>
      <c r="I95" s="1730"/>
      <c r="J95" s="1730"/>
      <c r="K95" s="1730"/>
      <c r="L95" s="1730"/>
      <c r="M95" s="1730"/>
      <c r="N95" s="1730"/>
      <c r="O95" s="1730"/>
      <c r="P95" s="1730"/>
      <c r="Q95" s="1730"/>
      <c r="R95" s="1730"/>
      <c r="S95" s="1730"/>
      <c r="T95" s="1730"/>
      <c r="U95" s="1730"/>
      <c r="V95" s="1730"/>
      <c r="W95" s="1730"/>
      <c r="X95" s="1730"/>
    </row>
    <row r="96" spans="1:24">
      <c r="A96" s="1989"/>
      <c r="B96" s="1989"/>
      <c r="C96" s="1989"/>
      <c r="D96" s="1989" t="s">
        <v>1956</v>
      </c>
      <c r="E96" s="1989" t="s">
        <v>1957</v>
      </c>
      <c r="F96" s="1989" t="s">
        <v>1958</v>
      </c>
      <c r="G96" s="1989"/>
      <c r="H96" s="1730"/>
      <c r="I96" s="1730"/>
      <c r="J96" s="1730"/>
      <c r="K96" s="1730"/>
      <c r="L96" s="1730"/>
      <c r="M96" s="1730"/>
      <c r="N96" s="1730"/>
      <c r="O96" s="1730"/>
      <c r="P96" s="1730"/>
      <c r="Q96" s="1730"/>
      <c r="R96" s="1730"/>
      <c r="S96" s="1730"/>
      <c r="T96" s="1730"/>
      <c r="U96" s="1730"/>
      <c r="V96" s="1730"/>
      <c r="W96" s="1730"/>
      <c r="X96" s="1730"/>
    </row>
    <row r="97" spans="1:24">
      <c r="A97" s="1989"/>
      <c r="B97" s="1989"/>
      <c r="C97" s="1989"/>
      <c r="D97" s="1989" t="s">
        <v>976</v>
      </c>
      <c r="E97" s="1989" t="s">
        <v>1047</v>
      </c>
      <c r="F97" s="1989" t="s">
        <v>976</v>
      </c>
      <c r="G97" s="1989"/>
      <c r="H97" s="1730"/>
      <c r="I97" s="1730"/>
      <c r="J97" s="1730"/>
      <c r="K97" s="1730"/>
      <c r="L97" s="1730"/>
      <c r="M97" s="1730"/>
      <c r="N97" s="1730"/>
      <c r="O97" s="1730"/>
      <c r="P97" s="1730"/>
      <c r="Q97" s="1730"/>
      <c r="R97" s="1730"/>
      <c r="S97" s="1730"/>
      <c r="T97" s="1730"/>
      <c r="U97" s="1730"/>
      <c r="V97" s="1730"/>
      <c r="W97" s="1730"/>
      <c r="X97" s="1730"/>
    </row>
    <row r="98" spans="1:24" ht="13.5">
      <c r="A98" s="1734"/>
      <c r="B98" s="1735"/>
      <c r="C98" s="1735"/>
      <c r="D98" s="1736"/>
      <c r="E98" s="1736"/>
      <c r="F98" s="1736"/>
      <c r="G98" s="1755"/>
      <c r="H98" s="1730"/>
      <c r="I98" s="1730"/>
      <c r="J98" s="1730"/>
      <c r="K98" s="1730"/>
      <c r="L98" s="1730"/>
      <c r="M98" s="1730"/>
      <c r="N98" s="1730"/>
      <c r="O98" s="1730"/>
      <c r="P98" s="1730"/>
      <c r="Q98" s="1730"/>
      <c r="R98" s="1730"/>
      <c r="S98" s="1730"/>
      <c r="T98" s="1730"/>
      <c r="U98" s="1730"/>
      <c r="V98" s="1730"/>
      <c r="W98" s="1730"/>
      <c r="X98" s="1730"/>
    </row>
    <row r="99" spans="1:24">
      <c r="A99" s="1737" t="s">
        <v>1959</v>
      </c>
      <c r="B99" s="1738"/>
      <c r="C99" s="1738"/>
      <c r="D99" s="1741">
        <f>+'Comparative Tax Recn'!D11</f>
        <v>0</v>
      </c>
      <c r="E99" s="1756"/>
      <c r="F99" s="1741">
        <f>+'Comparative Tax Recn'!D75</f>
        <v>0</v>
      </c>
      <c r="G99" s="1755"/>
      <c r="H99" s="1730"/>
      <c r="I99" s="1730"/>
      <c r="J99" s="1730"/>
      <c r="K99" s="1730"/>
      <c r="L99" s="1730"/>
      <c r="M99" s="1730"/>
      <c r="N99" s="1730"/>
      <c r="O99" s="1730"/>
      <c r="P99" s="1730"/>
      <c r="Q99" s="1730"/>
      <c r="R99" s="1730"/>
      <c r="S99" s="1730"/>
      <c r="T99" s="1730"/>
      <c r="U99" s="1730"/>
      <c r="V99" s="1730"/>
      <c r="W99" s="1730"/>
      <c r="X99" s="1730"/>
    </row>
    <row r="100" spans="1:24">
      <c r="A100" s="1738"/>
      <c r="B100" s="1738"/>
      <c r="C100" s="1738"/>
      <c r="D100" s="1741"/>
      <c r="E100" s="1756"/>
      <c r="F100" s="1741"/>
      <c r="G100" s="1755"/>
      <c r="H100" s="1730"/>
      <c r="I100" s="1730"/>
      <c r="J100" s="1730"/>
      <c r="K100" s="1730"/>
      <c r="L100" s="1730"/>
      <c r="M100" s="1730"/>
      <c r="N100" s="1730"/>
      <c r="O100" s="1730"/>
      <c r="P100" s="1730"/>
      <c r="Q100" s="1730"/>
      <c r="R100" s="1730"/>
      <c r="S100" s="1730"/>
      <c r="T100" s="1730"/>
      <c r="U100" s="1730"/>
      <c r="V100" s="1730"/>
      <c r="W100" s="1730"/>
      <c r="X100" s="1730"/>
    </row>
    <row r="101" spans="1:24">
      <c r="A101" s="1737" t="s">
        <v>1960</v>
      </c>
      <c r="B101" s="1738"/>
      <c r="C101" s="1738"/>
      <c r="D101" s="1741"/>
      <c r="E101" s="1756"/>
      <c r="F101" s="1741"/>
      <c r="G101" s="1755"/>
      <c r="H101" s="1730"/>
      <c r="I101" s="1730"/>
      <c r="J101" s="1730"/>
      <c r="K101" s="1730"/>
      <c r="L101" s="1730"/>
      <c r="M101" s="1730"/>
      <c r="N101" s="1730"/>
      <c r="O101" s="1730"/>
      <c r="P101" s="1730"/>
      <c r="Q101" s="1730"/>
      <c r="R101" s="1730"/>
      <c r="S101" s="1730"/>
      <c r="T101" s="1730"/>
      <c r="U101" s="1730"/>
      <c r="V101" s="1730"/>
      <c r="W101" s="1730"/>
      <c r="X101" s="1730"/>
    </row>
    <row r="102" spans="1:24">
      <c r="A102" s="1738"/>
      <c r="B102" s="1738" t="s">
        <v>1961</v>
      </c>
      <c r="C102" s="1738"/>
      <c r="D102" s="1741"/>
      <c r="E102" s="1757" t="e">
        <f t="shared" ref="E102:E111" si="0">D102/$D$99</f>
        <v>#DIV/0!</v>
      </c>
      <c r="F102" s="1741" t="e">
        <f t="shared" ref="F102:F111" si="1">$F$99*E102</f>
        <v>#DIV/0!</v>
      </c>
      <c r="G102" s="1755"/>
      <c r="H102" s="1730"/>
      <c r="I102" s="1730"/>
      <c r="J102" s="1730"/>
      <c r="K102" s="1730"/>
      <c r="L102" s="1730"/>
      <c r="M102" s="1730"/>
      <c r="N102" s="1730"/>
      <c r="O102" s="1730"/>
      <c r="P102" s="1730"/>
      <c r="Q102" s="1730"/>
      <c r="R102" s="1730"/>
      <c r="S102" s="1730"/>
      <c r="T102" s="1730"/>
      <c r="U102" s="1730"/>
      <c r="V102" s="1730"/>
      <c r="W102" s="1730"/>
      <c r="X102" s="1730"/>
    </row>
    <row r="103" spans="1:24">
      <c r="A103" s="1738"/>
      <c r="B103" s="1738" t="s">
        <v>1962</v>
      </c>
      <c r="C103" s="1738"/>
      <c r="D103" s="1741"/>
      <c r="E103" s="1757" t="e">
        <f t="shared" si="0"/>
        <v>#DIV/0!</v>
      </c>
      <c r="F103" s="1741" t="e">
        <f t="shared" si="1"/>
        <v>#DIV/0!</v>
      </c>
      <c r="G103" s="1755"/>
      <c r="H103" s="1730"/>
      <c r="I103" s="1730"/>
      <c r="J103" s="1730"/>
      <c r="K103" s="1730"/>
      <c r="L103" s="1730"/>
      <c r="M103" s="1730"/>
      <c r="N103" s="1730"/>
      <c r="O103" s="1730"/>
      <c r="P103" s="1730"/>
      <c r="Q103" s="1730"/>
      <c r="R103" s="1730"/>
      <c r="S103" s="1730"/>
      <c r="T103" s="1730"/>
      <c r="U103" s="1730"/>
      <c r="V103" s="1730"/>
      <c r="W103" s="1730"/>
      <c r="X103" s="1730"/>
    </row>
    <row r="104" spans="1:24">
      <c r="A104" s="1738"/>
      <c r="B104" s="1738" t="s">
        <v>1963</v>
      </c>
      <c r="C104" s="1738"/>
      <c r="D104" s="1741"/>
      <c r="E104" s="1757" t="e">
        <f t="shared" si="0"/>
        <v>#DIV/0!</v>
      </c>
      <c r="F104" s="1741" t="e">
        <f t="shared" si="1"/>
        <v>#DIV/0!</v>
      </c>
      <c r="G104" s="1755"/>
      <c r="H104" s="1730"/>
      <c r="I104" s="1730"/>
      <c r="J104" s="1730"/>
      <c r="K104" s="1730"/>
      <c r="L104" s="1730"/>
      <c r="M104" s="1730"/>
      <c r="N104" s="1730"/>
      <c r="O104" s="1730"/>
      <c r="P104" s="1730"/>
      <c r="Q104" s="1730"/>
      <c r="R104" s="1730"/>
      <c r="S104" s="1730"/>
      <c r="T104" s="1730"/>
      <c r="U104" s="1730"/>
      <c r="V104" s="1730"/>
      <c r="W104" s="1730"/>
      <c r="X104" s="1730"/>
    </row>
    <row r="105" spans="1:24">
      <c r="A105" s="1738"/>
      <c r="B105" s="1738" t="s">
        <v>1964</v>
      </c>
      <c r="C105" s="1738"/>
      <c r="D105" s="1741"/>
      <c r="E105" s="1757" t="e">
        <f t="shared" si="0"/>
        <v>#DIV/0!</v>
      </c>
      <c r="F105" s="1741" t="e">
        <f t="shared" si="1"/>
        <v>#DIV/0!</v>
      </c>
      <c r="G105" s="1755"/>
      <c r="H105" s="1730"/>
      <c r="I105" s="1730"/>
      <c r="J105" s="1730"/>
      <c r="K105" s="1730"/>
      <c r="L105" s="1730"/>
      <c r="M105" s="1730"/>
      <c r="N105" s="1730"/>
      <c r="O105" s="1730"/>
      <c r="P105" s="1730"/>
      <c r="Q105" s="1730"/>
      <c r="R105" s="1730"/>
      <c r="S105" s="1730"/>
      <c r="T105" s="1730"/>
      <c r="U105" s="1730"/>
      <c r="V105" s="1730"/>
      <c r="W105" s="1730"/>
      <c r="X105" s="1730"/>
    </row>
    <row r="106" spans="1:24">
      <c r="A106" s="1738"/>
      <c r="B106" s="1738" t="s">
        <v>1965</v>
      </c>
      <c r="C106" s="1738"/>
      <c r="D106" s="1741"/>
      <c r="E106" s="1757" t="e">
        <f t="shared" si="0"/>
        <v>#DIV/0!</v>
      </c>
      <c r="F106" s="1741" t="e">
        <f t="shared" si="1"/>
        <v>#DIV/0!</v>
      </c>
      <c r="G106" s="1755"/>
      <c r="H106" s="1730"/>
      <c r="I106" s="1730"/>
      <c r="J106" s="1730"/>
      <c r="K106" s="1730"/>
      <c r="L106" s="1730"/>
      <c r="M106" s="1730"/>
      <c r="N106" s="1730"/>
      <c r="O106" s="1730"/>
      <c r="P106" s="1730"/>
      <c r="Q106" s="1730"/>
      <c r="R106" s="1730"/>
      <c r="S106" s="1730"/>
      <c r="T106" s="1730"/>
      <c r="U106" s="1730"/>
      <c r="V106" s="1730"/>
      <c r="W106" s="1730"/>
      <c r="X106" s="1730"/>
    </row>
    <row r="107" spans="1:24">
      <c r="A107" s="1738"/>
      <c r="B107" s="1738" t="s">
        <v>1966</v>
      </c>
      <c r="C107" s="1738"/>
      <c r="D107" s="1741"/>
      <c r="E107" s="1757" t="e">
        <f t="shared" si="0"/>
        <v>#DIV/0!</v>
      </c>
      <c r="F107" s="1741" t="e">
        <f t="shared" si="1"/>
        <v>#DIV/0!</v>
      </c>
      <c r="G107" s="1755"/>
      <c r="H107" s="1730"/>
      <c r="I107" s="1730"/>
      <c r="J107" s="1730"/>
      <c r="K107" s="1730"/>
      <c r="L107" s="1730"/>
      <c r="M107" s="1730"/>
      <c r="N107" s="1730"/>
      <c r="O107" s="1730"/>
      <c r="P107" s="1730"/>
      <c r="Q107" s="1730"/>
      <c r="R107" s="1730"/>
      <c r="S107" s="1730"/>
      <c r="T107" s="1730"/>
      <c r="U107" s="1730"/>
      <c r="V107" s="1730"/>
      <c r="W107" s="1730"/>
      <c r="X107" s="1730"/>
    </row>
    <row r="108" spans="1:24">
      <c r="A108" s="1738"/>
      <c r="B108" s="1738" t="s">
        <v>1967</v>
      </c>
      <c r="C108" s="1738"/>
      <c r="D108" s="1741"/>
      <c r="E108" s="1757" t="e">
        <f t="shared" si="0"/>
        <v>#DIV/0!</v>
      </c>
      <c r="F108" s="1741" t="e">
        <f t="shared" si="1"/>
        <v>#DIV/0!</v>
      </c>
      <c r="G108" s="1755"/>
      <c r="H108" s="1730"/>
      <c r="I108" s="1730"/>
      <c r="J108" s="1730"/>
      <c r="K108" s="1730"/>
      <c r="L108" s="1730"/>
      <c r="M108" s="1730"/>
      <c r="N108" s="1730"/>
      <c r="O108" s="1730"/>
      <c r="P108" s="1730"/>
      <c r="Q108" s="1730"/>
      <c r="R108" s="1730"/>
      <c r="S108" s="1730"/>
      <c r="T108" s="1730"/>
      <c r="U108" s="1730"/>
      <c r="V108" s="1730"/>
      <c r="W108" s="1730"/>
      <c r="X108" s="1730"/>
    </row>
    <row r="109" spans="1:24">
      <c r="A109" s="1738"/>
      <c r="B109" s="1738" t="s">
        <v>1968</v>
      </c>
      <c r="C109" s="1738"/>
      <c r="D109" s="1741"/>
      <c r="E109" s="1757" t="e">
        <f t="shared" si="0"/>
        <v>#DIV/0!</v>
      </c>
      <c r="F109" s="1741" t="e">
        <f t="shared" si="1"/>
        <v>#DIV/0!</v>
      </c>
      <c r="G109" s="1755"/>
      <c r="H109" s="1730"/>
      <c r="I109" s="1730"/>
      <c r="J109" s="1730"/>
      <c r="K109" s="1730"/>
      <c r="L109" s="1730"/>
      <c r="M109" s="1730"/>
      <c r="N109" s="1730"/>
      <c r="O109" s="1730"/>
      <c r="P109" s="1730"/>
      <c r="Q109" s="1730"/>
      <c r="R109" s="1730"/>
      <c r="S109" s="1730"/>
      <c r="T109" s="1730"/>
      <c r="U109" s="1730"/>
      <c r="V109" s="1730"/>
      <c r="W109" s="1730"/>
      <c r="X109" s="1730"/>
    </row>
    <row r="110" spans="1:24">
      <c r="A110" s="1738"/>
      <c r="B110" s="1738" t="s">
        <v>1969</v>
      </c>
      <c r="C110" s="1738"/>
      <c r="D110" s="1741"/>
      <c r="E110" s="1757" t="e">
        <f t="shared" si="0"/>
        <v>#DIV/0!</v>
      </c>
      <c r="F110" s="1741" t="e">
        <f t="shared" si="1"/>
        <v>#DIV/0!</v>
      </c>
      <c r="G110" s="1755"/>
      <c r="H110" s="1730"/>
      <c r="I110" s="1730"/>
      <c r="J110" s="1730"/>
      <c r="K110" s="1730"/>
      <c r="L110" s="1730"/>
      <c r="M110" s="1730"/>
      <c r="N110" s="1730"/>
      <c r="O110" s="1730"/>
      <c r="P110" s="1730"/>
      <c r="Q110" s="1730"/>
      <c r="R110" s="1730"/>
      <c r="S110" s="1730"/>
      <c r="T110" s="1730"/>
      <c r="U110" s="1730"/>
      <c r="V110" s="1730"/>
      <c r="W110" s="1730"/>
      <c r="X110" s="1730"/>
    </row>
    <row r="111" spans="1:24">
      <c r="A111" s="1738"/>
      <c r="B111" s="1738" t="s">
        <v>1970</v>
      </c>
      <c r="C111" s="1738"/>
      <c r="D111" s="1741"/>
      <c r="E111" s="1757" t="e">
        <f t="shared" si="0"/>
        <v>#DIV/0!</v>
      </c>
      <c r="F111" s="1741" t="e">
        <f t="shared" si="1"/>
        <v>#DIV/0!</v>
      </c>
      <c r="G111" s="1755"/>
      <c r="H111" s="1730"/>
      <c r="I111" s="1730"/>
      <c r="J111" s="1730"/>
      <c r="K111" s="1730"/>
      <c r="L111" s="1730"/>
      <c r="M111" s="1730"/>
      <c r="N111" s="1730"/>
      <c r="O111" s="1730"/>
      <c r="P111" s="1730"/>
      <c r="Q111" s="1730"/>
      <c r="R111" s="1730"/>
      <c r="S111" s="1730"/>
      <c r="T111" s="1730"/>
      <c r="U111" s="1730"/>
      <c r="V111" s="1730"/>
      <c r="W111" s="1730"/>
      <c r="X111" s="1730"/>
    </row>
    <row r="112" spans="1:24">
      <c r="A112" s="1738"/>
      <c r="B112" s="1738"/>
      <c r="C112" s="1738"/>
      <c r="D112" s="1741"/>
      <c r="E112" s="1757"/>
      <c r="F112" s="1741"/>
      <c r="G112" s="1755"/>
      <c r="H112" s="1730"/>
      <c r="I112" s="1730"/>
      <c r="J112" s="1730"/>
      <c r="K112" s="1730"/>
      <c r="L112" s="1730"/>
      <c r="M112" s="1730"/>
      <c r="N112" s="1730"/>
      <c r="O112" s="1730"/>
      <c r="P112" s="1730"/>
      <c r="Q112" s="1730"/>
      <c r="R112" s="1730"/>
      <c r="S112" s="1730"/>
      <c r="T112" s="1730"/>
      <c r="U112" s="1730"/>
      <c r="V112" s="1730"/>
      <c r="W112" s="1730"/>
      <c r="X112" s="1730"/>
    </row>
    <row r="113" spans="1:24">
      <c r="A113" s="1737" t="s">
        <v>1129</v>
      </c>
      <c r="B113" s="1738"/>
      <c r="C113" s="1738"/>
      <c r="D113" s="1744">
        <f>SUM(D102:D112)</f>
        <v>0</v>
      </c>
      <c r="E113" s="1758" t="e">
        <f>SUM(E102:E111)</f>
        <v>#DIV/0!</v>
      </c>
      <c r="F113" s="1744" t="e">
        <f>SUM(F102:F111)</f>
        <v>#DIV/0!</v>
      </c>
      <c r="G113" s="1755"/>
      <c r="H113" s="1730"/>
      <c r="I113" s="1730"/>
      <c r="J113" s="1730"/>
      <c r="K113" s="1730"/>
      <c r="L113" s="1730"/>
      <c r="M113" s="1730"/>
      <c r="N113" s="1730"/>
      <c r="O113" s="1730"/>
      <c r="P113" s="1730"/>
      <c r="Q113" s="1730"/>
      <c r="R113" s="1730"/>
      <c r="S113" s="1730"/>
      <c r="T113" s="1730"/>
      <c r="U113" s="1730"/>
      <c r="V113" s="1730"/>
      <c r="W113" s="1730"/>
      <c r="X113" s="1730"/>
    </row>
    <row r="114" spans="1:24">
      <c r="A114" s="1738"/>
      <c r="B114" s="1738"/>
      <c r="C114" s="1738"/>
      <c r="D114" s="1738"/>
      <c r="E114" s="1738"/>
      <c r="F114" s="1755"/>
      <c r="G114" s="1755"/>
      <c r="H114" s="1730"/>
      <c r="I114" s="1730"/>
      <c r="J114" s="1730"/>
      <c r="K114" s="1730"/>
      <c r="L114" s="1730"/>
      <c r="M114" s="1730"/>
      <c r="N114" s="1730"/>
      <c r="O114" s="1730"/>
      <c r="P114" s="1730"/>
      <c r="Q114" s="1730"/>
      <c r="R114" s="1730"/>
      <c r="S114" s="1730"/>
      <c r="T114" s="1730"/>
      <c r="U114" s="1730"/>
      <c r="V114" s="1730"/>
      <c r="W114" s="1730"/>
      <c r="X114" s="1730"/>
    </row>
    <row r="115" spans="1:24">
      <c r="A115" s="1738"/>
      <c r="B115" s="1738"/>
      <c r="C115" s="1738"/>
      <c r="D115" s="1738"/>
      <c r="E115" s="1738"/>
      <c r="F115" s="1755"/>
      <c r="G115" s="1755"/>
      <c r="H115" s="1730"/>
      <c r="I115" s="1730"/>
      <c r="J115" s="1730"/>
      <c r="K115" s="1730"/>
      <c r="L115" s="1730"/>
      <c r="M115" s="1730"/>
      <c r="N115" s="1730"/>
      <c r="O115" s="1730"/>
      <c r="P115" s="1730"/>
      <c r="Q115" s="1730"/>
      <c r="R115" s="1730"/>
      <c r="S115" s="1730"/>
      <c r="T115" s="1730"/>
      <c r="U115" s="1730"/>
      <c r="V115" s="1730"/>
      <c r="W115" s="1730"/>
      <c r="X115" s="1730"/>
    </row>
    <row r="116" spans="1:24">
      <c r="A116" s="1738"/>
      <c r="B116" s="1738"/>
      <c r="C116" s="1738"/>
      <c r="D116" s="1738"/>
      <c r="E116" s="1738"/>
      <c r="F116" s="1755"/>
      <c r="G116" s="1755"/>
      <c r="H116" s="1730"/>
      <c r="I116" s="1730"/>
      <c r="J116" s="1730"/>
      <c r="K116" s="1730"/>
      <c r="L116" s="1730"/>
      <c r="M116" s="1730"/>
      <c r="N116" s="1730"/>
      <c r="O116" s="1730"/>
      <c r="P116" s="1730"/>
      <c r="Q116" s="1730"/>
      <c r="R116" s="1730"/>
      <c r="S116" s="1730"/>
      <c r="T116" s="1730"/>
      <c r="U116" s="1730"/>
      <c r="V116" s="1730"/>
      <c r="W116" s="1730"/>
      <c r="X116" s="1730"/>
    </row>
    <row r="117" spans="1:24">
      <c r="A117" s="1738"/>
      <c r="B117" s="1738"/>
      <c r="C117" s="1738"/>
      <c r="D117" s="1738"/>
      <c r="E117" s="1738"/>
      <c r="F117" s="1755"/>
      <c r="G117" s="1755"/>
      <c r="H117" s="1730"/>
      <c r="I117" s="1730"/>
      <c r="J117" s="1730"/>
      <c r="K117" s="1730"/>
      <c r="L117" s="1730"/>
      <c r="M117" s="1730"/>
      <c r="N117" s="1730"/>
      <c r="O117" s="1730"/>
      <c r="P117" s="1730"/>
      <c r="Q117" s="1730"/>
      <c r="R117" s="1730"/>
      <c r="S117" s="1730"/>
      <c r="T117" s="1730"/>
      <c r="U117" s="1730"/>
      <c r="V117" s="1730"/>
      <c r="W117" s="1730"/>
      <c r="X117" s="1730"/>
    </row>
    <row r="118" spans="1:24">
      <c r="A118" s="1759"/>
      <c r="B118" s="1759"/>
      <c r="C118" s="1759"/>
      <c r="D118" s="1759"/>
      <c r="E118" s="1759"/>
      <c r="F118" s="1755"/>
      <c r="G118" s="1755"/>
      <c r="H118" s="1730"/>
      <c r="I118" s="1730"/>
      <c r="J118" s="1730"/>
      <c r="K118" s="1730"/>
      <c r="L118" s="1730"/>
      <c r="M118" s="1730"/>
      <c r="N118" s="1730"/>
      <c r="O118" s="1730"/>
      <c r="P118" s="1730"/>
      <c r="Q118" s="1730"/>
      <c r="R118" s="1730"/>
      <c r="S118" s="1730"/>
      <c r="T118" s="1730"/>
      <c r="U118" s="1730"/>
      <c r="V118" s="1730"/>
      <c r="W118" s="1730"/>
      <c r="X118" s="1730"/>
    </row>
    <row r="119" spans="1:24">
      <c r="A119" s="1759"/>
      <c r="B119" s="1759"/>
      <c r="C119" s="1759"/>
      <c r="D119" s="1759"/>
      <c r="E119" s="1759"/>
      <c r="F119" s="1755"/>
      <c r="G119" s="1755"/>
      <c r="H119" s="1730"/>
      <c r="I119" s="1730"/>
      <c r="J119" s="1730"/>
      <c r="K119" s="1730"/>
      <c r="L119" s="1730"/>
      <c r="M119" s="1730"/>
      <c r="N119" s="1730"/>
      <c r="O119" s="1730"/>
      <c r="P119" s="1730"/>
      <c r="Q119" s="1730"/>
      <c r="R119" s="1730"/>
      <c r="S119" s="1730"/>
      <c r="T119" s="1730"/>
      <c r="U119" s="1730"/>
      <c r="V119" s="1730"/>
      <c r="W119" s="1730"/>
      <c r="X119" s="1730"/>
    </row>
    <row r="120" spans="1:24">
      <c r="A120" s="1759"/>
      <c r="B120" s="1759"/>
      <c r="C120" s="1759"/>
      <c r="D120" s="1759"/>
      <c r="E120" s="1759"/>
      <c r="F120" s="1755"/>
      <c r="G120" s="1755"/>
      <c r="H120" s="1730"/>
      <c r="I120" s="1730"/>
      <c r="J120" s="1730"/>
      <c r="K120" s="1730"/>
      <c r="L120" s="1730"/>
      <c r="M120" s="1730"/>
      <c r="N120" s="1730"/>
      <c r="O120" s="1730"/>
      <c r="P120" s="1730"/>
      <c r="Q120" s="1730"/>
      <c r="R120" s="1730"/>
      <c r="S120" s="1730"/>
      <c r="T120" s="1730"/>
      <c r="U120" s="1730"/>
      <c r="V120" s="1730"/>
      <c r="W120" s="1730"/>
      <c r="X120" s="1730"/>
    </row>
    <row r="121" spans="1:24">
      <c r="A121" s="1730"/>
      <c r="B121" s="1730"/>
      <c r="C121" s="1730"/>
      <c r="D121" s="1755"/>
      <c r="E121" s="1755"/>
      <c r="F121" s="1755"/>
      <c r="G121" s="1755"/>
      <c r="H121" s="1730"/>
      <c r="I121" s="1730"/>
      <c r="J121" s="1730"/>
      <c r="K121" s="1730"/>
      <c r="L121" s="1730"/>
      <c r="M121" s="1730"/>
      <c r="N121" s="1730"/>
      <c r="O121" s="1730"/>
      <c r="P121" s="1730"/>
      <c r="Q121" s="1730"/>
      <c r="R121" s="1730"/>
      <c r="S121" s="1730"/>
      <c r="T121" s="1730"/>
      <c r="U121" s="1730"/>
      <c r="V121" s="1730"/>
      <c r="W121" s="1730"/>
      <c r="X121" s="1730"/>
    </row>
    <row r="122" spans="1:24">
      <c r="A122" s="1730"/>
      <c r="B122" s="1730"/>
      <c r="C122" s="1730"/>
      <c r="D122" s="1755"/>
      <c r="E122" s="1755"/>
      <c r="F122" s="1755"/>
      <c r="G122" s="1755"/>
      <c r="H122" s="1730"/>
      <c r="I122" s="1730"/>
      <c r="J122" s="1730"/>
      <c r="K122" s="1730"/>
      <c r="L122" s="1730"/>
      <c r="M122" s="1730"/>
      <c r="N122" s="1730"/>
      <c r="O122" s="1730"/>
      <c r="P122" s="1730"/>
      <c r="Q122" s="1730"/>
      <c r="R122" s="1730"/>
      <c r="S122" s="1730"/>
      <c r="T122" s="1730"/>
      <c r="U122" s="1730"/>
      <c r="V122" s="1730"/>
      <c r="W122" s="1730"/>
      <c r="X122" s="1730"/>
    </row>
    <row r="123" spans="1:24">
      <c r="A123" s="1730"/>
      <c r="B123" s="1730"/>
      <c r="C123" s="1730"/>
      <c r="D123" s="1755"/>
      <c r="E123" s="1755"/>
      <c r="F123" s="1755"/>
      <c r="G123" s="1755"/>
      <c r="H123" s="1730"/>
      <c r="I123" s="1730"/>
      <c r="J123" s="1730"/>
      <c r="K123" s="1730"/>
      <c r="L123" s="1730"/>
      <c r="M123" s="1730"/>
      <c r="N123" s="1730"/>
      <c r="O123" s="1730"/>
      <c r="P123" s="1730"/>
      <c r="Q123" s="1730"/>
      <c r="R123" s="1730"/>
      <c r="S123" s="1730"/>
      <c r="T123" s="1730"/>
      <c r="U123" s="1730"/>
      <c r="V123" s="1730"/>
      <c r="W123" s="1730"/>
      <c r="X123" s="1730"/>
    </row>
    <row r="124" spans="1:24">
      <c r="A124" s="1730"/>
      <c r="B124" s="1730"/>
      <c r="C124" s="1730"/>
      <c r="D124" s="1755"/>
      <c r="E124" s="1755"/>
      <c r="F124" s="1755"/>
      <c r="G124" s="1755"/>
      <c r="H124" s="1730"/>
      <c r="I124" s="1730"/>
      <c r="J124" s="1730"/>
      <c r="K124" s="1730"/>
      <c r="L124" s="1730"/>
      <c r="M124" s="1730"/>
      <c r="N124" s="1730"/>
      <c r="O124" s="1730"/>
      <c r="P124" s="1730"/>
      <c r="Q124" s="1730"/>
      <c r="R124" s="1730"/>
      <c r="S124" s="1730"/>
      <c r="T124" s="1730"/>
      <c r="U124" s="1730"/>
      <c r="V124" s="1730"/>
      <c r="W124" s="1730"/>
      <c r="X124" s="1730"/>
    </row>
    <row r="125" spans="1:24">
      <c r="A125" s="1730"/>
      <c r="B125" s="1730"/>
      <c r="C125" s="1730"/>
      <c r="D125" s="1755"/>
      <c r="E125" s="1755"/>
      <c r="F125" s="1755"/>
      <c r="G125" s="1755"/>
      <c r="H125" s="1730"/>
      <c r="I125" s="1730"/>
      <c r="J125" s="1730"/>
      <c r="K125" s="1730"/>
      <c r="L125" s="1730"/>
      <c r="M125" s="1730"/>
      <c r="N125" s="1730"/>
      <c r="O125" s="1730"/>
      <c r="P125" s="1730"/>
      <c r="Q125" s="1730"/>
      <c r="R125" s="1730"/>
      <c r="S125" s="1730"/>
      <c r="T125" s="1730"/>
      <c r="U125" s="1730"/>
      <c r="V125" s="1730"/>
      <c r="W125" s="1730"/>
      <c r="X125" s="1730"/>
    </row>
    <row r="126" spans="1:24">
      <c r="A126" s="1730"/>
      <c r="B126" s="1730"/>
      <c r="C126" s="1730"/>
      <c r="D126" s="1755"/>
      <c r="E126" s="1755"/>
      <c r="F126" s="1755"/>
      <c r="G126" s="1755"/>
      <c r="H126" s="1730"/>
      <c r="I126" s="1730"/>
      <c r="J126" s="1730"/>
      <c r="K126" s="1730"/>
      <c r="L126" s="1730"/>
      <c r="M126" s="1730"/>
      <c r="N126" s="1730"/>
      <c r="O126" s="1730"/>
      <c r="P126" s="1730"/>
      <c r="Q126" s="1730"/>
      <c r="R126" s="1730"/>
      <c r="S126" s="1730"/>
      <c r="T126" s="1730"/>
      <c r="U126" s="1730"/>
      <c r="V126" s="1730"/>
      <c r="W126" s="1730"/>
      <c r="X126" s="1730"/>
    </row>
    <row r="127" spans="1:24">
      <c r="A127" s="1730"/>
      <c r="B127" s="1730"/>
      <c r="C127" s="1730"/>
      <c r="D127" s="1755"/>
      <c r="E127" s="1755"/>
      <c r="F127" s="1755"/>
      <c r="G127" s="1755"/>
      <c r="H127" s="1730"/>
      <c r="I127" s="1730"/>
      <c r="J127" s="1730"/>
      <c r="K127" s="1730"/>
      <c r="L127" s="1730"/>
      <c r="M127" s="1730"/>
      <c r="N127" s="1730"/>
      <c r="O127" s="1730"/>
      <c r="P127" s="1730"/>
      <c r="Q127" s="1730"/>
      <c r="R127" s="1730"/>
      <c r="S127" s="1730"/>
      <c r="T127" s="1730"/>
      <c r="U127" s="1730"/>
      <c r="V127" s="1730"/>
      <c r="W127" s="1730"/>
      <c r="X127" s="1730"/>
    </row>
    <row r="128" spans="1:24">
      <c r="A128" s="1730"/>
      <c r="B128" s="1730"/>
      <c r="C128" s="1730"/>
      <c r="D128" s="1755"/>
      <c r="E128" s="1755"/>
      <c r="F128" s="1755"/>
      <c r="G128" s="1755"/>
      <c r="H128" s="1730"/>
      <c r="I128" s="1730"/>
      <c r="J128" s="1730"/>
      <c r="K128" s="1730"/>
      <c r="L128" s="1730"/>
      <c r="M128" s="1730"/>
      <c r="N128" s="1730"/>
      <c r="O128" s="1730"/>
      <c r="P128" s="1730"/>
      <c r="Q128" s="1730"/>
      <c r="R128" s="1730"/>
      <c r="S128" s="1730"/>
      <c r="T128" s="1730"/>
      <c r="U128" s="1730"/>
      <c r="V128" s="1730"/>
      <c r="W128" s="1730"/>
      <c r="X128" s="1730"/>
    </row>
    <row r="129" spans="4:7" s="1730" customFormat="1">
      <c r="D129" s="1755"/>
      <c r="E129" s="1755"/>
      <c r="F129" s="1755"/>
      <c r="G129" s="1755"/>
    </row>
    <row r="130" spans="4:7" s="1730" customFormat="1">
      <c r="D130" s="1755"/>
      <c r="E130" s="1755"/>
      <c r="F130" s="1755"/>
      <c r="G130" s="1755"/>
    </row>
    <row r="131" spans="4:7" s="1730" customFormat="1">
      <c r="D131" s="1755"/>
      <c r="E131" s="1755"/>
      <c r="F131" s="1755"/>
      <c r="G131" s="1755"/>
    </row>
    <row r="132" spans="4:7" s="1730" customFormat="1">
      <c r="D132" s="1755"/>
      <c r="E132" s="1755"/>
      <c r="F132" s="1755"/>
      <c r="G132" s="1755"/>
    </row>
    <row r="133" spans="4:7" s="1730" customFormat="1">
      <c r="D133" s="1755"/>
      <c r="E133" s="1755"/>
      <c r="F133" s="1755"/>
      <c r="G133" s="1755"/>
    </row>
    <row r="134" spans="4:7" s="1730" customFormat="1">
      <c r="D134" s="1755"/>
      <c r="E134" s="1755"/>
      <c r="F134" s="1755"/>
      <c r="G134" s="1755"/>
    </row>
    <row r="135" spans="4:7" s="1730" customFormat="1">
      <c r="D135" s="1755"/>
      <c r="E135" s="1755"/>
      <c r="F135" s="1755"/>
      <c r="G135" s="1755"/>
    </row>
    <row r="136" spans="4:7" s="1730" customFormat="1">
      <c r="D136" s="1755"/>
      <c r="E136" s="1755"/>
      <c r="F136" s="1755"/>
      <c r="G136" s="1755"/>
    </row>
    <row r="137" spans="4:7" s="1730" customFormat="1">
      <c r="D137" s="1755"/>
      <c r="E137" s="1755"/>
      <c r="F137" s="1755"/>
      <c r="G137" s="1755"/>
    </row>
    <row r="138" spans="4:7" s="1730" customFormat="1">
      <c r="D138" s="1755"/>
      <c r="E138" s="1755"/>
      <c r="F138" s="1755"/>
      <c r="G138" s="1755"/>
    </row>
    <row r="139" spans="4:7" s="1730" customFormat="1">
      <c r="D139" s="1755"/>
      <c r="E139" s="1755"/>
      <c r="F139" s="1755"/>
      <c r="G139" s="1755"/>
    </row>
    <row r="140" spans="4:7" s="1730" customFormat="1">
      <c r="D140" s="1755"/>
      <c r="E140" s="1755"/>
      <c r="F140" s="1755"/>
      <c r="G140" s="1755"/>
    </row>
    <row r="141" spans="4:7" s="1730" customFormat="1">
      <c r="D141" s="1755"/>
      <c r="E141" s="1755"/>
      <c r="F141" s="1755"/>
      <c r="G141" s="1755"/>
    </row>
    <row r="142" spans="4:7" s="1730" customFormat="1">
      <c r="D142" s="1755"/>
      <c r="E142" s="1755"/>
      <c r="F142" s="1755"/>
      <c r="G142" s="1755"/>
    </row>
    <row r="143" spans="4:7" s="1730" customFormat="1">
      <c r="D143" s="1755"/>
      <c r="E143" s="1755"/>
      <c r="F143" s="1755"/>
      <c r="G143" s="1755"/>
    </row>
    <row r="144" spans="4:7" s="1730" customFormat="1">
      <c r="D144" s="1755"/>
      <c r="E144" s="1755"/>
      <c r="F144" s="1755"/>
      <c r="G144" s="1755"/>
    </row>
    <row r="145" spans="1:24">
      <c r="A145" s="1730"/>
      <c r="B145" s="1730"/>
      <c r="C145" s="1730"/>
      <c r="D145" s="1755"/>
      <c r="E145" s="1755"/>
      <c r="F145" s="1755"/>
      <c r="G145" s="1755"/>
      <c r="H145" s="1730"/>
      <c r="I145" s="1730"/>
      <c r="J145" s="1730"/>
      <c r="K145" s="1730"/>
      <c r="L145" s="1730"/>
      <c r="M145" s="1730"/>
      <c r="N145" s="1730"/>
      <c r="O145" s="1730"/>
      <c r="P145" s="1730"/>
      <c r="Q145" s="1730"/>
      <c r="R145" s="1730"/>
      <c r="S145" s="1730"/>
      <c r="T145" s="1730"/>
      <c r="U145" s="1730"/>
      <c r="V145" s="1730"/>
      <c r="W145" s="1730"/>
      <c r="X145" s="1730"/>
    </row>
    <row r="146" spans="1:24">
      <c r="A146" s="1730"/>
      <c r="B146" s="1730"/>
      <c r="C146" s="1730"/>
      <c r="D146" s="1755"/>
      <c r="E146" s="1755"/>
      <c r="F146" s="1755"/>
      <c r="G146" s="1755"/>
      <c r="H146" s="1730"/>
      <c r="I146" s="1730"/>
      <c r="J146" s="1730"/>
      <c r="K146" s="1730"/>
      <c r="L146" s="1730"/>
      <c r="M146" s="1730"/>
      <c r="N146" s="1730"/>
      <c r="O146" s="1730"/>
      <c r="P146" s="1730"/>
      <c r="Q146" s="1730"/>
      <c r="R146" s="1730"/>
      <c r="S146" s="1730"/>
      <c r="T146" s="1730"/>
      <c r="U146" s="1730"/>
      <c r="V146" s="1730"/>
      <c r="W146" s="1730"/>
      <c r="X146" s="1730"/>
    </row>
    <row r="147" spans="1:24">
      <c r="A147" s="1730"/>
      <c r="B147" s="1730"/>
      <c r="C147" s="1730"/>
      <c r="D147" s="1755"/>
      <c r="E147" s="1755"/>
      <c r="F147" s="1755"/>
      <c r="G147" s="1755"/>
      <c r="H147" s="1730"/>
      <c r="I147" s="1730"/>
      <c r="J147" s="1730"/>
      <c r="K147" s="1730"/>
      <c r="L147" s="1730"/>
      <c r="M147" s="1730"/>
      <c r="N147" s="1730"/>
      <c r="O147" s="1730"/>
      <c r="P147" s="1730"/>
      <c r="Q147" s="1730"/>
      <c r="R147" s="1730"/>
      <c r="S147" s="1730"/>
      <c r="T147" s="1730"/>
      <c r="U147" s="1730"/>
      <c r="V147" s="1730"/>
      <c r="W147" s="1730"/>
      <c r="X147" s="1730"/>
    </row>
    <row r="148" spans="1:24">
      <c r="A148" s="1730"/>
      <c r="B148" s="1730"/>
      <c r="C148" s="1730"/>
      <c r="D148" s="1755"/>
      <c r="E148" s="1755"/>
      <c r="F148" s="1755"/>
      <c r="G148" s="1755"/>
      <c r="H148" s="1730"/>
      <c r="I148" s="1730"/>
      <c r="J148" s="1730"/>
      <c r="K148" s="1730"/>
      <c r="L148" s="1730"/>
      <c r="M148" s="1730"/>
      <c r="N148" s="1730"/>
      <c r="O148" s="1730"/>
      <c r="P148" s="1730"/>
      <c r="Q148" s="1730"/>
      <c r="R148" s="1730"/>
      <c r="S148" s="1730"/>
      <c r="T148" s="1730"/>
      <c r="U148" s="1730"/>
      <c r="V148" s="1730"/>
      <c r="W148" s="1730"/>
      <c r="X148" s="1730"/>
    </row>
    <row r="149" spans="1:24">
      <c r="A149" s="1730"/>
      <c r="B149" s="1730"/>
      <c r="C149" s="1730"/>
      <c r="D149" s="1755"/>
      <c r="E149" s="1755"/>
      <c r="F149" s="1755"/>
      <c r="G149" s="1755"/>
      <c r="H149" s="1730"/>
      <c r="I149" s="1730"/>
      <c r="J149" s="1730"/>
      <c r="K149" s="1730"/>
      <c r="L149" s="1730"/>
      <c r="M149" s="1730"/>
      <c r="N149" s="1730"/>
      <c r="O149" s="1730"/>
      <c r="P149" s="1730"/>
      <c r="Q149" s="1730"/>
      <c r="R149" s="1730"/>
      <c r="S149" s="1730"/>
      <c r="T149" s="1730"/>
      <c r="U149" s="1730"/>
      <c r="V149" s="1730"/>
      <c r="W149" s="1730"/>
      <c r="X149" s="1730"/>
    </row>
    <row r="150" spans="1:24">
      <c r="A150" s="1730"/>
      <c r="B150" s="1730"/>
      <c r="C150" s="1730"/>
      <c r="D150" s="1755"/>
      <c r="E150" s="1755"/>
      <c r="F150" s="1755"/>
      <c r="G150" s="1755"/>
      <c r="H150" s="1730"/>
      <c r="I150" s="1730"/>
      <c r="J150" s="1730"/>
      <c r="K150" s="1730"/>
      <c r="L150" s="1730"/>
      <c r="M150" s="1730"/>
      <c r="N150" s="1730"/>
      <c r="O150" s="1730"/>
      <c r="P150" s="1730"/>
      <c r="Q150" s="1730"/>
      <c r="R150" s="1730"/>
      <c r="S150" s="1730"/>
      <c r="T150" s="1730"/>
      <c r="U150" s="1730"/>
      <c r="V150" s="1730"/>
      <c r="W150" s="1730"/>
      <c r="X150" s="1730"/>
    </row>
    <row r="151" spans="1:24">
      <c r="A151" s="1730"/>
      <c r="B151" s="1730"/>
      <c r="C151" s="1730"/>
      <c r="D151" s="1755"/>
      <c r="E151" s="1755"/>
      <c r="F151" s="1755"/>
      <c r="G151" s="1755"/>
      <c r="H151" s="1730"/>
      <c r="I151" s="1730"/>
      <c r="J151" s="1730"/>
      <c r="K151" s="1730"/>
      <c r="L151" s="1730"/>
      <c r="M151" s="1730"/>
      <c r="N151" s="1730"/>
      <c r="O151" s="1730"/>
      <c r="P151" s="1730"/>
      <c r="Q151" s="1730"/>
      <c r="R151" s="1730"/>
      <c r="S151" s="1730"/>
      <c r="T151" s="1730"/>
      <c r="U151" s="1730"/>
      <c r="V151" s="1730"/>
      <c r="W151" s="1730"/>
      <c r="X151" s="1730"/>
    </row>
    <row r="152" spans="1:24">
      <c r="A152" s="1730"/>
      <c r="B152" s="1730"/>
      <c r="C152" s="1730"/>
      <c r="D152" s="1755"/>
      <c r="E152" s="1755"/>
      <c r="F152" s="1755"/>
      <c r="G152" s="1755"/>
      <c r="H152" s="1730"/>
      <c r="I152" s="1730"/>
      <c r="J152" s="1730"/>
      <c r="K152" s="1730"/>
      <c r="L152" s="1730"/>
      <c r="M152" s="1730"/>
      <c r="N152" s="1730"/>
      <c r="O152" s="1730"/>
      <c r="P152" s="1730"/>
      <c r="Q152" s="1730"/>
      <c r="R152" s="1730"/>
      <c r="S152" s="1730"/>
      <c r="T152" s="1730"/>
      <c r="U152" s="1730"/>
      <c r="V152" s="1730"/>
      <c r="W152" s="1730"/>
      <c r="X152" s="1730"/>
    </row>
    <row r="153" spans="1:24">
      <c r="D153" s="1760"/>
      <c r="E153" s="1760"/>
      <c r="F153" s="1760"/>
      <c r="G153" s="1760"/>
    </row>
  </sheetData>
  <customSheetViews>
    <customSheetView guid="{BCBE45D4-3C45-4659-992E-5C5D3E9FD81C}" showPageBreaks="1" fitToPage="1" printArea="1" hiddenRows="1">
      <pane ySplit="9" topLeftCell="A58" activePane="bottomLeft" state="frozen"/>
      <selection pane="bottomLeft" activeCell="A66" sqref="A66"/>
      <rowBreaks count="1" manualBreakCount="1">
        <brk id="88" max="6" man="1"/>
      </rowBreaks>
      <pageMargins left="0.59055118110236227" right="0.43307086614173229" top="0.6692913385826772" bottom="0.94488188976377963" header="0.51181102362204722" footer="0.39370078740157483"/>
      <printOptions horizontalCentered="1"/>
      <pageSetup paperSize="9" scale="76"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printArea="1" hiddenRows="1">
      <pane ySplit="9" topLeftCell="A19" activePane="bottomLeft" state="frozen"/>
      <selection pane="bottomLeft" activeCell="L57" sqref="L57"/>
      <rowBreaks count="1" manualBreakCount="1">
        <brk id="88" max="6" man="1"/>
      </rowBreaks>
      <pageMargins left="0.59055118110236227" right="0.43307086614173229" top="0.6692913385826772" bottom="0.94488188976377963" header="0.51181102362204722" footer="0.39370078740157483"/>
      <printOptions horizontalCentered="1"/>
      <pageSetup paperSize="9" scale="76" fitToHeight="999" orientation="portrait" blackAndWhite="1" r:id="rId2"/>
      <headerFooter alignWithMargins="0">
        <oddFooter>&amp;L&amp;8Copyright Crowe Horwath (Aust) Pty Ltd 2016.  All rights reserved.
&amp;Z&amp;F[&amp;A]&amp;R&amp;8&amp;P/&amp;N</oddFooter>
      </headerFooter>
    </customSheetView>
  </customSheetViews>
  <mergeCells count="6">
    <mergeCell ref="A94:E94"/>
    <mergeCell ref="A2:G2"/>
    <mergeCell ref="A3:G3"/>
    <mergeCell ref="A4:G4"/>
    <mergeCell ref="A92:E92"/>
    <mergeCell ref="A93:E93"/>
  </mergeCells>
  <hyperlinks>
    <hyperlink ref="J2" location="'WPIndex'!A1" display="Back to Workpaper Index" xr:uid="{4AF3A916-2856-44AF-AED5-982C1BAE2EBC}"/>
  </hyperlinks>
  <printOptions horizontalCentered="1"/>
  <pageMargins left="0.59055118110236227" right="0.43307086614173229" top="0.6692913385826772" bottom="0.94488188976377963" header="0.51181102362204722" footer="0.39370078740157483"/>
  <pageSetup paperSize="9" scale="64" fitToHeight="999" orientation="portrait" r:id="rId3"/>
  <headerFooter alignWithMargins="0">
    <oddFooter>&amp;L&amp;8Findex (Aust) Pty Ltd.  All rights reserved.
&amp;Z&amp;F[&amp;A]&amp;R&amp;8&amp;P/&amp;N</oddFooter>
  </headerFooter>
  <rowBreaks count="1" manualBreakCount="1">
    <brk id="88" max="6" man="1"/>
  </rowBreaks>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50BE6-97F1-4410-A415-CAB7E059580A}">
  <sheetPr codeName="Sheet9">
    <tabColor theme="8" tint="0.79998168889431442"/>
    <pageSetUpPr fitToPage="1"/>
  </sheetPr>
  <dimension ref="A1:H41"/>
  <sheetViews>
    <sheetView zoomScaleNormal="100" workbookViewId="0">
      <selection sqref="A1:F1"/>
    </sheetView>
  </sheetViews>
  <sheetFormatPr defaultColWidth="9.140625" defaultRowHeight="15"/>
  <cols>
    <col min="1" max="1" width="10.7109375" style="2261" customWidth="1"/>
    <col min="2" max="2" width="113.28515625" style="2261" bestFit="1" customWidth="1"/>
    <col min="3" max="3" width="9.42578125" style="2261" customWidth="1"/>
    <col min="4" max="4" width="92.7109375" style="2261" bestFit="1" customWidth="1"/>
    <col min="5" max="5" width="12.85546875" style="2261" hidden="1" customWidth="1"/>
    <col min="6" max="6" width="11.28515625" style="2261" customWidth="1"/>
    <col min="7" max="7" width="11.5703125" style="2261" customWidth="1"/>
    <col min="8" max="8" width="11.7109375" style="2261" customWidth="1"/>
    <col min="9" max="16384" width="9.140625" style="2261"/>
  </cols>
  <sheetData>
    <row r="1" spans="1:8" ht="14.25" customHeight="1">
      <c r="G1" s="2613" t="s">
        <v>2425</v>
      </c>
      <c r="H1" s="3576" t="s">
        <v>2758</v>
      </c>
    </row>
    <row r="2" spans="1:8" ht="15.75">
      <c r="A2" s="1612"/>
      <c r="B2" s="1613"/>
      <c r="C2" s="1613"/>
      <c r="D2" s="1613"/>
      <c r="F2" s="1613"/>
      <c r="G2" s="1613"/>
    </row>
    <row r="3" spans="1:8">
      <c r="A3" s="1612"/>
      <c r="B3" s="1768"/>
      <c r="C3" s="1768"/>
      <c r="D3" s="1768"/>
      <c r="F3" s="1616"/>
      <c r="G3" s="2731" t="s">
        <v>1163</v>
      </c>
      <c r="H3" s="2731" t="s">
        <v>1262</v>
      </c>
    </row>
    <row r="4" spans="1:8">
      <c r="A4" s="1612"/>
      <c r="B4" s="1768"/>
      <c r="C4" s="1768"/>
      <c r="D4" s="1768"/>
      <c r="F4" s="1617" t="s">
        <v>332</v>
      </c>
      <c r="G4" s="2617" t="str">
        <f>IF(PreparedBy="","",PreparedBy)</f>
        <v/>
      </c>
      <c r="H4" s="2630" t="str">
        <f>IF(DatePrepared="","",DatePrepared)</f>
        <v/>
      </c>
    </row>
    <row r="5" spans="1:8">
      <c r="A5" s="1612"/>
      <c r="B5" s="1768"/>
      <c r="C5" s="1768"/>
      <c r="D5" s="1768"/>
      <c r="F5" s="1617" t="s">
        <v>333</v>
      </c>
      <c r="G5" s="2632"/>
      <c r="H5" s="2631"/>
    </row>
    <row r="6" spans="1:8" ht="15.75">
      <c r="A6" s="1612"/>
      <c r="B6" s="1613"/>
      <c r="C6" s="1613"/>
      <c r="D6" s="1613"/>
      <c r="F6" s="1613"/>
      <c r="G6" s="1613"/>
      <c r="H6" s="1613"/>
    </row>
    <row r="7" spans="1:8" ht="15.75">
      <c r="A7" s="3865" t="s">
        <v>2412</v>
      </c>
      <c r="B7" s="3866"/>
      <c r="C7" s="3866"/>
      <c r="D7" s="3866"/>
      <c r="E7" s="2262"/>
      <c r="F7" s="2262"/>
      <c r="G7" s="2262"/>
      <c r="H7" s="2264"/>
    </row>
    <row r="8" spans="1:8">
      <c r="A8" s="1768"/>
      <c r="B8" s="1769"/>
      <c r="C8" s="1769"/>
      <c r="D8" s="1769"/>
      <c r="F8" s="1770"/>
      <c r="G8" s="1769"/>
      <c r="H8" s="3248" t="s">
        <v>2526</v>
      </c>
    </row>
    <row r="9" spans="1:8" ht="15.75">
      <c r="A9" s="1771" t="str">
        <f>"CLIENT NAME:   "&amp;IF(ClientName="[ENTER CLIENT NAME]","",ClientName)</f>
        <v>CLIENT NAME:   Example Trust</v>
      </c>
      <c r="B9" s="1769"/>
      <c r="C9" s="1769"/>
      <c r="D9" s="1769"/>
      <c r="F9" s="1770"/>
      <c r="G9" s="1769"/>
      <c r="H9" s="1769"/>
    </row>
    <row r="10" spans="1:8">
      <c r="A10" s="1772" t="str">
        <f>"CLIENT CODE:   "&amp;'WP Index'!E4</f>
        <v>CLIENT CODE:   99999</v>
      </c>
      <c r="B10" s="1769"/>
      <c r="C10" s="1769"/>
      <c r="D10" s="1769"/>
      <c r="F10" s="1770"/>
      <c r="G10" s="1622" t="s">
        <v>951</v>
      </c>
      <c r="H10" s="1773">
        <f>'Input Info'!F8</f>
        <v>45473</v>
      </c>
    </row>
    <row r="11" spans="1:8" ht="15.75" thickBot="1">
      <c r="A11" s="2263"/>
      <c r="B11" s="2260"/>
    </row>
    <row r="12" spans="1:8" ht="57" customHeight="1" thickBot="1">
      <c r="A12" s="2263"/>
      <c r="B12" s="3867" t="s">
        <v>2209</v>
      </c>
      <c r="C12" s="3868"/>
      <c r="D12" s="3869"/>
      <c r="E12" s="2268" t="s">
        <v>440</v>
      </c>
    </row>
    <row r="13" spans="1:8">
      <c r="A13" s="2263"/>
      <c r="E13" s="2268" t="s">
        <v>441</v>
      </c>
    </row>
    <row r="14" spans="1:8" ht="18" customHeight="1">
      <c r="A14" s="3862" t="s">
        <v>2208</v>
      </c>
      <c r="B14" s="3863"/>
      <c r="C14" s="2272" t="s">
        <v>2147</v>
      </c>
      <c r="D14" s="2271" t="s">
        <v>172</v>
      </c>
    </row>
    <row r="15" spans="1:8" ht="18" customHeight="1">
      <c r="A15" s="2270">
        <v>1</v>
      </c>
      <c r="B15" s="2269" t="s">
        <v>2207</v>
      </c>
      <c r="C15" s="2633"/>
      <c r="D15" s="2273" t="str">
        <f>IF(ISBLANK(C15),"",IF(C15="Yes","Go to question 2","Ineligible for temporary full expensing"))</f>
        <v/>
      </c>
    </row>
    <row r="16" spans="1:8" ht="18" customHeight="1">
      <c r="A16" s="2270">
        <v>2</v>
      </c>
      <c r="B16" s="2269" t="s">
        <v>2206</v>
      </c>
      <c r="C16" s="2633"/>
      <c r="D16" s="2273" t="str">
        <f>IF(ISBLANK(C16),"",IF(C16="Yes","Go to question 6","Go to question 3"))</f>
        <v/>
      </c>
    </row>
    <row r="17" spans="1:4" ht="18" customHeight="1">
      <c r="A17" s="2270">
        <v>3</v>
      </c>
      <c r="B17" s="2269" t="s">
        <v>2205</v>
      </c>
      <c r="C17" s="2633"/>
      <c r="D17" s="2273" t="str">
        <f>IF(ISBLANK(C17),"",IF(C17="Yes","Go to question 4","Ineligible for temporary full expensing"))</f>
        <v/>
      </c>
    </row>
    <row r="18" spans="1:4" ht="18" customHeight="1">
      <c r="A18" s="2270">
        <v>4</v>
      </c>
      <c r="B18" s="2269" t="s">
        <v>2204</v>
      </c>
      <c r="C18" s="2633"/>
      <c r="D18" s="2273" t="str">
        <f>IF(ISBLANK(C18),"",IF(C18="Yes","Go to question 5","Ineligible for temporary full expensing"))</f>
        <v/>
      </c>
    </row>
    <row r="19" spans="1:4" ht="18" customHeight="1">
      <c r="A19" s="2270">
        <v>5</v>
      </c>
      <c r="B19" s="2269" t="s">
        <v>2203</v>
      </c>
      <c r="C19" s="2633"/>
      <c r="D19" s="2273" t="str">
        <f>IF(ISBLANK(C19),"",IF(C19="Yes","Go to question 7","Ineligible for temporary full expensing"))</f>
        <v/>
      </c>
    </row>
    <row r="20" spans="1:4" ht="18" customHeight="1">
      <c r="A20" s="2270">
        <v>6</v>
      </c>
      <c r="B20" s="2269" t="s">
        <v>2202</v>
      </c>
      <c r="C20" s="2633"/>
      <c r="D20" s="2273" t="str">
        <f>IF(ISBLANK(C20),"",IF(C20="Yes","Go to question 9","Go to question 7"))</f>
        <v/>
      </c>
    </row>
    <row r="21" spans="1:4" ht="18" customHeight="1">
      <c r="A21" s="2270">
        <v>7</v>
      </c>
      <c r="B21" s="2269" t="s">
        <v>2050</v>
      </c>
      <c r="C21" s="2633"/>
      <c r="D21" s="2273" t="str">
        <f>IF(ISBLANK(C21),"",IF(C21="Yes","Go to question 8","Ineligible for temporary full expensing"))</f>
        <v/>
      </c>
    </row>
    <row r="22" spans="1:4" ht="18" customHeight="1">
      <c r="A22" s="2270">
        <v>8</v>
      </c>
      <c r="B22" s="2269" t="s">
        <v>2201</v>
      </c>
      <c r="C22" s="2633"/>
      <c r="D22" s="2273" t="str">
        <f>IF(ISBLANK(C22),"",IF(C22="Yes","Go to question 11","Ineligible for temporary full expensing"))</f>
        <v/>
      </c>
    </row>
    <row r="23" spans="1:4" ht="18" customHeight="1">
      <c r="A23" s="2270">
        <v>9</v>
      </c>
      <c r="B23" s="2269" t="s">
        <v>2200</v>
      </c>
      <c r="C23" s="2633"/>
      <c r="D23" s="2273" t="str">
        <f>IF(ISBLANK(C23),"",IF(C23="Yes","Go to question 10","Go to question 11"))</f>
        <v/>
      </c>
    </row>
    <row r="24" spans="1:4" ht="18" customHeight="1">
      <c r="A24" s="2270">
        <v>10</v>
      </c>
      <c r="B24" s="2269" t="s">
        <v>2447</v>
      </c>
      <c r="C24" s="2633"/>
      <c r="D24" s="2273" t="str">
        <f>IF(ISBLANK(C24),"",IF(C24="Yes","Write off full pool balance at 30 June 2021 or 30 June 2022 and go to question 11","Go to question 11"))</f>
        <v/>
      </c>
    </row>
    <row r="25" spans="1:4" ht="18" customHeight="1">
      <c r="A25" s="2270">
        <v>11</v>
      </c>
      <c r="B25" s="2269" t="s">
        <v>2413</v>
      </c>
      <c r="C25" s="2633"/>
      <c r="D25" s="2273" t="str">
        <f>IF(ISBLANK(C25),"",IF(C25="Yes","Go to question 12","Ineligible for temporary full expensing"))</f>
        <v/>
      </c>
    </row>
    <row r="26" spans="1:4" ht="18" customHeight="1">
      <c r="A26" s="2270">
        <v>12</v>
      </c>
      <c r="B26" s="2269" t="s">
        <v>2414</v>
      </c>
      <c r="C26" s="2633"/>
      <c r="D26" s="2273" t="str">
        <f>IF(ISBLANK(C26),"",IF(C26="Yes","Go to question 13","Ineligible for temporary full expensing"))</f>
        <v/>
      </c>
    </row>
    <row r="27" spans="1:4" ht="18" customHeight="1">
      <c r="A27" s="2270">
        <v>13</v>
      </c>
      <c r="B27" s="2269" t="s">
        <v>2199</v>
      </c>
      <c r="C27" s="2633"/>
      <c r="D27" s="2273" t="str">
        <f>IF(ISBLANK(C27),"",IF(C27="Yes","Go to question 14","Ineligible for temporary full expensing"))</f>
        <v/>
      </c>
    </row>
    <row r="28" spans="1:4" ht="18" customHeight="1">
      <c r="A28" s="2270">
        <v>14</v>
      </c>
      <c r="B28" s="2269" t="s">
        <v>2198</v>
      </c>
      <c r="C28" s="2633"/>
      <c r="D28" s="2273" t="str">
        <f>IF(ISBLANK(C28),"",IF(C28="Yes","Eligible for temporary full expensing","Ineligible for temporary full expensing"))</f>
        <v/>
      </c>
    </row>
    <row r="29" spans="1:4" ht="18" customHeight="1">
      <c r="A29" s="2266"/>
      <c r="B29" s="2266"/>
      <c r="C29" s="2266"/>
      <c r="D29" s="2266"/>
    </row>
    <row r="30" spans="1:4" ht="18" customHeight="1">
      <c r="A30" s="2267" t="s">
        <v>2197</v>
      </c>
      <c r="B30" s="2266"/>
      <c r="C30" s="2266"/>
      <c r="D30" s="2266"/>
    </row>
    <row r="31" spans="1:4" ht="18" customHeight="1">
      <c r="A31" s="2266"/>
      <c r="B31" s="2266"/>
      <c r="C31" s="2266"/>
      <c r="D31" s="2266"/>
    </row>
    <row r="32" spans="1:4" ht="18" customHeight="1">
      <c r="A32" s="3862" t="s">
        <v>2196</v>
      </c>
      <c r="B32" s="3863"/>
      <c r="C32" s="2272" t="s">
        <v>2147</v>
      </c>
      <c r="D32" s="2271" t="s">
        <v>172</v>
      </c>
    </row>
    <row r="33" spans="1:4" ht="18" customHeight="1">
      <c r="A33" s="2270">
        <v>1</v>
      </c>
      <c r="B33" s="2269" t="s">
        <v>2195</v>
      </c>
      <c r="C33" s="2633"/>
      <c r="D33" s="2273" t="str">
        <f>IF(ISBLANK(C33),"",IF(C33="Yes","Go to question 2","Depreciate asset under usual effective life provided asset was installed ready for use by 30 June 2021"))</f>
        <v/>
      </c>
    </row>
    <row r="34" spans="1:4" ht="18" customHeight="1">
      <c r="A34" s="2270">
        <v>2</v>
      </c>
      <c r="B34" s="2269" t="s">
        <v>2194</v>
      </c>
      <c r="C34" s="2633"/>
      <c r="D34" s="2273" t="str">
        <f>IF(ISBLANK(C34),"",IF(C34="Yes","Go to question 3","Go to question 4"))</f>
        <v/>
      </c>
    </row>
    <row r="35" spans="1:4" ht="18" customHeight="1">
      <c r="A35" s="2270">
        <v>3</v>
      </c>
      <c r="B35" s="2269" t="s">
        <v>2193</v>
      </c>
      <c r="C35" s="2633"/>
      <c r="D35" s="2273" t="str">
        <f>IF(ISBLANK(C35),"",IF(C35="Yes","Claim instant asset write off","Go to question 4"))</f>
        <v/>
      </c>
    </row>
    <row r="36" spans="1:4" ht="18" customHeight="1">
      <c r="A36" s="2270">
        <v>4</v>
      </c>
      <c r="B36" s="2269" t="s">
        <v>2192</v>
      </c>
      <c r="C36" s="2633"/>
      <c r="D36" s="2273" t="str">
        <f>IF(ISBLANK(C36),"",IF(C36="Yes","Go to question 5","No deduction available"))</f>
        <v/>
      </c>
    </row>
    <row r="37" spans="1:4" ht="18" customHeight="1">
      <c r="A37" s="2270">
        <v>5</v>
      </c>
      <c r="B37" s="2269" t="s">
        <v>2415</v>
      </c>
      <c r="C37" s="2633"/>
      <c r="D37" s="2273" t="str">
        <f>IF(ISBLANK(C37),"",IF(C37="Yes","Add asset to SBE general pool","Go to question 6"))</f>
        <v/>
      </c>
    </row>
    <row r="38" spans="1:4" ht="18" customHeight="1">
      <c r="A38" s="3864" t="s">
        <v>2191</v>
      </c>
      <c r="B38" s="3864"/>
      <c r="C38" s="2272" t="s">
        <v>2147</v>
      </c>
      <c r="D38" s="2271" t="s">
        <v>172</v>
      </c>
    </row>
    <row r="39" spans="1:4" ht="18" customHeight="1">
      <c r="A39" s="2270">
        <v>6</v>
      </c>
      <c r="B39" s="2269" t="s">
        <v>2050</v>
      </c>
      <c r="C39" s="2633"/>
      <c r="D39" s="2273" t="str">
        <f>IF(ISBLANK(C39),"",IF(C39="Yes","Go to question 7","Depreciate asset under usual effective life"))</f>
        <v/>
      </c>
    </row>
    <row r="40" spans="1:4" ht="18" customHeight="1">
      <c r="A40" s="2270">
        <v>7</v>
      </c>
      <c r="B40" s="2269" t="s">
        <v>2190</v>
      </c>
      <c r="C40" s="2633"/>
      <c r="D40" s="2273" t="str">
        <f>IF(ISBLANK(C40),"",IF(C40="Yes","Claim accelerated depreciation: 50% of cost + usual depreciation on half of asset's cost","No deduction available"))</f>
        <v/>
      </c>
    </row>
    <row r="41" spans="1:4">
      <c r="A41" s="2265"/>
      <c r="B41" s="2265"/>
      <c r="C41" s="2265"/>
      <c r="D41" s="2265"/>
    </row>
  </sheetData>
  <mergeCells count="5">
    <mergeCell ref="A14:B14"/>
    <mergeCell ref="A32:B32"/>
    <mergeCell ref="A38:B38"/>
    <mergeCell ref="A7:D7"/>
    <mergeCell ref="B12:D12"/>
  </mergeCells>
  <conditionalFormatting sqref="B35">
    <cfRule type="expression" dxfId="56" priority="6">
      <formula>$C$34="No"</formula>
    </cfRule>
  </conditionalFormatting>
  <conditionalFormatting sqref="B17:B19">
    <cfRule type="expression" dxfId="55" priority="5">
      <formula>$C$16="Yes"</formula>
    </cfRule>
  </conditionalFormatting>
  <conditionalFormatting sqref="B21:B22">
    <cfRule type="expression" dxfId="54" priority="4">
      <formula>$C$20="Yes"</formula>
    </cfRule>
  </conditionalFormatting>
  <conditionalFormatting sqref="B24">
    <cfRule type="expression" dxfId="53" priority="3">
      <formula>$C$23="No"</formula>
    </cfRule>
  </conditionalFormatting>
  <conditionalFormatting sqref="B20">
    <cfRule type="expression" dxfId="52" priority="2">
      <formula>$C$19="Yes"</formula>
    </cfRule>
  </conditionalFormatting>
  <conditionalFormatting sqref="B23:B24">
    <cfRule type="expression" dxfId="51" priority="1">
      <formula>$C$22="Yes"</formula>
    </cfRule>
  </conditionalFormatting>
  <dataValidations count="1">
    <dataValidation type="list" allowBlank="1" showInputMessage="1" showErrorMessage="1" sqref="C15:C28 C33:C37 C39:C40" xr:uid="{5B459497-89DF-4E29-8049-C7237ED1A9AF}">
      <formula1>$E$12:$E$13</formula1>
    </dataValidation>
  </dataValidations>
  <hyperlinks>
    <hyperlink ref="A9" location="ClientName" display="ClientName" xr:uid="{AFBEBDFD-D3BE-411D-99C8-4679F2008612}"/>
    <hyperlink ref="H8" location="'WPIndex'!A1" display="Back to Workpaper Index" xr:uid="{524F4A48-FBFB-4D4E-B649-1B7A42A3A435}"/>
  </hyperlinks>
  <pageMargins left="0.70866141732283472" right="0.70866141732283472" top="0.74803149606299213" bottom="0.74803149606299213" header="0.31496062992125984" footer="0.31496062992125984"/>
  <pageSetup paperSize="9" scale="59" fitToHeight="0" orientation="landscape" r:id="rId1"/>
  <headerFooter>
    <oddFooter>&amp;L© Findex (Aust) Pty Ltd.  All rights reserved.</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Dist_Non_Averaging_Sheet">
    <pageSetUpPr autoPageBreaks="0" fitToPage="1"/>
  </sheetPr>
  <dimension ref="A1:AS100"/>
  <sheetViews>
    <sheetView zoomScaleNormal="100" workbookViewId="0"/>
  </sheetViews>
  <sheetFormatPr defaultColWidth="9.140625" defaultRowHeight="12.75"/>
  <cols>
    <col min="1" max="1" width="18.140625" style="45" customWidth="1"/>
    <col min="2" max="2" width="17.85546875" style="45" customWidth="1"/>
    <col min="3" max="3" width="3.7109375" style="440" customWidth="1"/>
    <col min="4" max="4" width="25.28515625" style="45" customWidth="1"/>
    <col min="5" max="8" width="17.5703125" style="45" customWidth="1"/>
    <col min="9" max="14" width="17.5703125" style="45" hidden="1" customWidth="1"/>
    <col min="15" max="15" width="17.5703125" style="45" customWidth="1"/>
    <col min="16" max="24" width="17.5703125" style="45" hidden="1" customWidth="1"/>
    <col min="25" max="26" width="15.7109375" style="45" customWidth="1"/>
    <col min="27" max="35" width="15.7109375" style="45" hidden="1" customWidth="1"/>
    <col min="36" max="36" width="0.140625" style="45" customWidth="1"/>
    <col min="37" max="38" width="9.140625" style="45"/>
    <col min="39" max="39" width="8.28515625" style="1" customWidth="1"/>
    <col min="40" max="40" width="11.140625" style="45" customWidth="1"/>
    <col min="41" max="41" width="9.140625" style="45" customWidth="1"/>
    <col min="42" max="42" width="9.140625" style="45" hidden="1" customWidth="1"/>
    <col min="43" max="44" width="9.140625" style="45"/>
    <col min="45" max="45" width="9.140625" style="45" hidden="1" customWidth="1"/>
    <col min="46" max="16384" width="9.140625" style="45"/>
  </cols>
  <sheetData>
    <row r="1" spans="1:45" ht="15.75">
      <c r="C1" s="45"/>
      <c r="D1" s="3870" t="s">
        <v>48</v>
      </c>
      <c r="E1" s="3870"/>
      <c r="F1" s="3870"/>
      <c r="G1" s="3870"/>
      <c r="H1" s="3870"/>
      <c r="I1" s="3870"/>
      <c r="J1" s="3870"/>
      <c r="K1" s="3870"/>
      <c r="L1" s="3870"/>
      <c r="M1" s="3870"/>
      <c r="N1" s="3870"/>
      <c r="O1" s="3870"/>
      <c r="P1" s="3870"/>
      <c r="Q1" s="3870"/>
      <c r="R1" s="3870"/>
      <c r="S1" s="3870"/>
      <c r="T1" s="3870"/>
      <c r="U1" s="3870"/>
      <c r="V1" s="3870"/>
      <c r="W1" s="3870"/>
      <c r="X1" s="3870"/>
      <c r="Y1" s="3870"/>
      <c r="AM1" s="45"/>
      <c r="AN1" s="1952" t="str">
        <f>'WP Index'!D19</f>
        <v>2.7.</v>
      </c>
    </row>
    <row r="2" spans="1:45" s="32" customFormat="1">
      <c r="A2" s="45"/>
      <c r="B2" s="45"/>
      <c r="C2" s="45"/>
      <c r="D2" s="3875"/>
      <c r="E2" s="3875"/>
      <c r="F2" s="3875"/>
      <c r="G2" s="3875"/>
      <c r="H2" s="3875"/>
      <c r="I2" s="3875"/>
      <c r="J2" s="3875"/>
      <c r="K2" s="3875"/>
      <c r="L2" s="3875"/>
      <c r="M2" s="3875"/>
      <c r="N2" s="3875"/>
      <c r="O2" s="3875"/>
      <c r="P2" s="3875"/>
      <c r="Q2" s="3875"/>
      <c r="R2" s="3875"/>
      <c r="S2" s="3875"/>
      <c r="T2" s="3875"/>
      <c r="U2" s="3875"/>
      <c r="V2" s="3875"/>
      <c r="W2" s="3875"/>
      <c r="X2" s="3875"/>
      <c r="Y2" s="3875"/>
      <c r="AJ2" s="11"/>
      <c r="AM2" s="11" t="s">
        <v>331</v>
      </c>
      <c r="AN2" s="709" t="s">
        <v>1262</v>
      </c>
    </row>
    <row r="3" spans="1:45" s="32" customFormat="1" ht="17.25" customHeight="1">
      <c r="A3" s="45"/>
      <c r="B3" s="45"/>
      <c r="C3" s="45"/>
      <c r="D3" s="3875"/>
      <c r="E3" s="3875"/>
      <c r="F3" s="3875"/>
      <c r="G3" s="3875"/>
      <c r="H3" s="3875"/>
      <c r="I3" s="3875"/>
      <c r="J3" s="3875"/>
      <c r="K3" s="3875"/>
      <c r="L3" s="3875"/>
      <c r="M3" s="3875"/>
      <c r="N3" s="3875"/>
      <c r="O3" s="3875"/>
      <c r="P3" s="3875"/>
      <c r="Q3" s="3875"/>
      <c r="R3" s="3875"/>
      <c r="S3" s="3875"/>
      <c r="T3" s="3875"/>
      <c r="U3" s="3875"/>
      <c r="V3" s="3875"/>
      <c r="W3" s="3875"/>
      <c r="X3" s="3875"/>
      <c r="Y3" s="3875"/>
      <c r="AL3" s="71" t="s">
        <v>332</v>
      </c>
      <c r="AM3" s="1948" t="str">
        <f>IF(PreparedBy="","",PreparedBy)</f>
        <v/>
      </c>
      <c r="AN3" s="1949" t="str">
        <f>IF(DatePrepared="","",DatePrepared)</f>
        <v/>
      </c>
    </row>
    <row r="4" spans="1:45" s="32" customFormat="1" ht="17.25" customHeight="1">
      <c r="A4" s="45"/>
      <c r="B4" s="45"/>
      <c r="C4" s="45"/>
      <c r="D4" s="3875"/>
      <c r="E4" s="3875"/>
      <c r="F4" s="3875"/>
      <c r="G4" s="3875"/>
      <c r="H4" s="3875"/>
      <c r="I4" s="3875"/>
      <c r="J4" s="3875"/>
      <c r="K4" s="3875"/>
      <c r="L4" s="3875"/>
      <c r="M4" s="3875"/>
      <c r="N4" s="3875"/>
      <c r="O4" s="3875"/>
      <c r="P4" s="3875"/>
      <c r="Q4" s="3875"/>
      <c r="R4" s="3875"/>
      <c r="S4" s="3875"/>
      <c r="T4" s="3875"/>
      <c r="U4" s="3875"/>
      <c r="V4" s="3875"/>
      <c r="W4" s="3875"/>
      <c r="X4" s="3875"/>
      <c r="Y4" s="3875"/>
      <c r="AL4" s="71" t="s">
        <v>333</v>
      </c>
      <c r="AM4" s="1950"/>
      <c r="AN4" s="1951"/>
    </row>
    <row r="5" spans="1:45" s="32" customFormat="1" ht="3.95" customHeight="1">
      <c r="A5" s="45"/>
      <c r="B5" s="45"/>
      <c r="C5" s="45"/>
      <c r="D5" s="43"/>
      <c r="E5" s="43"/>
    </row>
    <row r="6" spans="1:45" ht="15.75">
      <c r="A6" s="3704" t="str">
        <f>'WP Index'!E19</f>
        <v>Tax Planning Summary - Avging and Non-Avging</v>
      </c>
      <c r="B6" s="3705"/>
      <c r="C6" s="3705"/>
      <c r="D6" s="3705"/>
      <c r="E6" s="3705"/>
      <c r="F6" s="3705"/>
      <c r="G6" s="3705"/>
      <c r="H6" s="3705"/>
      <c r="I6" s="3705"/>
      <c r="J6" s="3705"/>
      <c r="K6" s="3705"/>
      <c r="L6" s="3705"/>
      <c r="M6" s="3705"/>
      <c r="N6" s="3705"/>
      <c r="O6" s="3705"/>
      <c r="P6" s="3705"/>
      <c r="Q6" s="3705"/>
      <c r="R6" s="3705"/>
      <c r="S6" s="3705"/>
      <c r="T6" s="3705"/>
      <c r="U6" s="3705"/>
      <c r="V6" s="3705"/>
      <c r="W6" s="3705"/>
      <c r="X6" s="3705"/>
      <c r="Y6" s="3705"/>
      <c r="Z6" s="3705"/>
      <c r="AA6" s="3706"/>
      <c r="AB6" s="1221"/>
      <c r="AC6" s="1221"/>
      <c r="AD6" s="1221"/>
      <c r="AE6" s="1221"/>
      <c r="AF6" s="1221"/>
      <c r="AG6" s="1221"/>
      <c r="AH6" s="1221"/>
      <c r="AI6"/>
      <c r="AM6" s="130"/>
      <c r="AN6" s="130"/>
    </row>
    <row r="7" spans="1:45">
      <c r="A7" s="8"/>
      <c r="B7" s="8"/>
      <c r="C7" s="8"/>
      <c r="D7" s="8"/>
      <c r="E7" s="8"/>
      <c r="F7" s="8"/>
      <c r="G7" s="8"/>
      <c r="H7" s="8"/>
      <c r="I7" s="8"/>
      <c r="J7" s="1"/>
      <c r="K7" s="1"/>
      <c r="M7" s="1"/>
      <c r="Z7" s="1836"/>
      <c r="AA7" s="1836"/>
      <c r="AB7" s="1836"/>
      <c r="AM7" s="2330" t="s">
        <v>1039</v>
      </c>
    </row>
    <row r="8" spans="1:45" ht="15.75">
      <c r="A8" s="1167" t="str">
        <f>"CLIENT NAME:   "&amp;IF(ClientName="[ENTER CLIENT NAME]","",ClientName)</f>
        <v>CLIENT NAME:   Example Trust</v>
      </c>
      <c r="B8" s="8"/>
      <c r="C8" s="8"/>
      <c r="D8" s="8"/>
      <c r="E8" s="8"/>
      <c r="F8" s="8"/>
      <c r="G8" s="8"/>
      <c r="H8" s="8"/>
      <c r="I8" s="8"/>
      <c r="J8" s="1"/>
      <c r="K8" s="1"/>
      <c r="M8" s="1"/>
      <c r="Y8" s="8"/>
      <c r="Z8" s="8"/>
      <c r="AA8" s="8"/>
      <c r="AB8" s="8"/>
      <c r="AC8" s="8"/>
      <c r="AD8" s="8"/>
      <c r="AE8" s="8"/>
      <c r="AF8" s="8"/>
      <c r="AG8" s="8"/>
      <c r="AH8" s="8"/>
      <c r="AI8" s="8"/>
    </row>
    <row r="9" spans="1:45" hidden="1">
      <c r="A9" s="9" t="str">
        <f>"CLIENT CODE:   "&amp;'WP Index'!E4</f>
        <v>CLIENT CODE:   99999</v>
      </c>
      <c r="B9" s="8"/>
      <c r="C9" s="8"/>
      <c r="D9" s="8"/>
      <c r="E9" s="8"/>
      <c r="F9" s="8"/>
      <c r="G9" s="8"/>
      <c r="H9" s="8"/>
      <c r="I9" s="8"/>
      <c r="J9" s="1"/>
      <c r="K9" s="1"/>
      <c r="M9" s="1"/>
      <c r="Y9" s="47"/>
      <c r="Z9" s="47"/>
      <c r="AA9" s="47"/>
      <c r="AB9" s="47"/>
      <c r="AC9" s="47"/>
      <c r="AD9" s="47"/>
      <c r="AE9" s="47"/>
      <c r="AF9" s="47"/>
      <c r="AG9" s="47"/>
      <c r="AH9" s="47" t="str">
        <f>'WP Index'!F5</f>
        <v xml:space="preserve">PERIOD END: </v>
      </c>
      <c r="AI9" s="47">
        <f>'WP Index'!G5</f>
        <v>45473</v>
      </c>
    </row>
    <row r="10" spans="1:45" ht="13.5" thickBot="1"/>
    <row r="11" spans="1:45" ht="18">
      <c r="A11" s="3873"/>
      <c r="B11" s="3874"/>
      <c r="C11" s="3874"/>
      <c r="D11" s="3874"/>
      <c r="E11" s="2331"/>
      <c r="F11" s="2332"/>
      <c r="G11" s="2333"/>
      <c r="H11" s="2333"/>
      <c r="I11" s="2333"/>
      <c r="J11" s="2333"/>
      <c r="K11" s="2333"/>
      <c r="L11" s="2333"/>
      <c r="M11" s="2333"/>
      <c r="N11" s="2333"/>
      <c r="O11" s="2333"/>
      <c r="P11" s="2333"/>
      <c r="Q11" s="2333"/>
      <c r="R11" s="2333"/>
      <c r="S11" s="2333"/>
      <c r="T11" s="2333"/>
      <c r="U11" s="2333"/>
      <c r="V11" s="2333"/>
      <c r="W11" s="2333"/>
      <c r="X11" s="2333"/>
      <c r="Y11" s="2333"/>
      <c r="Z11" s="443"/>
      <c r="AA11" s="2334"/>
      <c r="AB11" s="2401"/>
      <c r="AC11" s="2401"/>
      <c r="AD11" s="2401"/>
      <c r="AE11" s="2401"/>
      <c r="AF11" s="2401"/>
      <c r="AG11" s="2401"/>
      <c r="AH11" s="2401"/>
      <c r="AI11" s="443"/>
      <c r="AS11" s="45" t="str">
        <f>'Standard Thresholds'!A6</f>
        <v>Resident</v>
      </c>
    </row>
    <row r="12" spans="1:45" ht="18" customHeight="1">
      <c r="A12" s="445"/>
      <c r="B12" s="446"/>
      <c r="C12" s="447" t="s">
        <v>1466</v>
      </c>
      <c r="D12" s="1936">
        <f ca="1">SUM(E78:AI78)</f>
        <v>0</v>
      </c>
      <c r="E12" s="2060" t="s">
        <v>2037</v>
      </c>
      <c r="F12" s="2060" t="s">
        <v>2037</v>
      </c>
      <c r="G12" s="2060" t="s">
        <v>2037</v>
      </c>
      <c r="H12" s="2060" t="s">
        <v>2037</v>
      </c>
      <c r="I12" s="2060" t="s">
        <v>2037</v>
      </c>
      <c r="J12" s="2060" t="s">
        <v>2037</v>
      </c>
      <c r="K12" s="2060" t="s">
        <v>2037</v>
      </c>
      <c r="L12" s="2060" t="s">
        <v>2037</v>
      </c>
      <c r="M12" s="2060" t="s">
        <v>2037</v>
      </c>
      <c r="N12" s="2060" t="s">
        <v>2037</v>
      </c>
      <c r="O12" s="130"/>
      <c r="P12" s="130"/>
      <c r="Q12" s="130"/>
      <c r="R12" s="130"/>
      <c r="S12" s="130"/>
      <c r="T12" s="130"/>
      <c r="U12" s="130"/>
      <c r="V12" s="130"/>
      <c r="W12" s="130"/>
      <c r="X12" s="130"/>
      <c r="Y12" s="130"/>
      <c r="Z12" s="444"/>
      <c r="AA12" s="2335"/>
      <c r="AB12" s="465"/>
      <c r="AC12" s="465"/>
      <c r="AD12" s="465"/>
      <c r="AE12" s="465"/>
      <c r="AF12" s="465"/>
      <c r="AG12" s="465"/>
      <c r="AH12" s="465"/>
      <c r="AI12" s="444"/>
      <c r="AS12" s="45" t="str">
        <f>'Standard Thresholds'!A18</f>
        <v>2023 FBT Rates</v>
      </c>
    </row>
    <row r="13" spans="1:45" ht="18.75" customHeight="1" thickBot="1">
      <c r="A13" s="445"/>
      <c r="B13" s="446"/>
      <c r="C13" s="447" t="s">
        <v>11</v>
      </c>
      <c r="D13" s="1937">
        <f ca="1">SUM(E91:AI91)</f>
        <v>0</v>
      </c>
      <c r="E13" s="2059" t="s">
        <v>1795</v>
      </c>
      <c r="F13" s="2059" t="s">
        <v>1795</v>
      </c>
      <c r="G13" s="2059" t="s">
        <v>1795</v>
      </c>
      <c r="H13" s="2059" t="s">
        <v>1795</v>
      </c>
      <c r="I13" s="2059" t="s">
        <v>1795</v>
      </c>
      <c r="J13" s="2059" t="s">
        <v>1795</v>
      </c>
      <c r="K13" s="2059" t="s">
        <v>1795</v>
      </c>
      <c r="L13" s="2059" t="s">
        <v>1795</v>
      </c>
      <c r="M13" s="2059" t="s">
        <v>1795</v>
      </c>
      <c r="N13" s="2059" t="s">
        <v>1795</v>
      </c>
      <c r="O13" s="2336" t="s">
        <v>1795</v>
      </c>
      <c r="P13" s="2336" t="s">
        <v>1795</v>
      </c>
      <c r="Q13" s="2336" t="s">
        <v>1795</v>
      </c>
      <c r="R13" s="2336" t="s">
        <v>1795</v>
      </c>
      <c r="S13" s="2336" t="s">
        <v>1795</v>
      </c>
      <c r="T13" s="2336" t="s">
        <v>1795</v>
      </c>
      <c r="U13" s="2336" t="s">
        <v>1795</v>
      </c>
      <c r="V13" s="2336" t="s">
        <v>1795</v>
      </c>
      <c r="W13" s="2336" t="s">
        <v>1795</v>
      </c>
      <c r="X13" s="2336" t="s">
        <v>1795</v>
      </c>
      <c r="Y13" s="2336" t="s">
        <v>1795</v>
      </c>
      <c r="Z13" s="2337" t="s">
        <v>1795</v>
      </c>
      <c r="AA13" s="2338" t="s">
        <v>1795</v>
      </c>
      <c r="AB13" s="2336" t="s">
        <v>1795</v>
      </c>
      <c r="AC13" s="2336" t="s">
        <v>1795</v>
      </c>
      <c r="AD13" s="2336" t="s">
        <v>1795</v>
      </c>
      <c r="AE13" s="2336" t="s">
        <v>1795</v>
      </c>
      <c r="AF13" s="2336" t="s">
        <v>1795</v>
      </c>
      <c r="AG13" s="2336" t="s">
        <v>1795</v>
      </c>
      <c r="AH13" s="2336" t="s">
        <v>1795</v>
      </c>
      <c r="AI13" s="2337" t="s">
        <v>1795</v>
      </c>
      <c r="AS13" s="45" t="e">
        <f>'Standard Thresholds'!#REF!</f>
        <v>#REF!</v>
      </c>
    </row>
    <row r="14" spans="1:45" ht="32.25" customHeight="1">
      <c r="A14" s="448"/>
      <c r="B14" s="449"/>
      <c r="C14" s="447" t="s">
        <v>1467</v>
      </c>
      <c r="D14" s="1938">
        <f ca="1">B47+B91</f>
        <v>0</v>
      </c>
      <c r="E14" s="1941" t="s">
        <v>9</v>
      </c>
      <c r="F14" s="1941" t="s">
        <v>1469</v>
      </c>
      <c r="G14" s="1941" t="s">
        <v>1470</v>
      </c>
      <c r="H14" s="1941" t="s">
        <v>1471</v>
      </c>
      <c r="I14" s="1941" t="s">
        <v>1472</v>
      </c>
      <c r="J14" s="1941" t="s">
        <v>1473</v>
      </c>
      <c r="K14" s="1941" t="s">
        <v>1474</v>
      </c>
      <c r="L14" s="1941" t="s">
        <v>1475</v>
      </c>
      <c r="M14" s="1941" t="s">
        <v>100</v>
      </c>
      <c r="N14" s="1941" t="s">
        <v>101</v>
      </c>
      <c r="O14" s="1939" t="s">
        <v>90</v>
      </c>
      <c r="P14" s="1939" t="s">
        <v>91</v>
      </c>
      <c r="Q14" s="1939" t="s">
        <v>92</v>
      </c>
      <c r="R14" s="1939" t="s">
        <v>93</v>
      </c>
      <c r="S14" s="1939" t="s">
        <v>94</v>
      </c>
      <c r="T14" s="1939" t="s">
        <v>95</v>
      </c>
      <c r="U14" s="1939" t="s">
        <v>96</v>
      </c>
      <c r="V14" s="1939" t="s">
        <v>97</v>
      </c>
      <c r="W14" s="1939" t="s">
        <v>98</v>
      </c>
      <c r="X14" s="1939" t="s">
        <v>99</v>
      </c>
      <c r="Y14" s="1939" t="s">
        <v>10</v>
      </c>
      <c r="Z14" s="2339" t="s">
        <v>2062</v>
      </c>
      <c r="AA14" s="2340" t="s">
        <v>2063</v>
      </c>
      <c r="AB14" s="1940" t="s">
        <v>2064</v>
      </c>
      <c r="AC14" s="1940" t="s">
        <v>2065</v>
      </c>
      <c r="AD14" s="1940" t="s">
        <v>2066</v>
      </c>
      <c r="AE14" s="1940" t="s">
        <v>2067</v>
      </c>
      <c r="AF14" s="1940" t="s">
        <v>2068</v>
      </c>
      <c r="AG14" s="1940" t="s">
        <v>2069</v>
      </c>
      <c r="AH14" s="1940" t="s">
        <v>2070</v>
      </c>
      <c r="AI14" s="2339" t="s">
        <v>2071</v>
      </c>
      <c r="AP14" s="931" t="s">
        <v>1286</v>
      </c>
    </row>
    <row r="15" spans="1:45" ht="0.75" customHeight="1" thickBot="1">
      <c r="A15" s="448"/>
      <c r="B15" s="130"/>
      <c r="C15" s="450"/>
      <c r="D15" s="130"/>
      <c r="E15" s="1905">
        <f ca="1">IF(CELL("width",E15)=0,"",MAX($D$15:D15)+1)</f>
        <v>1</v>
      </c>
      <c r="F15" s="1905">
        <f ca="1">IF(CELL("width",F15)=0,"",MAX($D$15:E15)+1)</f>
        <v>2</v>
      </c>
      <c r="G15" s="1905">
        <f ca="1">IF(CELL("width",G15)=0,"",MAX($D$15:F15)+1)</f>
        <v>3</v>
      </c>
      <c r="H15" s="1905">
        <f ca="1">IF(CELL("width",H15)=0,"",MAX($D$15:G15)+1)</f>
        <v>4</v>
      </c>
      <c r="I15" s="1905" t="str">
        <f ca="1">IF(CELL("width",I15)=0,"",MAX($D$15:H15)+1)</f>
        <v/>
      </c>
      <c r="J15" s="1905" t="str">
        <f ca="1">IF(CELL("width",J15)=0,"",MAX($D$15:I15)+1)</f>
        <v/>
      </c>
      <c r="K15" s="1905" t="str">
        <f ca="1">IF(CELL("width",K15)=0,"",MAX($D$15:J15)+1)</f>
        <v/>
      </c>
      <c r="L15" s="1905" t="str">
        <f ca="1">IF(CELL("width",L15)=0,"",MAX($D$15:K15)+1)</f>
        <v/>
      </c>
      <c r="M15" s="1905" t="str">
        <f ca="1">IF(CELL("width",M15)=0,"",MAX($D$15:L15)+1)</f>
        <v/>
      </c>
      <c r="N15" s="1905" t="str">
        <f ca="1">IF(CELL("width",N15)=0,"",MAX($D$15:M15)+1)</f>
        <v/>
      </c>
      <c r="O15" s="905">
        <f ca="1">IF(CELL("width",O15)=0,"",MAX($D$15:N15)+1)</f>
        <v>5</v>
      </c>
      <c r="P15" s="905" t="str">
        <f ca="1">IF(CELL("width",P15)=0,"",MAX($D$15:O15)+1)</f>
        <v/>
      </c>
      <c r="Q15" s="905" t="str">
        <f ca="1">IF(CELL("width",Q15)=0,"",MAX($D$15:P15)+1)</f>
        <v/>
      </c>
      <c r="R15" s="905" t="str">
        <f ca="1">IF(CELL("width",R15)=0,"",MAX($D$15:Q15)+1)</f>
        <v/>
      </c>
      <c r="S15" s="905" t="str">
        <f ca="1">IF(CELL("width",S15)=0,"",MAX($D$15:R15)+1)</f>
        <v/>
      </c>
      <c r="T15" s="905" t="str">
        <f ca="1">IF(CELL("width",T15)=0,"",MAX($D$15:S15)+1)</f>
        <v/>
      </c>
      <c r="U15" s="905" t="str">
        <f ca="1">IF(CELL("width",U15)=0,"",MAX($D$15:T15)+1)</f>
        <v/>
      </c>
      <c r="V15" s="905" t="str">
        <f ca="1">IF(CELL("width",V15)=0,"",MAX($D$15:U15)+1)</f>
        <v/>
      </c>
      <c r="W15" s="905" t="str">
        <f ca="1">IF(CELL("width",W15)=0,"",MAX($D$15:V15)+1)</f>
        <v/>
      </c>
      <c r="X15" s="905" t="str">
        <f ca="1">IF(CELL("width",X15)=0,"",MAX($D$15:W15)+1)</f>
        <v/>
      </c>
      <c r="Y15" s="905">
        <f ca="1">IF(CELL("width",Y15)=0,"",MAX($D$15:X15)+1)</f>
        <v>6</v>
      </c>
      <c r="Z15" s="2341">
        <f ca="1">IF(CELL("width",Z15)=0,"",MAX($D$15:Y15)+1)</f>
        <v>7</v>
      </c>
      <c r="AA15" s="2342" t="str">
        <f ca="1">IF(CELL("width",AA15)=0,"",MAX($D$15:Z15)+1)</f>
        <v/>
      </c>
      <c r="AB15" s="1175" t="str">
        <f ca="1">IF(CELL("width",AB15)=0,"",MAX($D$15:AA15)+1)</f>
        <v/>
      </c>
      <c r="AC15" s="1175" t="str">
        <f ca="1">IF(CELL("width",AC15)=0,"",MAX($D$15:AB15)+1)</f>
        <v/>
      </c>
      <c r="AD15" s="1175" t="str">
        <f ca="1">IF(CELL("width",AD15)=0,"",MAX($D$15:AC15)+1)</f>
        <v/>
      </c>
      <c r="AE15" s="1175" t="str">
        <f ca="1">IF(CELL("width",AE15)=0,"",MAX($D$15:AD15)+1)</f>
        <v/>
      </c>
      <c r="AF15" s="1175" t="str">
        <f ca="1">IF(CELL("width",AF15)=0,"",MAX($D$15:AE15)+1)</f>
        <v/>
      </c>
      <c r="AG15" s="1175" t="str">
        <f ca="1">IF(CELL("width",AG15)=0,"",MAX($D$15:AF15)+1)</f>
        <v/>
      </c>
      <c r="AH15" s="1175" t="str">
        <f ca="1">IF(CELL("width",AH15)=0,"",MAX($D$15:AG15)+1)</f>
        <v/>
      </c>
      <c r="AI15" s="1168" t="str">
        <f ca="1">IF(CELL("width",AI15)=0,"",MAX($D$15:AH15)+1)</f>
        <v/>
      </c>
    </row>
    <row r="16" spans="1:45" ht="15.75" customHeight="1" thickBot="1">
      <c r="A16" s="448"/>
      <c r="B16" s="130"/>
      <c r="C16" s="450"/>
      <c r="D16" s="71" t="s">
        <v>1780</v>
      </c>
      <c r="E16" s="1945"/>
      <c r="F16" s="1942"/>
      <c r="G16" s="1942"/>
      <c r="H16" s="1942"/>
      <c r="I16" s="1942"/>
      <c r="J16" s="1942"/>
      <c r="K16" s="1942"/>
      <c r="L16" s="1942"/>
      <c r="M16" s="1942"/>
      <c r="N16" s="1942"/>
      <c r="O16" s="913"/>
      <c r="P16" s="913"/>
      <c r="Q16" s="913"/>
      <c r="R16" s="913"/>
      <c r="S16" s="913"/>
      <c r="T16" s="913"/>
      <c r="U16" s="913"/>
      <c r="V16" s="913"/>
      <c r="W16" s="913"/>
      <c r="X16" s="913"/>
      <c r="Y16" s="913"/>
      <c r="Z16" s="2343"/>
      <c r="AA16" s="2344"/>
      <c r="AB16" s="1176"/>
      <c r="AC16" s="1176"/>
      <c r="AD16" s="1176"/>
      <c r="AE16" s="1176"/>
      <c r="AF16" s="1176"/>
      <c r="AG16" s="1176"/>
      <c r="AH16" s="1176"/>
      <c r="AI16" s="1169"/>
    </row>
    <row r="17" spans="1:40" ht="15.75" customHeight="1">
      <c r="A17" s="448"/>
      <c r="B17" s="130"/>
      <c r="C17" s="450"/>
      <c r="D17" s="71" t="s">
        <v>1781</v>
      </c>
      <c r="E17" s="1943" t="str">
        <f t="shared" ref="E17:N17" si="0">IF(E16="","",IF(MONTH(Period_End)&gt;MONTH(E16),YEAR(Period_End)-YEAR(E16),IF(AND(MONTH(Period_End)=MONTH(E16),DAY(Period_End)&gt;=DAY(E16)),YEAR(Period_End)-YEAR(E16),(YEAR(Period_End)-YEAR(E16)-1))))</f>
        <v/>
      </c>
      <c r="F17" s="1943" t="str">
        <f t="shared" si="0"/>
        <v/>
      </c>
      <c r="G17" s="1943" t="str">
        <f t="shared" si="0"/>
        <v/>
      </c>
      <c r="H17" s="1943" t="str">
        <f t="shared" si="0"/>
        <v/>
      </c>
      <c r="I17" s="1943" t="str">
        <f t="shared" si="0"/>
        <v/>
      </c>
      <c r="J17" s="1943" t="str">
        <f t="shared" si="0"/>
        <v/>
      </c>
      <c r="K17" s="1943" t="str">
        <f t="shared" si="0"/>
        <v/>
      </c>
      <c r="L17" s="1943" t="str">
        <f t="shared" si="0"/>
        <v/>
      </c>
      <c r="M17" s="1943" t="str">
        <f t="shared" si="0"/>
        <v/>
      </c>
      <c r="N17" s="1943" t="str">
        <f t="shared" si="0"/>
        <v/>
      </c>
      <c r="O17" s="913"/>
      <c r="P17" s="913"/>
      <c r="Q17" s="913"/>
      <c r="R17" s="913"/>
      <c r="S17" s="913"/>
      <c r="T17" s="913"/>
      <c r="U17" s="913"/>
      <c r="V17" s="913"/>
      <c r="W17" s="913"/>
      <c r="X17" s="913"/>
      <c r="Y17" s="913"/>
      <c r="Z17" s="2345"/>
      <c r="AA17" s="2344"/>
      <c r="AB17" s="1176"/>
      <c r="AC17" s="1176"/>
      <c r="AD17" s="1176"/>
      <c r="AE17" s="1176"/>
      <c r="AF17" s="1176"/>
      <c r="AG17" s="1176"/>
      <c r="AH17" s="1176"/>
      <c r="AI17" s="1169"/>
    </row>
    <row r="18" spans="1:40" ht="13.5" customHeight="1">
      <c r="A18" s="431"/>
      <c r="B18" s="130"/>
      <c r="C18" s="459"/>
      <c r="D18" s="459" t="s">
        <v>209</v>
      </c>
      <c r="E18" s="914"/>
      <c r="F18" s="914"/>
      <c r="G18" s="914"/>
      <c r="H18" s="914"/>
      <c r="I18" s="914"/>
      <c r="J18" s="915"/>
      <c r="K18" s="915"/>
      <c r="L18" s="915"/>
      <c r="M18" s="915"/>
      <c r="N18" s="915"/>
      <c r="O18" s="915"/>
      <c r="P18" s="915"/>
      <c r="Q18" s="915"/>
      <c r="R18" s="915"/>
      <c r="S18" s="915"/>
      <c r="T18" s="915"/>
      <c r="U18" s="915"/>
      <c r="V18" s="915"/>
      <c r="W18" s="915"/>
      <c r="X18" s="915"/>
      <c r="Y18" s="915"/>
      <c r="Z18" s="2346"/>
      <c r="AA18" s="2347"/>
      <c r="AB18" s="1177"/>
      <c r="AC18" s="1177"/>
      <c r="AD18" s="1177"/>
      <c r="AE18" s="1177"/>
      <c r="AF18" s="1177"/>
      <c r="AG18" s="1177"/>
      <c r="AH18" s="1177"/>
      <c r="AI18" s="1170"/>
    </row>
    <row r="19" spans="1:40" ht="15" customHeight="1">
      <c r="A19" s="431"/>
      <c r="B19" s="130"/>
      <c r="C19" s="1519"/>
      <c r="D19" s="2348" t="s">
        <v>1476</v>
      </c>
      <c r="E19" s="1944">
        <v>0</v>
      </c>
      <c r="F19" s="1944">
        <v>0</v>
      </c>
      <c r="G19" s="1944">
        <v>0</v>
      </c>
      <c r="H19" s="1944">
        <v>0</v>
      </c>
      <c r="I19" s="1944">
        <v>0</v>
      </c>
      <c r="J19" s="1944">
        <v>0</v>
      </c>
      <c r="K19" s="1944">
        <v>0</v>
      </c>
      <c r="L19" s="1944">
        <v>0</v>
      </c>
      <c r="M19" s="1944">
        <v>0</v>
      </c>
      <c r="N19" s="1944">
        <v>0</v>
      </c>
      <c r="O19" s="510"/>
      <c r="P19" s="510"/>
      <c r="Q19" s="510"/>
      <c r="R19" s="510"/>
      <c r="S19" s="510"/>
      <c r="T19" s="510"/>
      <c r="U19" s="510"/>
      <c r="V19" s="510"/>
      <c r="W19" s="510"/>
      <c r="X19" s="510"/>
      <c r="Y19" s="510"/>
      <c r="Z19" s="2349"/>
      <c r="AA19" s="2350"/>
      <c r="AB19" s="510"/>
      <c r="AC19" s="510"/>
      <c r="AD19" s="510"/>
      <c r="AE19" s="510"/>
      <c r="AF19" s="510"/>
      <c r="AG19" s="510"/>
      <c r="AH19" s="510"/>
      <c r="AI19" s="519"/>
    </row>
    <row r="20" spans="1:40" ht="15" customHeight="1">
      <c r="A20" s="431"/>
      <c r="B20" s="130"/>
      <c r="C20" s="1519"/>
      <c r="D20" s="1519" t="s">
        <v>1790</v>
      </c>
      <c r="E20" s="130"/>
      <c r="F20" s="130"/>
      <c r="G20" s="130"/>
      <c r="H20" s="130"/>
      <c r="I20" s="130"/>
      <c r="J20" s="130"/>
      <c r="K20" s="130"/>
      <c r="L20" s="130"/>
      <c r="M20" s="130"/>
      <c r="N20" s="130"/>
      <c r="O20" s="510"/>
      <c r="P20" s="510"/>
      <c r="Q20" s="510"/>
      <c r="R20" s="510"/>
      <c r="S20" s="510"/>
      <c r="T20" s="510"/>
      <c r="U20" s="510"/>
      <c r="V20" s="510"/>
      <c r="W20" s="510"/>
      <c r="X20" s="510"/>
      <c r="Y20" s="510"/>
      <c r="Z20" s="1947"/>
      <c r="AA20" s="2351">
        <v>0</v>
      </c>
      <c r="AB20" s="1944">
        <v>0</v>
      </c>
      <c r="AC20" s="1944">
        <v>0</v>
      </c>
      <c r="AD20" s="1944">
        <v>0</v>
      </c>
      <c r="AE20" s="1944">
        <v>0</v>
      </c>
      <c r="AF20" s="1944">
        <v>0</v>
      </c>
      <c r="AG20" s="1944">
        <v>0</v>
      </c>
      <c r="AH20" s="1944">
        <v>0</v>
      </c>
      <c r="AI20" s="1947">
        <v>0</v>
      </c>
    </row>
    <row r="21" spans="1:40" ht="15" customHeight="1">
      <c r="A21" s="431"/>
      <c r="B21" s="130"/>
      <c r="C21" s="1519"/>
      <c r="D21" s="1519" t="s">
        <v>1477</v>
      </c>
      <c r="E21" s="1944">
        <v>0</v>
      </c>
      <c r="F21" s="1944">
        <v>0</v>
      </c>
      <c r="G21" s="1944">
        <v>0</v>
      </c>
      <c r="H21" s="1944">
        <v>0</v>
      </c>
      <c r="I21" s="1944">
        <v>0</v>
      </c>
      <c r="J21" s="1944">
        <v>0</v>
      </c>
      <c r="K21" s="1944">
        <v>0</v>
      </c>
      <c r="L21" s="1944">
        <v>0</v>
      </c>
      <c r="M21" s="1944">
        <v>0</v>
      </c>
      <c r="N21" s="1944">
        <v>0</v>
      </c>
      <c r="O21" s="510"/>
      <c r="P21" s="510"/>
      <c r="Q21" s="510"/>
      <c r="R21" s="510"/>
      <c r="S21" s="510"/>
      <c r="T21" s="510"/>
      <c r="U21" s="510"/>
      <c r="V21" s="510"/>
      <c r="W21" s="510"/>
      <c r="X21" s="510"/>
      <c r="Y21" s="510"/>
      <c r="Z21" s="1947">
        <v>0</v>
      </c>
      <c r="AA21" s="2351">
        <v>0</v>
      </c>
      <c r="AB21" s="1944">
        <v>0</v>
      </c>
      <c r="AC21" s="1944">
        <v>0</v>
      </c>
      <c r="AD21" s="1944">
        <v>0</v>
      </c>
      <c r="AE21" s="1944">
        <v>0</v>
      </c>
      <c r="AF21" s="1944">
        <v>0</v>
      </c>
      <c r="AG21" s="1944">
        <v>0</v>
      </c>
      <c r="AH21" s="1944">
        <v>0</v>
      </c>
      <c r="AI21" s="1947">
        <v>0</v>
      </c>
    </row>
    <row r="22" spans="1:40" ht="15" customHeight="1">
      <c r="A22" s="431"/>
      <c r="B22" s="130"/>
      <c r="C22" s="1519"/>
      <c r="D22" s="1519" t="s">
        <v>1775</v>
      </c>
      <c r="E22" s="1944">
        <v>0</v>
      </c>
      <c r="F22" s="1944">
        <v>0</v>
      </c>
      <c r="G22" s="1944">
        <v>0</v>
      </c>
      <c r="H22" s="1944"/>
      <c r="I22" s="1944">
        <v>0</v>
      </c>
      <c r="J22" s="1944">
        <v>0</v>
      </c>
      <c r="K22" s="1944">
        <v>0</v>
      </c>
      <c r="L22" s="1944">
        <v>0</v>
      </c>
      <c r="M22" s="1944">
        <v>0</v>
      </c>
      <c r="N22" s="1944">
        <v>0</v>
      </c>
      <c r="O22" s="510"/>
      <c r="P22" s="510"/>
      <c r="Q22" s="510"/>
      <c r="R22" s="510"/>
      <c r="S22" s="510"/>
      <c r="T22" s="510"/>
      <c r="U22" s="510"/>
      <c r="V22" s="510"/>
      <c r="W22" s="510"/>
      <c r="X22" s="510"/>
      <c r="Y22" s="510"/>
      <c r="Z22" s="1947">
        <v>0</v>
      </c>
      <c r="AA22" s="2351">
        <v>0</v>
      </c>
      <c r="AB22" s="1944">
        <v>0</v>
      </c>
      <c r="AC22" s="1944">
        <v>0</v>
      </c>
      <c r="AD22" s="1944">
        <v>0</v>
      </c>
      <c r="AE22" s="1944">
        <v>0</v>
      </c>
      <c r="AF22" s="1944">
        <v>0</v>
      </c>
      <c r="AG22" s="1944">
        <v>0</v>
      </c>
      <c r="AH22" s="1944">
        <v>0</v>
      </c>
      <c r="AI22" s="1947">
        <v>0</v>
      </c>
    </row>
    <row r="23" spans="1:40" ht="15" customHeight="1">
      <c r="A23" s="431"/>
      <c r="B23" s="130"/>
      <c r="C23" s="1519"/>
      <c r="D23" s="2352" t="s">
        <v>202</v>
      </c>
      <c r="E23" s="1944">
        <v>0</v>
      </c>
      <c r="F23" s="1944">
        <v>0</v>
      </c>
      <c r="G23" s="1944">
        <v>0</v>
      </c>
      <c r="H23" s="1944">
        <v>0</v>
      </c>
      <c r="I23" s="1944">
        <v>0</v>
      </c>
      <c r="J23" s="1944">
        <v>0</v>
      </c>
      <c r="K23" s="1944">
        <v>0</v>
      </c>
      <c r="L23" s="1944">
        <v>0</v>
      </c>
      <c r="M23" s="1944">
        <v>0</v>
      </c>
      <c r="N23" s="1944">
        <v>0</v>
      </c>
      <c r="O23" s="511"/>
      <c r="P23" s="511"/>
      <c r="Q23" s="511"/>
      <c r="R23" s="511"/>
      <c r="S23" s="511"/>
      <c r="T23" s="511"/>
      <c r="U23" s="511"/>
      <c r="V23" s="511"/>
      <c r="W23" s="511"/>
      <c r="X23" s="511"/>
      <c r="Y23" s="511"/>
      <c r="Z23" s="2353"/>
      <c r="AA23" s="2354"/>
      <c r="AB23" s="511"/>
      <c r="AC23" s="511"/>
      <c r="AD23" s="511"/>
      <c r="AE23" s="511"/>
      <c r="AF23" s="511"/>
      <c r="AG23" s="511"/>
      <c r="AH23" s="511"/>
      <c r="AI23" s="1171"/>
      <c r="AN23" s="125"/>
    </row>
    <row r="24" spans="1:40" ht="15" customHeight="1">
      <c r="A24" s="431"/>
      <c r="B24" s="130"/>
      <c r="C24" s="1519"/>
      <c r="D24" s="2348" t="s">
        <v>1272</v>
      </c>
      <c r="E24" s="1944">
        <v>0</v>
      </c>
      <c r="F24" s="1944">
        <v>0</v>
      </c>
      <c r="G24" s="1944">
        <v>0</v>
      </c>
      <c r="H24" s="1944">
        <v>0</v>
      </c>
      <c r="I24" s="1944">
        <v>0</v>
      </c>
      <c r="J24" s="1944">
        <v>0</v>
      </c>
      <c r="K24" s="1944">
        <v>0</v>
      </c>
      <c r="L24" s="1944">
        <v>0</v>
      </c>
      <c r="M24" s="1944">
        <v>0</v>
      </c>
      <c r="N24" s="1944">
        <v>0</v>
      </c>
      <c r="O24" s="1944"/>
      <c r="P24" s="1944">
        <v>0</v>
      </c>
      <c r="Q24" s="1944">
        <v>0</v>
      </c>
      <c r="R24" s="1944">
        <v>0</v>
      </c>
      <c r="S24" s="1944">
        <v>0</v>
      </c>
      <c r="T24" s="1944">
        <v>0</v>
      </c>
      <c r="U24" s="1944">
        <v>0</v>
      </c>
      <c r="V24" s="1944">
        <v>0</v>
      </c>
      <c r="W24" s="1944">
        <v>0</v>
      </c>
      <c r="X24" s="1944">
        <v>0</v>
      </c>
      <c r="Y24" s="1944"/>
      <c r="Z24" s="1947">
        <v>0</v>
      </c>
      <c r="AA24" s="2351">
        <v>0</v>
      </c>
      <c r="AB24" s="1944">
        <v>0</v>
      </c>
      <c r="AC24" s="1944">
        <v>0</v>
      </c>
      <c r="AD24" s="1944">
        <v>0</v>
      </c>
      <c r="AE24" s="1944">
        <v>0</v>
      </c>
      <c r="AF24" s="1944">
        <v>0</v>
      </c>
      <c r="AG24" s="1944">
        <v>0</v>
      </c>
      <c r="AH24" s="1944">
        <v>0</v>
      </c>
      <c r="AI24" s="1946">
        <v>0</v>
      </c>
      <c r="AN24" s="125"/>
    </row>
    <row r="25" spans="1:40" ht="15" customHeight="1">
      <c r="A25" s="2355"/>
      <c r="B25" s="1519"/>
      <c r="C25" s="1519"/>
      <c r="D25" s="453" t="s">
        <v>1478</v>
      </c>
      <c r="E25" s="1944">
        <v>0</v>
      </c>
      <c r="F25" s="1944">
        <v>0</v>
      </c>
      <c r="G25" s="1944">
        <v>0</v>
      </c>
      <c r="H25" s="1944">
        <v>0</v>
      </c>
      <c r="I25" s="1944">
        <v>0</v>
      </c>
      <c r="J25" s="1944">
        <v>0</v>
      </c>
      <c r="K25" s="1944">
        <v>0</v>
      </c>
      <c r="L25" s="1944">
        <v>0</v>
      </c>
      <c r="M25" s="1944">
        <v>0</v>
      </c>
      <c r="N25" s="1944">
        <v>0</v>
      </c>
      <c r="O25" s="1944">
        <v>0</v>
      </c>
      <c r="P25" s="1944">
        <v>0</v>
      </c>
      <c r="Q25" s="1944">
        <v>0</v>
      </c>
      <c r="R25" s="1944">
        <v>0</v>
      </c>
      <c r="S25" s="1944">
        <v>0</v>
      </c>
      <c r="T25" s="1944">
        <v>0</v>
      </c>
      <c r="U25" s="1944">
        <v>0</v>
      </c>
      <c r="V25" s="1944">
        <v>0</v>
      </c>
      <c r="W25" s="1944">
        <v>0</v>
      </c>
      <c r="X25" s="1944">
        <v>0</v>
      </c>
      <c r="Y25" s="1944">
        <v>0</v>
      </c>
      <c r="Z25" s="1947">
        <v>0</v>
      </c>
      <c r="AA25" s="2351">
        <v>0</v>
      </c>
      <c r="AB25" s="1944">
        <v>0</v>
      </c>
      <c r="AC25" s="1944">
        <v>0</v>
      </c>
      <c r="AD25" s="1944">
        <v>0</v>
      </c>
      <c r="AE25" s="1944">
        <v>0</v>
      </c>
      <c r="AF25" s="1944">
        <v>0</v>
      </c>
      <c r="AG25" s="1944">
        <v>0</v>
      </c>
      <c r="AH25" s="1944">
        <v>0</v>
      </c>
      <c r="AI25" s="1946">
        <v>0</v>
      </c>
    </row>
    <row r="26" spans="1:40" ht="15" customHeight="1">
      <c r="A26" s="2355"/>
      <c r="B26" s="1519"/>
      <c r="C26" s="1519"/>
      <c r="D26" s="456" t="s">
        <v>1479</v>
      </c>
      <c r="E26" s="1944">
        <v>0</v>
      </c>
      <c r="F26" s="1944">
        <v>0</v>
      </c>
      <c r="G26" s="1944">
        <v>0</v>
      </c>
      <c r="H26" s="1944">
        <v>0</v>
      </c>
      <c r="I26" s="1944">
        <v>0</v>
      </c>
      <c r="J26" s="1944">
        <v>0</v>
      </c>
      <c r="K26" s="1944">
        <v>0</v>
      </c>
      <c r="L26" s="1944">
        <v>0</v>
      </c>
      <c r="M26" s="1944">
        <v>0</v>
      </c>
      <c r="N26" s="1944">
        <v>0</v>
      </c>
      <c r="O26" s="1944">
        <v>0</v>
      </c>
      <c r="P26" s="1944">
        <v>0</v>
      </c>
      <c r="Q26" s="1944">
        <v>0</v>
      </c>
      <c r="R26" s="1944">
        <v>0</v>
      </c>
      <c r="S26" s="1944">
        <v>0</v>
      </c>
      <c r="T26" s="1944">
        <v>0</v>
      </c>
      <c r="U26" s="1944">
        <v>0</v>
      </c>
      <c r="V26" s="1944">
        <v>0</v>
      </c>
      <c r="W26" s="1944">
        <v>0</v>
      </c>
      <c r="X26" s="1944">
        <v>0</v>
      </c>
      <c r="Y26" s="1944">
        <v>0</v>
      </c>
      <c r="Z26" s="1947">
        <v>0</v>
      </c>
      <c r="AA26" s="2351">
        <v>0</v>
      </c>
      <c r="AB26" s="1944">
        <v>0</v>
      </c>
      <c r="AC26" s="1944">
        <v>0</v>
      </c>
      <c r="AD26" s="1944">
        <v>0</v>
      </c>
      <c r="AE26" s="1944">
        <v>0</v>
      </c>
      <c r="AF26" s="1944">
        <v>0</v>
      </c>
      <c r="AG26" s="1944">
        <v>0</v>
      </c>
      <c r="AH26" s="1944">
        <v>0</v>
      </c>
      <c r="AI26" s="1946">
        <v>0</v>
      </c>
    </row>
    <row r="27" spans="1:40" ht="15" customHeight="1">
      <c r="A27" s="451"/>
      <c r="B27" s="452"/>
      <c r="C27" s="452"/>
      <c r="D27" s="453" t="s">
        <v>1480</v>
      </c>
      <c r="E27" s="512">
        <f t="shared" ref="E27:AI27" si="1">(E26/0.7)*0.3</f>
        <v>0</v>
      </c>
      <c r="F27" s="512">
        <f t="shared" ref="F27" si="2">(F26/0.7)*0.3</f>
        <v>0</v>
      </c>
      <c r="G27" s="512">
        <f t="shared" si="1"/>
        <v>0</v>
      </c>
      <c r="H27" s="512">
        <f t="shared" si="1"/>
        <v>0</v>
      </c>
      <c r="I27" s="512">
        <f t="shared" si="1"/>
        <v>0</v>
      </c>
      <c r="J27" s="512">
        <f t="shared" si="1"/>
        <v>0</v>
      </c>
      <c r="K27" s="512">
        <f t="shared" si="1"/>
        <v>0</v>
      </c>
      <c r="L27" s="512">
        <f t="shared" si="1"/>
        <v>0</v>
      </c>
      <c r="M27" s="512">
        <f t="shared" ref="M27:V27" si="3">(M26/0.7)*0.3</f>
        <v>0</v>
      </c>
      <c r="N27" s="512">
        <f t="shared" si="3"/>
        <v>0</v>
      </c>
      <c r="O27" s="512">
        <f t="shared" si="3"/>
        <v>0</v>
      </c>
      <c r="P27" s="512">
        <f t="shared" si="3"/>
        <v>0</v>
      </c>
      <c r="Q27" s="512">
        <f t="shared" si="3"/>
        <v>0</v>
      </c>
      <c r="R27" s="512">
        <f t="shared" si="3"/>
        <v>0</v>
      </c>
      <c r="S27" s="512">
        <f>(S26/0.7)*0.3</f>
        <v>0</v>
      </c>
      <c r="T27" s="512">
        <f t="shared" si="3"/>
        <v>0</v>
      </c>
      <c r="U27" s="512">
        <f t="shared" si="3"/>
        <v>0</v>
      </c>
      <c r="V27" s="512">
        <f t="shared" si="3"/>
        <v>0</v>
      </c>
      <c r="W27" s="512">
        <f t="shared" si="1"/>
        <v>0</v>
      </c>
      <c r="X27" s="512">
        <f t="shared" si="1"/>
        <v>0</v>
      </c>
      <c r="Y27" s="512">
        <f t="shared" si="1"/>
        <v>0</v>
      </c>
      <c r="Z27" s="1543">
        <f>(Z26/0.7)*0.3</f>
        <v>0</v>
      </c>
      <c r="AA27" s="2356">
        <f t="shared" si="1"/>
        <v>0</v>
      </c>
      <c r="AB27" s="512">
        <f t="shared" si="1"/>
        <v>0</v>
      </c>
      <c r="AC27" s="512">
        <f t="shared" si="1"/>
        <v>0</v>
      </c>
      <c r="AD27" s="512">
        <f t="shared" si="1"/>
        <v>0</v>
      </c>
      <c r="AE27" s="512">
        <f t="shared" si="1"/>
        <v>0</v>
      </c>
      <c r="AF27" s="512">
        <f t="shared" si="1"/>
        <v>0</v>
      </c>
      <c r="AG27" s="512">
        <f t="shared" si="1"/>
        <v>0</v>
      </c>
      <c r="AH27" s="512">
        <f t="shared" si="1"/>
        <v>0</v>
      </c>
      <c r="AI27" s="1543">
        <f t="shared" si="1"/>
        <v>0</v>
      </c>
    </row>
    <row r="28" spans="1:40" ht="15" customHeight="1">
      <c r="A28" s="2355"/>
      <c r="B28" s="1519"/>
      <c r="C28" s="1519"/>
      <c r="D28" s="1525" t="s">
        <v>1995</v>
      </c>
      <c r="E28" s="1944"/>
      <c r="F28" s="1944">
        <v>0</v>
      </c>
      <c r="G28" s="1944">
        <v>0</v>
      </c>
      <c r="H28" s="1944">
        <v>0</v>
      </c>
      <c r="I28" s="1944">
        <v>0</v>
      </c>
      <c r="J28" s="1944">
        <v>0</v>
      </c>
      <c r="K28" s="1944">
        <v>0</v>
      </c>
      <c r="L28" s="1944">
        <v>0</v>
      </c>
      <c r="M28" s="1944">
        <v>0</v>
      </c>
      <c r="N28" s="1944">
        <v>0</v>
      </c>
      <c r="O28" s="1944">
        <v>0</v>
      </c>
      <c r="P28" s="1944">
        <v>0</v>
      </c>
      <c r="Q28" s="1944">
        <v>0</v>
      </c>
      <c r="R28" s="1944">
        <v>0</v>
      </c>
      <c r="S28" s="1944">
        <v>0</v>
      </c>
      <c r="T28" s="1944">
        <v>0</v>
      </c>
      <c r="U28" s="1944">
        <v>0</v>
      </c>
      <c r="V28" s="1944">
        <v>0</v>
      </c>
      <c r="W28" s="1944">
        <v>0</v>
      </c>
      <c r="X28" s="1944">
        <v>0</v>
      </c>
      <c r="Y28" s="1944">
        <v>0</v>
      </c>
      <c r="Z28" s="1947">
        <v>0</v>
      </c>
      <c r="AA28" s="2351">
        <v>0</v>
      </c>
      <c r="AB28" s="1944">
        <v>0</v>
      </c>
      <c r="AC28" s="1944">
        <v>0</v>
      </c>
      <c r="AD28" s="1944">
        <v>0</v>
      </c>
      <c r="AE28" s="1944">
        <v>0</v>
      </c>
      <c r="AF28" s="1944">
        <v>0</v>
      </c>
      <c r="AG28" s="1944">
        <v>0</v>
      </c>
      <c r="AH28" s="1944">
        <v>0</v>
      </c>
      <c r="AI28" s="1946">
        <v>0</v>
      </c>
    </row>
    <row r="29" spans="1:40" ht="15" customHeight="1">
      <c r="A29" s="2355"/>
      <c r="B29" s="1519"/>
      <c r="C29" s="1519"/>
      <c r="D29" s="1525" t="s">
        <v>1274</v>
      </c>
      <c r="E29" s="1944">
        <v>0</v>
      </c>
      <c r="F29" s="1944">
        <v>0</v>
      </c>
      <c r="G29" s="1944">
        <v>0</v>
      </c>
      <c r="H29" s="1944">
        <v>0</v>
      </c>
      <c r="I29" s="1944">
        <v>0</v>
      </c>
      <c r="J29" s="1944">
        <v>0</v>
      </c>
      <c r="K29" s="1944">
        <v>0</v>
      </c>
      <c r="L29" s="1944">
        <v>0</v>
      </c>
      <c r="M29" s="1944">
        <v>0</v>
      </c>
      <c r="N29" s="1944">
        <v>0</v>
      </c>
      <c r="O29" s="1944">
        <v>0</v>
      </c>
      <c r="P29" s="1944">
        <v>0</v>
      </c>
      <c r="Q29" s="1944">
        <v>0</v>
      </c>
      <c r="R29" s="1944">
        <v>0</v>
      </c>
      <c r="S29" s="1944">
        <v>0</v>
      </c>
      <c r="T29" s="1944">
        <v>0</v>
      </c>
      <c r="U29" s="1944">
        <v>0</v>
      </c>
      <c r="V29" s="1944">
        <v>0</v>
      </c>
      <c r="W29" s="1944">
        <v>0</v>
      </c>
      <c r="X29" s="1944">
        <v>0</v>
      </c>
      <c r="Y29" s="1944">
        <v>0</v>
      </c>
      <c r="Z29" s="1947">
        <v>0</v>
      </c>
      <c r="AA29" s="2351">
        <v>0</v>
      </c>
      <c r="AB29" s="1944">
        <v>0</v>
      </c>
      <c r="AC29" s="1944">
        <v>0</v>
      </c>
      <c r="AD29" s="1944">
        <v>0</v>
      </c>
      <c r="AE29" s="1944">
        <v>0</v>
      </c>
      <c r="AF29" s="1944">
        <v>0</v>
      </c>
      <c r="AG29" s="1944">
        <v>0</v>
      </c>
      <c r="AH29" s="1944">
        <v>0</v>
      </c>
      <c r="AI29" s="1946">
        <v>0</v>
      </c>
    </row>
    <row r="30" spans="1:40" ht="15" hidden="1" customHeight="1">
      <c r="A30" s="2355"/>
      <c r="B30" s="1519"/>
      <c r="C30" s="1519"/>
      <c r="D30" s="1525" t="s">
        <v>1274</v>
      </c>
      <c r="E30" s="1944"/>
      <c r="F30" s="1944">
        <v>0</v>
      </c>
      <c r="G30" s="1944">
        <v>0</v>
      </c>
      <c r="H30" s="1944">
        <v>0</v>
      </c>
      <c r="I30" s="1944">
        <v>0</v>
      </c>
      <c r="J30" s="1944">
        <v>0</v>
      </c>
      <c r="K30" s="1944">
        <v>0</v>
      </c>
      <c r="L30" s="1944">
        <v>0</v>
      </c>
      <c r="M30" s="1944">
        <v>0</v>
      </c>
      <c r="N30" s="1944">
        <v>0</v>
      </c>
      <c r="O30" s="1944">
        <v>0</v>
      </c>
      <c r="P30" s="1944">
        <v>0</v>
      </c>
      <c r="Q30" s="1944">
        <v>0</v>
      </c>
      <c r="R30" s="1944">
        <v>0</v>
      </c>
      <c r="S30" s="1944">
        <v>0</v>
      </c>
      <c r="T30" s="1944">
        <v>0</v>
      </c>
      <c r="U30" s="1944">
        <v>0</v>
      </c>
      <c r="V30" s="1944">
        <v>0</v>
      </c>
      <c r="W30" s="1944">
        <v>0</v>
      </c>
      <c r="X30" s="1944">
        <v>0</v>
      </c>
      <c r="Y30" s="1944">
        <v>0</v>
      </c>
      <c r="Z30" s="1947">
        <v>0</v>
      </c>
      <c r="AA30" s="2351">
        <v>0</v>
      </c>
      <c r="AB30" s="1944">
        <v>0</v>
      </c>
      <c r="AC30" s="1944">
        <v>0</v>
      </c>
      <c r="AD30" s="1944">
        <v>0</v>
      </c>
      <c r="AE30" s="1944">
        <v>0</v>
      </c>
      <c r="AF30" s="1944">
        <v>0</v>
      </c>
      <c r="AG30" s="1944">
        <v>0</v>
      </c>
      <c r="AH30" s="1944">
        <v>0</v>
      </c>
      <c r="AI30" s="1946">
        <v>0</v>
      </c>
    </row>
    <row r="31" spans="1:40" ht="15" hidden="1" customHeight="1">
      <c r="A31" s="2355"/>
      <c r="B31" s="1519"/>
      <c r="C31" s="1519"/>
      <c r="D31" s="1525" t="s">
        <v>1274</v>
      </c>
      <c r="E31" s="1944">
        <v>0</v>
      </c>
      <c r="F31" s="1944">
        <v>0</v>
      </c>
      <c r="G31" s="1944">
        <v>0</v>
      </c>
      <c r="H31" s="1944">
        <v>0</v>
      </c>
      <c r="I31" s="1944">
        <v>0</v>
      </c>
      <c r="J31" s="1944">
        <v>0</v>
      </c>
      <c r="K31" s="1944">
        <v>0</v>
      </c>
      <c r="L31" s="1944">
        <v>0</v>
      </c>
      <c r="M31" s="1944">
        <v>0</v>
      </c>
      <c r="N31" s="1944">
        <v>0</v>
      </c>
      <c r="O31" s="1944">
        <v>0</v>
      </c>
      <c r="P31" s="1944">
        <v>0</v>
      </c>
      <c r="Q31" s="1944">
        <v>0</v>
      </c>
      <c r="R31" s="1944">
        <v>0</v>
      </c>
      <c r="S31" s="1944">
        <v>0</v>
      </c>
      <c r="T31" s="1944">
        <v>0</v>
      </c>
      <c r="U31" s="1944">
        <v>0</v>
      </c>
      <c r="V31" s="1944">
        <v>0</v>
      </c>
      <c r="W31" s="1944">
        <v>0</v>
      </c>
      <c r="X31" s="1944">
        <v>0</v>
      </c>
      <c r="Y31" s="1944">
        <v>0</v>
      </c>
      <c r="Z31" s="1947">
        <v>0</v>
      </c>
      <c r="AA31" s="2351">
        <v>0</v>
      </c>
      <c r="AB31" s="1944">
        <v>0</v>
      </c>
      <c r="AC31" s="1944">
        <v>0</v>
      </c>
      <c r="AD31" s="1944">
        <v>0</v>
      </c>
      <c r="AE31" s="1944">
        <v>0</v>
      </c>
      <c r="AF31" s="1944">
        <v>0</v>
      </c>
      <c r="AG31" s="1944">
        <v>0</v>
      </c>
      <c r="AH31" s="1944">
        <v>0</v>
      </c>
      <c r="AI31" s="1946">
        <v>0</v>
      </c>
    </row>
    <row r="32" spans="1:40" ht="15" hidden="1" customHeight="1">
      <c r="A32" s="2355"/>
      <c r="B32" s="1519"/>
      <c r="C32" s="1519"/>
      <c r="D32" s="1525" t="s">
        <v>1274</v>
      </c>
      <c r="E32" s="1944">
        <v>0</v>
      </c>
      <c r="F32" s="1944">
        <v>0</v>
      </c>
      <c r="G32" s="1944">
        <v>0</v>
      </c>
      <c r="H32" s="1944">
        <v>0</v>
      </c>
      <c r="I32" s="1944">
        <v>0</v>
      </c>
      <c r="J32" s="1944">
        <v>0</v>
      </c>
      <c r="K32" s="1944">
        <v>0</v>
      </c>
      <c r="L32" s="1944">
        <v>0</v>
      </c>
      <c r="M32" s="1944">
        <v>0</v>
      </c>
      <c r="N32" s="1944">
        <v>0</v>
      </c>
      <c r="O32" s="1944">
        <v>0</v>
      </c>
      <c r="P32" s="1944">
        <v>0</v>
      </c>
      <c r="Q32" s="1944">
        <v>0</v>
      </c>
      <c r="R32" s="1944">
        <v>0</v>
      </c>
      <c r="S32" s="1944">
        <v>0</v>
      </c>
      <c r="T32" s="1944">
        <v>0</v>
      </c>
      <c r="U32" s="1944">
        <v>0</v>
      </c>
      <c r="V32" s="1944">
        <v>0</v>
      </c>
      <c r="W32" s="1944">
        <v>0</v>
      </c>
      <c r="X32" s="1944">
        <v>0</v>
      </c>
      <c r="Y32" s="1944">
        <v>0</v>
      </c>
      <c r="Z32" s="1947">
        <v>0</v>
      </c>
      <c r="AA32" s="2351">
        <v>0</v>
      </c>
      <c r="AB32" s="1944">
        <v>0</v>
      </c>
      <c r="AC32" s="1944">
        <v>0</v>
      </c>
      <c r="AD32" s="1944">
        <v>0</v>
      </c>
      <c r="AE32" s="1944">
        <v>0</v>
      </c>
      <c r="AF32" s="1944">
        <v>0</v>
      </c>
      <c r="AG32" s="1944">
        <v>0</v>
      </c>
      <c r="AH32" s="1944">
        <v>0</v>
      </c>
      <c r="AI32" s="1946">
        <v>0</v>
      </c>
    </row>
    <row r="33" spans="1:39" ht="15" hidden="1" customHeight="1">
      <c r="A33" s="431"/>
      <c r="B33" s="130"/>
      <c r="C33" s="453"/>
      <c r="D33" s="457" t="s">
        <v>1274</v>
      </c>
      <c r="E33" s="2357">
        <v>0</v>
      </c>
      <c r="F33" s="2357">
        <v>0</v>
      </c>
      <c r="G33" s="2357">
        <v>0</v>
      </c>
      <c r="H33" s="2357">
        <v>0</v>
      </c>
      <c r="I33" s="2357">
        <v>0</v>
      </c>
      <c r="J33" s="2357">
        <v>0</v>
      </c>
      <c r="K33" s="2357">
        <v>0</v>
      </c>
      <c r="L33" s="2357">
        <v>0</v>
      </c>
      <c r="M33" s="2357">
        <v>0</v>
      </c>
      <c r="N33" s="2357">
        <v>0</v>
      </c>
      <c r="O33" s="2357">
        <v>0</v>
      </c>
      <c r="P33" s="2357">
        <v>0</v>
      </c>
      <c r="Q33" s="2357">
        <v>0</v>
      </c>
      <c r="R33" s="2357">
        <v>0</v>
      </c>
      <c r="S33" s="2357">
        <v>0</v>
      </c>
      <c r="T33" s="2357">
        <v>0</v>
      </c>
      <c r="U33" s="2357">
        <v>0</v>
      </c>
      <c r="V33" s="2357">
        <v>0</v>
      </c>
      <c r="W33" s="2357">
        <v>0</v>
      </c>
      <c r="X33" s="2357">
        <v>0</v>
      </c>
      <c r="Y33" s="2357">
        <v>0</v>
      </c>
      <c r="Z33" s="2358"/>
      <c r="AA33" s="2359"/>
      <c r="AB33" s="2402"/>
      <c r="AC33" s="2402"/>
      <c r="AD33" s="2402"/>
      <c r="AE33" s="2402"/>
      <c r="AF33" s="2402"/>
      <c r="AG33" s="2402"/>
      <c r="AH33" s="2402"/>
      <c r="AI33" s="519"/>
    </row>
    <row r="34" spans="1:39" ht="15" customHeight="1">
      <c r="A34" s="467" t="s">
        <v>1481</v>
      </c>
      <c r="B34" s="2329"/>
      <c r="C34" s="452"/>
      <c r="D34" s="430"/>
      <c r="E34" s="513">
        <f t="shared" ref="E34:N34" si="4">SUM(E19:E33)-E21-E23-E22</f>
        <v>0</v>
      </c>
      <c r="F34" s="513">
        <f t="shared" si="4"/>
        <v>0</v>
      </c>
      <c r="G34" s="513">
        <f t="shared" si="4"/>
        <v>0</v>
      </c>
      <c r="H34" s="513">
        <f t="shared" si="4"/>
        <v>0</v>
      </c>
      <c r="I34" s="513">
        <f t="shared" si="4"/>
        <v>0</v>
      </c>
      <c r="J34" s="513">
        <f t="shared" si="4"/>
        <v>0</v>
      </c>
      <c r="K34" s="513">
        <f t="shared" si="4"/>
        <v>0</v>
      </c>
      <c r="L34" s="513">
        <f t="shared" si="4"/>
        <v>0</v>
      </c>
      <c r="M34" s="513">
        <f t="shared" si="4"/>
        <v>0</v>
      </c>
      <c r="N34" s="513">
        <f t="shared" si="4"/>
        <v>0</v>
      </c>
      <c r="O34" s="513">
        <f t="shared" ref="O34:Y34" si="5">SUM(O19:O33)-O21-O23</f>
        <v>0</v>
      </c>
      <c r="P34" s="513">
        <f t="shared" si="5"/>
        <v>0</v>
      </c>
      <c r="Q34" s="513">
        <f t="shared" si="5"/>
        <v>0</v>
      </c>
      <c r="R34" s="513">
        <f t="shared" si="5"/>
        <v>0</v>
      </c>
      <c r="S34" s="513">
        <f t="shared" si="5"/>
        <v>0</v>
      </c>
      <c r="T34" s="513">
        <f t="shared" si="5"/>
        <v>0</v>
      </c>
      <c r="U34" s="513">
        <f t="shared" si="5"/>
        <v>0</v>
      </c>
      <c r="V34" s="513">
        <f t="shared" si="5"/>
        <v>0</v>
      </c>
      <c r="W34" s="513">
        <f t="shared" si="5"/>
        <v>0</v>
      </c>
      <c r="X34" s="513">
        <f t="shared" si="5"/>
        <v>0</v>
      </c>
      <c r="Y34" s="513">
        <f t="shared" si="5"/>
        <v>0</v>
      </c>
      <c r="Z34" s="1542">
        <f t="shared" ref="Z34:AI34" si="6">SUM(Z24:Z27)+Z20</f>
        <v>0</v>
      </c>
      <c r="AA34" s="2360">
        <f t="shared" si="6"/>
        <v>0</v>
      </c>
      <c r="AB34" s="513">
        <f t="shared" si="6"/>
        <v>0</v>
      </c>
      <c r="AC34" s="513">
        <f t="shared" si="6"/>
        <v>0</v>
      </c>
      <c r="AD34" s="513">
        <f t="shared" si="6"/>
        <v>0</v>
      </c>
      <c r="AE34" s="513">
        <f t="shared" si="6"/>
        <v>0</v>
      </c>
      <c r="AF34" s="513">
        <f t="shared" si="6"/>
        <v>0</v>
      </c>
      <c r="AG34" s="513">
        <f t="shared" si="6"/>
        <v>0</v>
      </c>
      <c r="AH34" s="513">
        <f t="shared" si="6"/>
        <v>0</v>
      </c>
      <c r="AI34" s="1542">
        <f t="shared" si="6"/>
        <v>0</v>
      </c>
      <c r="AJ34" s="441"/>
      <c r="AK34" s="441"/>
      <c r="AL34" s="441"/>
    </row>
    <row r="35" spans="1:39" ht="15.75" customHeight="1">
      <c r="A35" s="454" t="s">
        <v>1519</v>
      </c>
      <c r="B35" s="455" t="s">
        <v>1520</v>
      </c>
      <c r="C35" s="450"/>
      <c r="D35" s="458"/>
      <c r="E35" s="2361"/>
      <c r="F35" s="2361"/>
      <c r="G35" s="2361"/>
      <c r="H35" s="2361"/>
      <c r="I35" s="2361"/>
      <c r="J35" s="2361"/>
      <c r="K35" s="2361"/>
      <c r="L35" s="2362"/>
      <c r="M35" s="2361"/>
      <c r="N35" s="2362"/>
      <c r="O35" s="2361"/>
      <c r="P35" s="2361"/>
      <c r="Q35" s="2361"/>
      <c r="R35" s="2361"/>
      <c r="S35" s="2361"/>
      <c r="T35" s="2361"/>
      <c r="U35" s="2361"/>
      <c r="V35" s="2361"/>
      <c r="W35" s="2361"/>
      <c r="X35" s="2361"/>
      <c r="Y35" s="2361"/>
      <c r="Z35" s="514"/>
      <c r="AA35" s="2363"/>
      <c r="AB35" s="1173"/>
      <c r="AC35" s="1173"/>
      <c r="AD35" s="1173"/>
      <c r="AE35" s="1173"/>
      <c r="AF35" s="1173"/>
      <c r="AG35" s="1173"/>
      <c r="AH35" s="1173"/>
      <c r="AI35" s="514"/>
      <c r="AJ35" s="441"/>
      <c r="AK35" s="441"/>
      <c r="AL35" s="441"/>
    </row>
    <row r="36" spans="1:39" ht="15" customHeight="1">
      <c r="A36" s="1953">
        <f>IF(OR(LEFT('Input Info'!Entity_Type,1)="T",LEFT('Input Info'!Entity_Type,1)="P"),'Tax Rec'!I90,0)</f>
        <v>50000</v>
      </c>
      <c r="B36" s="916">
        <f t="shared" ref="B36:B43" si="7">A36-SUM(E36:AI36)</f>
        <v>50000</v>
      </c>
      <c r="C36" s="450"/>
      <c r="D36" s="2364" t="s">
        <v>1521</v>
      </c>
      <c r="E36" s="1944">
        <v>0</v>
      </c>
      <c r="F36" s="1944">
        <v>0</v>
      </c>
      <c r="G36" s="1944">
        <v>0</v>
      </c>
      <c r="H36" s="1944">
        <v>0</v>
      </c>
      <c r="I36" s="1944">
        <v>0</v>
      </c>
      <c r="J36" s="1944">
        <v>0</v>
      </c>
      <c r="K36" s="1944">
        <v>0</v>
      </c>
      <c r="L36" s="1944">
        <v>0</v>
      </c>
      <c r="M36" s="1944">
        <v>0</v>
      </c>
      <c r="N36" s="1944">
        <v>0</v>
      </c>
      <c r="O36" s="1955"/>
      <c r="P36" s="1944"/>
      <c r="Q36" s="1944"/>
      <c r="R36" s="1944"/>
      <c r="S36" s="1944"/>
      <c r="T36" s="1944"/>
      <c r="U36" s="1944"/>
      <c r="V36" s="1944"/>
      <c r="W36" s="1944"/>
      <c r="X36" s="1944"/>
      <c r="Y36" s="1956">
        <v>0</v>
      </c>
      <c r="Z36" s="1947"/>
      <c r="AA36" s="2351"/>
      <c r="AB36" s="1944"/>
      <c r="AC36" s="1944"/>
      <c r="AD36" s="1944"/>
      <c r="AE36" s="1944"/>
      <c r="AF36" s="1944"/>
      <c r="AG36" s="1944"/>
      <c r="AH36" s="1944"/>
      <c r="AI36" s="1946"/>
      <c r="AJ36" s="441"/>
      <c r="AK36" s="3876" t="e">
        <f>"Note:  distribution should not result in a child's income exceeding " &amp; TEXT('Standard Thresholds'!#REF!,"$#,##0")</f>
        <v>#REF!</v>
      </c>
      <c r="AL36" s="3876"/>
    </row>
    <row r="37" spans="1:39" ht="15" customHeight="1">
      <c r="A37" s="1953">
        <v>0</v>
      </c>
      <c r="B37" s="916">
        <f t="shared" si="7"/>
        <v>0</v>
      </c>
      <c r="C37" s="450"/>
      <c r="D37" s="2364" t="s">
        <v>1522</v>
      </c>
      <c r="E37" s="1944">
        <v>0</v>
      </c>
      <c r="F37" s="1944">
        <v>0</v>
      </c>
      <c r="G37" s="1944">
        <v>0</v>
      </c>
      <c r="H37" s="1944">
        <v>0</v>
      </c>
      <c r="I37" s="1944">
        <v>0</v>
      </c>
      <c r="J37" s="1944">
        <v>0</v>
      </c>
      <c r="K37" s="1944">
        <v>0</v>
      </c>
      <c r="L37" s="1944">
        <v>0</v>
      </c>
      <c r="M37" s="1944">
        <v>0</v>
      </c>
      <c r="N37" s="1944">
        <v>0</v>
      </c>
      <c r="O37" s="1944">
        <v>0</v>
      </c>
      <c r="P37" s="1944">
        <v>0</v>
      </c>
      <c r="Q37" s="1944">
        <v>0</v>
      </c>
      <c r="R37" s="1944">
        <v>0</v>
      </c>
      <c r="S37" s="1944">
        <v>0</v>
      </c>
      <c r="T37" s="1944">
        <v>0</v>
      </c>
      <c r="U37" s="1944">
        <v>0</v>
      </c>
      <c r="V37" s="1944">
        <v>0</v>
      </c>
      <c r="W37" s="1944">
        <v>0</v>
      </c>
      <c r="X37" s="1944">
        <v>0</v>
      </c>
      <c r="Y37" s="1956">
        <v>0</v>
      </c>
      <c r="Z37" s="1947">
        <v>0</v>
      </c>
      <c r="AA37" s="2351">
        <v>0</v>
      </c>
      <c r="AB37" s="1944">
        <v>0</v>
      </c>
      <c r="AC37" s="1944">
        <v>0</v>
      </c>
      <c r="AD37" s="1944">
        <v>0</v>
      </c>
      <c r="AE37" s="1944">
        <v>0</v>
      </c>
      <c r="AF37" s="1944">
        <v>0</v>
      </c>
      <c r="AG37" s="1944">
        <v>0</v>
      </c>
      <c r="AH37" s="1944">
        <v>0</v>
      </c>
      <c r="AI37" s="1946">
        <v>0</v>
      </c>
      <c r="AJ37" s="441"/>
      <c r="AK37" s="3876"/>
      <c r="AL37" s="3876"/>
    </row>
    <row r="38" spans="1:39" ht="15" customHeight="1">
      <c r="A38" s="1953">
        <v>0</v>
      </c>
      <c r="B38" s="916">
        <f t="shared" si="7"/>
        <v>0</v>
      </c>
      <c r="C38" s="450"/>
      <c r="D38" s="2364" t="s">
        <v>1523</v>
      </c>
      <c r="E38" s="1944">
        <v>0</v>
      </c>
      <c r="F38" s="1944">
        <v>0</v>
      </c>
      <c r="G38" s="1944">
        <v>0</v>
      </c>
      <c r="H38" s="1944">
        <v>0</v>
      </c>
      <c r="I38" s="1944">
        <v>0</v>
      </c>
      <c r="J38" s="1944">
        <v>0</v>
      </c>
      <c r="K38" s="1944">
        <v>0</v>
      </c>
      <c r="L38" s="1944">
        <v>0</v>
      </c>
      <c r="M38" s="1944">
        <v>0</v>
      </c>
      <c r="N38" s="1944">
        <v>0</v>
      </c>
      <c r="O38" s="1944">
        <v>0</v>
      </c>
      <c r="P38" s="1944">
        <v>0</v>
      </c>
      <c r="Q38" s="1944">
        <v>0</v>
      </c>
      <c r="R38" s="1944">
        <v>0</v>
      </c>
      <c r="S38" s="1944">
        <v>0</v>
      </c>
      <c r="T38" s="1944">
        <v>0</v>
      </c>
      <c r="U38" s="1944">
        <v>0</v>
      </c>
      <c r="V38" s="1944">
        <v>0</v>
      </c>
      <c r="W38" s="1944">
        <v>0</v>
      </c>
      <c r="X38" s="1944">
        <v>0</v>
      </c>
      <c r="Y38" s="1956">
        <v>0</v>
      </c>
      <c r="Z38" s="1947">
        <v>0</v>
      </c>
      <c r="AA38" s="2351">
        <v>0</v>
      </c>
      <c r="AB38" s="1944">
        <v>0</v>
      </c>
      <c r="AC38" s="1944">
        <v>0</v>
      </c>
      <c r="AD38" s="1944">
        <v>0</v>
      </c>
      <c r="AE38" s="1944">
        <v>0</v>
      </c>
      <c r="AF38" s="1944">
        <v>0</v>
      </c>
      <c r="AG38" s="1944">
        <v>0</v>
      </c>
      <c r="AH38" s="1944">
        <v>0</v>
      </c>
      <c r="AI38" s="1946">
        <v>0</v>
      </c>
      <c r="AJ38" s="441"/>
      <c r="AK38" s="3876"/>
      <c r="AL38" s="3876"/>
    </row>
    <row r="39" spans="1:39" ht="15" customHeight="1">
      <c r="A39" s="1954">
        <f>A38/0.7*0.3</f>
        <v>0</v>
      </c>
      <c r="B39" s="916">
        <f t="shared" si="7"/>
        <v>0</v>
      </c>
      <c r="C39" s="450"/>
      <c r="D39" s="2364" t="s">
        <v>1524</v>
      </c>
      <c r="E39" s="515">
        <f t="shared" ref="E39:L39" si="8">E38/0.7*0.3</f>
        <v>0</v>
      </c>
      <c r="F39" s="515">
        <f t="shared" ref="F39" si="9">F38/0.7*0.3</f>
        <v>0</v>
      </c>
      <c r="G39" s="515">
        <f t="shared" si="8"/>
        <v>0</v>
      </c>
      <c r="H39" s="515">
        <f t="shared" si="8"/>
        <v>0</v>
      </c>
      <c r="I39" s="515">
        <f t="shared" si="8"/>
        <v>0</v>
      </c>
      <c r="J39" s="515">
        <f t="shared" si="8"/>
        <v>0</v>
      </c>
      <c r="K39" s="515">
        <f t="shared" si="8"/>
        <v>0</v>
      </c>
      <c r="L39" s="515">
        <f t="shared" si="8"/>
        <v>0</v>
      </c>
      <c r="M39" s="515">
        <f>M38/0.7*0.3</f>
        <v>0</v>
      </c>
      <c r="N39" s="515">
        <f>N38/0.7*0.3</f>
        <v>0</v>
      </c>
      <c r="O39" s="515"/>
      <c r="P39" s="515"/>
      <c r="Q39" s="515"/>
      <c r="R39" s="515"/>
      <c r="S39" s="515"/>
      <c r="T39" s="515"/>
      <c r="U39" s="515"/>
      <c r="V39" s="515"/>
      <c r="W39" s="515"/>
      <c r="X39" s="515"/>
      <c r="Y39" s="515">
        <f>Y38/0.7*0.3</f>
        <v>0</v>
      </c>
      <c r="Z39" s="1541">
        <f t="shared" ref="Z39:AI39" si="10">Z38/0.7*0.3</f>
        <v>0</v>
      </c>
      <c r="AA39" s="2365">
        <f t="shared" si="10"/>
        <v>0</v>
      </c>
      <c r="AB39" s="515">
        <f t="shared" si="10"/>
        <v>0</v>
      </c>
      <c r="AC39" s="515">
        <f t="shared" si="10"/>
        <v>0</v>
      </c>
      <c r="AD39" s="515">
        <f t="shared" si="10"/>
        <v>0</v>
      </c>
      <c r="AE39" s="515">
        <f t="shared" si="10"/>
        <v>0</v>
      </c>
      <c r="AF39" s="515">
        <f t="shared" si="10"/>
        <v>0</v>
      </c>
      <c r="AG39" s="515">
        <f t="shared" si="10"/>
        <v>0</v>
      </c>
      <c r="AH39" s="515">
        <f t="shared" si="10"/>
        <v>0</v>
      </c>
      <c r="AI39" s="1541">
        <f t="shared" si="10"/>
        <v>0</v>
      </c>
      <c r="AJ39" s="441"/>
      <c r="AK39" s="3876"/>
      <c r="AL39" s="3876"/>
    </row>
    <row r="40" spans="1:39" ht="15" customHeight="1">
      <c r="A40" s="1953">
        <v>0</v>
      </c>
      <c r="B40" s="916">
        <f t="shared" si="7"/>
        <v>0</v>
      </c>
      <c r="C40" s="450"/>
      <c r="D40" s="2364" t="s">
        <v>1525</v>
      </c>
      <c r="E40" s="1944">
        <v>0</v>
      </c>
      <c r="F40" s="1944">
        <v>0</v>
      </c>
      <c r="G40" s="1944">
        <v>0</v>
      </c>
      <c r="H40" s="1944">
        <v>0</v>
      </c>
      <c r="I40" s="1944">
        <v>0</v>
      </c>
      <c r="J40" s="1944">
        <v>0</v>
      </c>
      <c r="K40" s="1944">
        <v>0</v>
      </c>
      <c r="L40" s="1944">
        <v>0</v>
      </c>
      <c r="M40" s="1944">
        <v>0</v>
      </c>
      <c r="N40" s="1944">
        <v>0</v>
      </c>
      <c r="O40" s="1944">
        <v>0</v>
      </c>
      <c r="P40" s="1944">
        <v>0</v>
      </c>
      <c r="Q40" s="1944">
        <v>0</v>
      </c>
      <c r="R40" s="1944">
        <v>0</v>
      </c>
      <c r="S40" s="1944">
        <v>0</v>
      </c>
      <c r="T40" s="1944">
        <v>0</v>
      </c>
      <c r="U40" s="1944">
        <v>0</v>
      </c>
      <c r="V40" s="1944">
        <v>0</v>
      </c>
      <c r="W40" s="1944">
        <v>0</v>
      </c>
      <c r="X40" s="1944">
        <v>0</v>
      </c>
      <c r="Y40" s="1956">
        <v>0</v>
      </c>
      <c r="Z40" s="1947">
        <v>0</v>
      </c>
      <c r="AA40" s="2351">
        <v>0</v>
      </c>
      <c r="AB40" s="1944">
        <v>0</v>
      </c>
      <c r="AC40" s="1944">
        <v>0</v>
      </c>
      <c r="AD40" s="1944">
        <v>0</v>
      </c>
      <c r="AE40" s="1944">
        <v>0</v>
      </c>
      <c r="AF40" s="1944">
        <v>0</v>
      </c>
      <c r="AG40" s="1944">
        <v>0</v>
      </c>
      <c r="AH40" s="1944">
        <v>0</v>
      </c>
      <c r="AI40" s="1946">
        <v>0</v>
      </c>
      <c r="AJ40" s="441"/>
      <c r="AK40" s="441"/>
      <c r="AL40" s="441"/>
    </row>
    <row r="41" spans="1:39" ht="15" customHeight="1">
      <c r="A41" s="1953">
        <v>0</v>
      </c>
      <c r="B41" s="916">
        <f t="shared" si="7"/>
        <v>0</v>
      </c>
      <c r="C41" s="450"/>
      <c r="D41" s="2364" t="s">
        <v>1526</v>
      </c>
      <c r="E41" s="1944">
        <v>0</v>
      </c>
      <c r="F41" s="1944">
        <v>0</v>
      </c>
      <c r="G41" s="1944">
        <v>0</v>
      </c>
      <c r="H41" s="1944">
        <v>0</v>
      </c>
      <c r="I41" s="1944">
        <v>0</v>
      </c>
      <c r="J41" s="1944">
        <v>0</v>
      </c>
      <c r="K41" s="1944">
        <v>0</v>
      </c>
      <c r="L41" s="1944">
        <v>0</v>
      </c>
      <c r="M41" s="1944">
        <v>0</v>
      </c>
      <c r="N41" s="1944">
        <v>0</v>
      </c>
      <c r="O41" s="1944">
        <v>0</v>
      </c>
      <c r="P41" s="1944">
        <v>0</v>
      </c>
      <c r="Q41" s="1944">
        <v>0</v>
      </c>
      <c r="R41" s="1944">
        <v>0</v>
      </c>
      <c r="S41" s="1944">
        <v>0</v>
      </c>
      <c r="T41" s="1944">
        <v>0</v>
      </c>
      <c r="U41" s="1944">
        <v>0</v>
      </c>
      <c r="V41" s="1944">
        <v>0</v>
      </c>
      <c r="W41" s="1944">
        <v>0</v>
      </c>
      <c r="X41" s="1944">
        <v>0</v>
      </c>
      <c r="Y41" s="1956">
        <v>0</v>
      </c>
      <c r="Z41" s="1947">
        <v>0</v>
      </c>
      <c r="AA41" s="2351">
        <v>0</v>
      </c>
      <c r="AB41" s="1944">
        <v>0</v>
      </c>
      <c r="AC41" s="1944">
        <v>0</v>
      </c>
      <c r="AD41" s="1944">
        <v>0</v>
      </c>
      <c r="AE41" s="1944">
        <v>0</v>
      </c>
      <c r="AF41" s="1944">
        <v>0</v>
      </c>
      <c r="AG41" s="1944">
        <v>0</v>
      </c>
      <c r="AH41" s="1944">
        <v>0</v>
      </c>
      <c r="AI41" s="1946">
        <v>0</v>
      </c>
      <c r="AJ41" s="441"/>
      <c r="AK41" s="441"/>
      <c r="AL41" s="441"/>
    </row>
    <row r="42" spans="1:39" ht="15" customHeight="1">
      <c r="A42" s="1953">
        <v>0</v>
      </c>
      <c r="B42" s="916">
        <f t="shared" si="7"/>
        <v>0</v>
      </c>
      <c r="C42" s="450"/>
      <c r="D42" s="2364" t="s">
        <v>1527</v>
      </c>
      <c r="E42" s="1944">
        <v>0</v>
      </c>
      <c r="F42" s="1944">
        <v>0</v>
      </c>
      <c r="G42" s="1944">
        <v>0</v>
      </c>
      <c r="H42" s="1944">
        <v>0</v>
      </c>
      <c r="I42" s="1944">
        <v>0</v>
      </c>
      <c r="J42" s="1944">
        <v>0</v>
      </c>
      <c r="K42" s="1944">
        <v>0</v>
      </c>
      <c r="L42" s="1944">
        <v>0</v>
      </c>
      <c r="M42" s="1944">
        <v>0</v>
      </c>
      <c r="N42" s="1944">
        <v>0</v>
      </c>
      <c r="O42" s="1944">
        <v>0</v>
      </c>
      <c r="P42" s="1944">
        <v>0</v>
      </c>
      <c r="Q42" s="1944">
        <v>0</v>
      </c>
      <c r="R42" s="1944">
        <v>0</v>
      </c>
      <c r="S42" s="1944">
        <v>0</v>
      </c>
      <c r="T42" s="1944">
        <v>0</v>
      </c>
      <c r="U42" s="1944">
        <v>0</v>
      </c>
      <c r="V42" s="1944">
        <v>0</v>
      </c>
      <c r="W42" s="1944">
        <v>0</v>
      </c>
      <c r="X42" s="1944">
        <v>0</v>
      </c>
      <c r="Y42" s="1956">
        <v>0</v>
      </c>
      <c r="Z42" s="1947">
        <v>0</v>
      </c>
      <c r="AA42" s="2351">
        <v>0</v>
      </c>
      <c r="AB42" s="1944">
        <v>0</v>
      </c>
      <c r="AC42" s="1944">
        <v>0</v>
      </c>
      <c r="AD42" s="1944">
        <v>0</v>
      </c>
      <c r="AE42" s="1944">
        <v>0</v>
      </c>
      <c r="AF42" s="1944">
        <v>0</v>
      </c>
      <c r="AG42" s="1944">
        <v>0</v>
      </c>
      <c r="AH42" s="1944">
        <v>0</v>
      </c>
      <c r="AI42" s="1946">
        <v>0</v>
      </c>
      <c r="AJ42" s="441"/>
      <c r="AK42" s="441"/>
      <c r="AL42" s="441"/>
    </row>
    <row r="43" spans="1:39" s="130" customFormat="1" ht="15" customHeight="1">
      <c r="A43" s="1953">
        <v>0</v>
      </c>
      <c r="B43" s="916">
        <f t="shared" si="7"/>
        <v>0</v>
      </c>
      <c r="C43" s="450"/>
      <c r="D43" s="2364" t="s">
        <v>1528</v>
      </c>
      <c r="E43" s="1957">
        <v>0</v>
      </c>
      <c r="F43" s="1957">
        <v>0</v>
      </c>
      <c r="G43" s="1957">
        <v>0</v>
      </c>
      <c r="H43" s="1957">
        <v>0</v>
      </c>
      <c r="I43" s="1957">
        <v>0</v>
      </c>
      <c r="J43" s="1957">
        <v>0</v>
      </c>
      <c r="K43" s="1957">
        <v>0</v>
      </c>
      <c r="L43" s="1957">
        <v>0</v>
      </c>
      <c r="M43" s="1957">
        <v>0</v>
      </c>
      <c r="N43" s="1957">
        <v>0</v>
      </c>
      <c r="O43" s="1957">
        <v>0</v>
      </c>
      <c r="P43" s="1944">
        <v>0</v>
      </c>
      <c r="Q43" s="1944">
        <v>0</v>
      </c>
      <c r="R43" s="1944">
        <v>0</v>
      </c>
      <c r="S43" s="1944">
        <v>0</v>
      </c>
      <c r="T43" s="1944">
        <v>0</v>
      </c>
      <c r="U43" s="1944">
        <v>0</v>
      </c>
      <c r="V43" s="1944">
        <v>0</v>
      </c>
      <c r="W43" s="1944">
        <v>0</v>
      </c>
      <c r="X43" s="1944">
        <v>0</v>
      </c>
      <c r="Y43" s="2366">
        <v>0</v>
      </c>
      <c r="Z43" s="2367">
        <v>0</v>
      </c>
      <c r="AA43" s="2368">
        <v>0</v>
      </c>
      <c r="AB43" s="1957">
        <v>0</v>
      </c>
      <c r="AC43" s="1957">
        <v>0</v>
      </c>
      <c r="AD43" s="1957">
        <v>0</v>
      </c>
      <c r="AE43" s="1957">
        <v>0</v>
      </c>
      <c r="AF43" s="1957">
        <v>0</v>
      </c>
      <c r="AG43" s="1957">
        <v>0</v>
      </c>
      <c r="AH43" s="1957">
        <v>0</v>
      </c>
      <c r="AI43" s="1958">
        <v>0</v>
      </c>
      <c r="AM43" s="1"/>
    </row>
    <row r="44" spans="1:39" s="130" customFormat="1" ht="15" customHeight="1">
      <c r="A44" s="1953">
        <v>0</v>
      </c>
      <c r="B44" s="916">
        <f>A44-SUM(E44:AI44)</f>
        <v>0</v>
      </c>
      <c r="C44" s="450"/>
      <c r="D44" s="2364" t="s">
        <v>1072</v>
      </c>
      <c r="E44" s="1959">
        <v>0</v>
      </c>
      <c r="F44" s="1959">
        <v>0</v>
      </c>
      <c r="G44" s="1959">
        <v>0</v>
      </c>
      <c r="H44" s="1959">
        <v>0</v>
      </c>
      <c r="I44" s="1959">
        <v>0</v>
      </c>
      <c r="J44" s="1959">
        <v>0</v>
      </c>
      <c r="K44" s="1959">
        <v>0</v>
      </c>
      <c r="L44" s="1959">
        <v>0</v>
      </c>
      <c r="M44" s="1959">
        <v>0</v>
      </c>
      <c r="N44" s="1959">
        <v>0</v>
      </c>
      <c r="O44" s="1959">
        <v>0</v>
      </c>
      <c r="P44" s="1944">
        <v>0</v>
      </c>
      <c r="Q44" s="1944">
        <v>0</v>
      </c>
      <c r="R44" s="1944">
        <v>0</v>
      </c>
      <c r="S44" s="1944">
        <v>0</v>
      </c>
      <c r="T44" s="1944">
        <v>0</v>
      </c>
      <c r="U44" s="1944">
        <v>0</v>
      </c>
      <c r="V44" s="1944">
        <v>0</v>
      </c>
      <c r="W44" s="1944">
        <v>0</v>
      </c>
      <c r="X44" s="1944">
        <v>0</v>
      </c>
      <c r="Y44" s="1960">
        <v>0</v>
      </c>
      <c r="Z44" s="2369">
        <v>0</v>
      </c>
      <c r="AA44" s="2370">
        <v>0</v>
      </c>
      <c r="AB44" s="1959">
        <v>0</v>
      </c>
      <c r="AC44" s="1959">
        <v>0</v>
      </c>
      <c r="AD44" s="1959">
        <v>0</v>
      </c>
      <c r="AE44" s="1959">
        <v>0</v>
      </c>
      <c r="AF44" s="1959">
        <v>0</v>
      </c>
      <c r="AG44" s="1959">
        <v>0</v>
      </c>
      <c r="AH44" s="1959">
        <v>0</v>
      </c>
      <c r="AI44" s="1961">
        <v>0</v>
      </c>
      <c r="AM44" s="1"/>
    </row>
    <row r="45" spans="1:39" ht="15.75" customHeight="1">
      <c r="A45" s="431"/>
      <c r="B45" s="130"/>
      <c r="C45" s="453"/>
      <c r="D45" s="573" t="s">
        <v>1529</v>
      </c>
      <c r="E45" s="513">
        <f>SUM(E34:E43)</f>
        <v>0</v>
      </c>
      <c r="F45" s="513">
        <f t="shared" ref="F45:V45" si="11">SUM(F34:F43)</f>
        <v>0</v>
      </c>
      <c r="G45" s="513">
        <f t="shared" si="11"/>
        <v>0</v>
      </c>
      <c r="H45" s="513">
        <f t="shared" si="11"/>
        <v>0</v>
      </c>
      <c r="I45" s="513">
        <f t="shared" si="11"/>
        <v>0</v>
      </c>
      <c r="J45" s="513">
        <f t="shared" si="11"/>
        <v>0</v>
      </c>
      <c r="K45" s="513">
        <f t="shared" si="11"/>
        <v>0</v>
      </c>
      <c r="L45" s="513">
        <f t="shared" si="11"/>
        <v>0</v>
      </c>
      <c r="M45" s="513">
        <f t="shared" si="11"/>
        <v>0</v>
      </c>
      <c r="N45" s="513">
        <f t="shared" si="11"/>
        <v>0</v>
      </c>
      <c r="O45" s="516">
        <f t="shared" si="11"/>
        <v>0</v>
      </c>
      <c r="P45" s="516">
        <f t="shared" si="11"/>
        <v>0</v>
      </c>
      <c r="Q45" s="516">
        <f t="shared" si="11"/>
        <v>0</v>
      </c>
      <c r="R45" s="516">
        <f t="shared" si="11"/>
        <v>0</v>
      </c>
      <c r="S45" s="516">
        <f t="shared" si="11"/>
        <v>0</v>
      </c>
      <c r="T45" s="516">
        <f t="shared" si="11"/>
        <v>0</v>
      </c>
      <c r="U45" s="516">
        <f t="shared" si="11"/>
        <v>0</v>
      </c>
      <c r="V45" s="516">
        <f t="shared" si="11"/>
        <v>0</v>
      </c>
      <c r="W45" s="516">
        <f>SUM(W34:W43)</f>
        <v>0</v>
      </c>
      <c r="X45" s="516">
        <f>SUM(X34:X43)</f>
        <v>0</v>
      </c>
      <c r="Y45" s="513">
        <f>SUM(Y34:Y43)</f>
        <v>0</v>
      </c>
      <c r="Z45" s="1542">
        <f>SUM(Z36:Z44)+Z34</f>
        <v>0</v>
      </c>
      <c r="AA45" s="2360">
        <f t="shared" ref="AA45:AI45" si="12">SUM(AA36:AA44)+AA34</f>
        <v>0</v>
      </c>
      <c r="AB45" s="513">
        <f t="shared" si="12"/>
        <v>0</v>
      </c>
      <c r="AC45" s="513">
        <f t="shared" si="12"/>
        <v>0</v>
      </c>
      <c r="AD45" s="513">
        <f t="shared" si="12"/>
        <v>0</v>
      </c>
      <c r="AE45" s="513">
        <f t="shared" si="12"/>
        <v>0</v>
      </c>
      <c r="AF45" s="513">
        <f t="shared" si="12"/>
        <v>0</v>
      </c>
      <c r="AG45" s="513">
        <f t="shared" si="12"/>
        <v>0</v>
      </c>
      <c r="AH45" s="513">
        <f t="shared" si="12"/>
        <v>0</v>
      </c>
      <c r="AI45" s="1542">
        <f t="shared" si="12"/>
        <v>0</v>
      </c>
    </row>
    <row r="46" spans="1:39" ht="15" customHeight="1">
      <c r="A46" s="431"/>
      <c r="B46" s="130"/>
      <c r="C46" s="459"/>
      <c r="D46" s="71" t="s">
        <v>1774</v>
      </c>
      <c r="E46" s="1107"/>
      <c r="F46" s="1107"/>
      <c r="G46" s="1107"/>
      <c r="H46" s="1107"/>
      <c r="I46" s="1107"/>
      <c r="J46" s="1107"/>
      <c r="K46" s="1107"/>
      <c r="L46" s="1107"/>
      <c r="M46" s="1107"/>
      <c r="N46" s="1107"/>
      <c r="O46" s="518"/>
      <c r="P46" s="518"/>
      <c r="Q46" s="518"/>
      <c r="R46" s="518"/>
      <c r="S46" s="518"/>
      <c r="T46" s="518"/>
      <c r="U46" s="518"/>
      <c r="V46" s="518"/>
      <c r="W46" s="518"/>
      <c r="X46" s="518"/>
      <c r="Y46" s="518"/>
      <c r="Z46" s="519"/>
      <c r="AA46" s="2359"/>
      <c r="AB46" s="521"/>
      <c r="AC46" s="521"/>
      <c r="AD46" s="521"/>
      <c r="AE46" s="521"/>
      <c r="AF46" s="521"/>
      <c r="AG46" s="521"/>
      <c r="AH46" s="521"/>
      <c r="AI46" s="519"/>
    </row>
    <row r="47" spans="1:39" ht="15" customHeight="1">
      <c r="A47" s="428"/>
      <c r="B47" s="130"/>
      <c r="C47" s="130"/>
      <c r="D47" s="453" t="s">
        <v>1531</v>
      </c>
      <c r="E47" s="1963">
        <v>0</v>
      </c>
      <c r="F47" s="1963">
        <v>0</v>
      </c>
      <c r="G47" s="1963">
        <v>0</v>
      </c>
      <c r="H47" s="1963">
        <v>0</v>
      </c>
      <c r="I47" s="1963">
        <v>0</v>
      </c>
      <c r="J47" s="1963">
        <v>0</v>
      </c>
      <c r="K47" s="1963">
        <v>0</v>
      </c>
      <c r="L47" s="1963">
        <v>0</v>
      </c>
      <c r="M47" s="1963">
        <v>0</v>
      </c>
      <c r="N47" s="1963">
        <v>0</v>
      </c>
      <c r="O47" s="520"/>
      <c r="P47" s="520"/>
      <c r="Q47" s="520"/>
      <c r="R47" s="520"/>
      <c r="S47" s="520"/>
      <c r="T47" s="520"/>
      <c r="U47" s="520"/>
      <c r="V47" s="520"/>
      <c r="W47" s="520"/>
      <c r="X47" s="520"/>
      <c r="Y47" s="520"/>
      <c r="Z47" s="519"/>
      <c r="AA47" s="2359"/>
      <c r="AB47" s="521"/>
      <c r="AC47" s="521"/>
      <c r="AD47" s="521"/>
      <c r="AE47" s="521"/>
      <c r="AF47" s="521"/>
      <c r="AG47" s="521"/>
      <c r="AH47" s="521"/>
      <c r="AI47" s="519"/>
    </row>
    <row r="48" spans="1:39" ht="15" customHeight="1">
      <c r="A48" s="448"/>
      <c r="B48" s="130"/>
      <c r="C48" s="130"/>
      <c r="D48" s="432" t="s">
        <v>403</v>
      </c>
      <c r="E48" s="1963">
        <v>0</v>
      </c>
      <c r="F48" s="1963">
        <v>0</v>
      </c>
      <c r="G48" s="1963">
        <v>0</v>
      </c>
      <c r="H48" s="1963">
        <v>0</v>
      </c>
      <c r="I48" s="1963">
        <v>0</v>
      </c>
      <c r="J48" s="1963">
        <v>0</v>
      </c>
      <c r="K48" s="1963">
        <v>0</v>
      </c>
      <c r="L48" s="1963">
        <v>0</v>
      </c>
      <c r="M48" s="1963">
        <v>0</v>
      </c>
      <c r="N48" s="1963">
        <v>0</v>
      </c>
      <c r="O48" s="521"/>
      <c r="P48" s="521"/>
      <c r="Q48" s="521"/>
      <c r="R48" s="521"/>
      <c r="S48" s="521"/>
      <c r="T48" s="521"/>
      <c r="U48" s="521"/>
      <c r="V48" s="521"/>
      <c r="W48" s="521"/>
      <c r="X48" s="521"/>
      <c r="Y48" s="521"/>
      <c r="Z48" s="519"/>
      <c r="AA48" s="2359"/>
      <c r="AB48" s="521"/>
      <c r="AC48" s="521"/>
      <c r="AD48" s="521"/>
      <c r="AE48" s="521"/>
      <c r="AF48" s="521"/>
      <c r="AG48" s="521"/>
      <c r="AH48" s="521"/>
      <c r="AI48" s="519"/>
    </row>
    <row r="49" spans="1:37" ht="15" hidden="1" customHeight="1">
      <c r="A49" s="448"/>
      <c r="B49" s="130"/>
      <c r="C49" s="450"/>
      <c r="D49" s="453" t="s">
        <v>1532</v>
      </c>
      <c r="E49" s="1963">
        <v>0</v>
      </c>
      <c r="F49" s="1963">
        <v>0</v>
      </c>
      <c r="G49" s="1963">
        <v>0</v>
      </c>
      <c r="H49" s="1963">
        <v>0</v>
      </c>
      <c r="I49" s="1963">
        <v>0</v>
      </c>
      <c r="J49" s="1963">
        <v>0</v>
      </c>
      <c r="K49" s="1963">
        <v>0</v>
      </c>
      <c r="L49" s="1963">
        <v>0</v>
      </c>
      <c r="M49" s="1963">
        <v>0</v>
      </c>
      <c r="N49" s="1963">
        <v>0</v>
      </c>
      <c r="O49" s="1965">
        <v>0</v>
      </c>
      <c r="P49" s="1965">
        <v>0</v>
      </c>
      <c r="Q49" s="1965">
        <v>0</v>
      </c>
      <c r="R49" s="1965">
        <v>0</v>
      </c>
      <c r="S49" s="1965">
        <v>0</v>
      </c>
      <c r="T49" s="1965">
        <v>0</v>
      </c>
      <c r="U49" s="1965">
        <v>0</v>
      </c>
      <c r="V49" s="1965">
        <v>0</v>
      </c>
      <c r="W49" s="1965">
        <v>0</v>
      </c>
      <c r="X49" s="1965">
        <v>0</v>
      </c>
      <c r="Y49" s="1965">
        <v>0</v>
      </c>
      <c r="Z49" s="519"/>
      <c r="AA49" s="2359"/>
      <c r="AB49" s="521"/>
      <c r="AC49" s="521"/>
      <c r="AD49" s="521"/>
      <c r="AE49" s="521"/>
      <c r="AF49" s="521"/>
      <c r="AG49" s="521"/>
      <c r="AH49" s="521"/>
      <c r="AI49" s="519"/>
    </row>
    <row r="50" spans="1:37" ht="15" hidden="1" customHeight="1">
      <c r="A50" s="448"/>
      <c r="B50" s="130"/>
      <c r="C50" s="450"/>
      <c r="D50" s="453" t="s">
        <v>1532</v>
      </c>
      <c r="E50" s="1963">
        <v>0</v>
      </c>
      <c r="F50" s="1963">
        <v>0</v>
      </c>
      <c r="G50" s="1963">
        <v>0</v>
      </c>
      <c r="H50" s="1963">
        <v>0</v>
      </c>
      <c r="I50" s="1963">
        <v>0</v>
      </c>
      <c r="J50" s="1963">
        <v>0</v>
      </c>
      <c r="K50" s="1963">
        <v>0</v>
      </c>
      <c r="L50" s="1963">
        <v>0</v>
      </c>
      <c r="M50" s="1963">
        <v>0</v>
      </c>
      <c r="N50" s="1963">
        <v>0</v>
      </c>
      <c r="O50" s="1963">
        <v>0</v>
      </c>
      <c r="P50" s="1963">
        <v>0</v>
      </c>
      <c r="Q50" s="1963">
        <v>0</v>
      </c>
      <c r="R50" s="1963">
        <v>0</v>
      </c>
      <c r="S50" s="1963">
        <v>0</v>
      </c>
      <c r="T50" s="1963">
        <v>0</v>
      </c>
      <c r="U50" s="1963">
        <v>0</v>
      </c>
      <c r="V50" s="1963">
        <v>0</v>
      </c>
      <c r="W50" s="1963">
        <v>0</v>
      </c>
      <c r="X50" s="1963">
        <v>0</v>
      </c>
      <c r="Y50" s="1963">
        <v>0</v>
      </c>
      <c r="Z50" s="519"/>
      <c r="AA50" s="2359"/>
      <c r="AB50" s="521"/>
      <c r="AC50" s="521"/>
      <c r="AD50" s="521"/>
      <c r="AE50" s="521"/>
      <c r="AF50" s="521"/>
      <c r="AG50" s="521"/>
      <c r="AH50" s="521"/>
      <c r="AI50" s="519"/>
    </row>
    <row r="51" spans="1:37" ht="15" hidden="1" customHeight="1">
      <c r="A51" s="448"/>
      <c r="B51" s="130"/>
      <c r="C51" s="450"/>
      <c r="D51" s="453" t="s">
        <v>1532</v>
      </c>
      <c r="E51" s="1963">
        <v>0</v>
      </c>
      <c r="F51" s="1963">
        <v>0</v>
      </c>
      <c r="G51" s="1963">
        <v>0</v>
      </c>
      <c r="H51" s="1963">
        <v>0</v>
      </c>
      <c r="I51" s="1963">
        <v>0</v>
      </c>
      <c r="J51" s="1963">
        <v>0</v>
      </c>
      <c r="K51" s="1963">
        <v>0</v>
      </c>
      <c r="L51" s="1963">
        <v>0</v>
      </c>
      <c r="M51" s="1963">
        <v>0</v>
      </c>
      <c r="N51" s="1963">
        <v>0</v>
      </c>
      <c r="O51" s="1963">
        <v>0</v>
      </c>
      <c r="P51" s="1963">
        <v>0</v>
      </c>
      <c r="Q51" s="1963">
        <v>0</v>
      </c>
      <c r="R51" s="1963">
        <v>0</v>
      </c>
      <c r="S51" s="1963">
        <v>0</v>
      </c>
      <c r="T51" s="1963">
        <v>0</v>
      </c>
      <c r="U51" s="1963">
        <v>0</v>
      </c>
      <c r="V51" s="1963">
        <v>0</v>
      </c>
      <c r="W51" s="1963">
        <v>0</v>
      </c>
      <c r="X51" s="1963">
        <v>0</v>
      </c>
      <c r="Y51" s="1963">
        <v>0</v>
      </c>
      <c r="Z51" s="519"/>
      <c r="AA51" s="2359"/>
      <c r="AB51" s="521"/>
      <c r="AC51" s="521"/>
      <c r="AD51" s="521"/>
      <c r="AE51" s="521"/>
      <c r="AF51" s="521"/>
      <c r="AG51" s="521"/>
      <c r="AH51" s="521"/>
      <c r="AI51" s="519"/>
    </row>
    <row r="52" spans="1:37" ht="15" hidden="1" customHeight="1">
      <c r="A52" s="448"/>
      <c r="B52" s="130"/>
      <c r="C52" s="450"/>
      <c r="D52" s="453" t="s">
        <v>1532</v>
      </c>
      <c r="E52" s="1963">
        <v>0</v>
      </c>
      <c r="F52" s="1963">
        <v>0</v>
      </c>
      <c r="G52" s="1963">
        <v>0</v>
      </c>
      <c r="H52" s="1963">
        <v>0</v>
      </c>
      <c r="I52" s="1963">
        <v>0</v>
      </c>
      <c r="J52" s="1963">
        <v>0</v>
      </c>
      <c r="K52" s="1963">
        <v>0</v>
      </c>
      <c r="L52" s="1963">
        <v>0</v>
      </c>
      <c r="M52" s="1963">
        <v>0</v>
      </c>
      <c r="N52" s="1963">
        <v>0</v>
      </c>
      <c r="O52" s="1963">
        <v>0</v>
      </c>
      <c r="P52" s="1963">
        <v>0</v>
      </c>
      <c r="Q52" s="1963">
        <v>0</v>
      </c>
      <c r="R52" s="1963">
        <v>0</v>
      </c>
      <c r="S52" s="1963">
        <v>0</v>
      </c>
      <c r="T52" s="1963">
        <v>0</v>
      </c>
      <c r="U52" s="1963">
        <v>0</v>
      </c>
      <c r="V52" s="1963">
        <v>0</v>
      </c>
      <c r="W52" s="1963">
        <v>0</v>
      </c>
      <c r="X52" s="1963">
        <v>0</v>
      </c>
      <c r="Y52" s="1963">
        <v>0</v>
      </c>
      <c r="Z52" s="519"/>
      <c r="AA52" s="2359"/>
      <c r="AB52" s="521"/>
      <c r="AC52" s="521"/>
      <c r="AD52" s="521"/>
      <c r="AE52" s="521"/>
      <c r="AF52" s="521"/>
      <c r="AG52" s="521"/>
      <c r="AH52" s="521"/>
      <c r="AI52" s="519"/>
    </row>
    <row r="53" spans="1:37" ht="15" hidden="1" customHeight="1">
      <c r="A53" s="448"/>
      <c r="B53" s="130"/>
      <c r="C53" s="450"/>
      <c r="D53" s="453" t="s">
        <v>1532</v>
      </c>
      <c r="E53" s="1963">
        <v>0</v>
      </c>
      <c r="F53" s="1963">
        <v>0</v>
      </c>
      <c r="G53" s="1963">
        <v>0</v>
      </c>
      <c r="H53" s="1963">
        <v>0</v>
      </c>
      <c r="I53" s="1963">
        <v>0</v>
      </c>
      <c r="J53" s="1963">
        <v>0</v>
      </c>
      <c r="K53" s="1963">
        <v>0</v>
      </c>
      <c r="L53" s="1963">
        <v>0</v>
      </c>
      <c r="M53" s="1963">
        <v>0</v>
      </c>
      <c r="N53" s="1963">
        <v>0</v>
      </c>
      <c r="O53" s="1963">
        <v>0</v>
      </c>
      <c r="P53" s="1963">
        <v>0</v>
      </c>
      <c r="Q53" s="1963">
        <v>0</v>
      </c>
      <c r="R53" s="1963">
        <v>0</v>
      </c>
      <c r="S53" s="1963">
        <v>0</v>
      </c>
      <c r="T53" s="1963">
        <v>0</v>
      </c>
      <c r="U53" s="1963">
        <v>0</v>
      </c>
      <c r="V53" s="1963">
        <v>0</v>
      </c>
      <c r="W53" s="1963">
        <v>0</v>
      </c>
      <c r="X53" s="1963">
        <v>0</v>
      </c>
      <c r="Y53" s="1963">
        <v>0</v>
      </c>
      <c r="Z53" s="519"/>
      <c r="AA53" s="2359"/>
      <c r="AB53" s="521"/>
      <c r="AC53" s="521"/>
      <c r="AD53" s="521"/>
      <c r="AE53" s="521"/>
      <c r="AF53" s="521"/>
      <c r="AG53" s="521"/>
      <c r="AH53" s="521"/>
      <c r="AI53" s="519"/>
    </row>
    <row r="54" spans="1:37" ht="15" customHeight="1">
      <c r="A54" s="448"/>
      <c r="B54" s="130"/>
      <c r="C54" s="450"/>
      <c r="D54" s="453" t="s">
        <v>1532</v>
      </c>
      <c r="E54" s="1963">
        <v>0</v>
      </c>
      <c r="F54" s="1963">
        <v>0</v>
      </c>
      <c r="G54" s="1963">
        <v>0</v>
      </c>
      <c r="H54" s="1963">
        <v>0</v>
      </c>
      <c r="I54" s="1963">
        <v>0</v>
      </c>
      <c r="J54" s="1963">
        <v>0</v>
      </c>
      <c r="K54" s="1963">
        <v>0</v>
      </c>
      <c r="L54" s="1963">
        <v>0</v>
      </c>
      <c r="M54" s="1963">
        <v>0</v>
      </c>
      <c r="N54" s="1963">
        <v>0</v>
      </c>
      <c r="O54" s="1965">
        <v>0</v>
      </c>
      <c r="P54" s="1965">
        <v>0</v>
      </c>
      <c r="Q54" s="1965">
        <v>0</v>
      </c>
      <c r="R54" s="1965">
        <v>0</v>
      </c>
      <c r="S54" s="1965">
        <v>0</v>
      </c>
      <c r="T54" s="1965">
        <v>0</v>
      </c>
      <c r="U54" s="1965">
        <v>0</v>
      </c>
      <c r="V54" s="1965">
        <v>0</v>
      </c>
      <c r="W54" s="1965">
        <v>0</v>
      </c>
      <c r="X54" s="1965">
        <v>0</v>
      </c>
      <c r="Y54" s="1965">
        <v>0</v>
      </c>
      <c r="Z54" s="519"/>
      <c r="AA54" s="2359"/>
      <c r="AB54" s="521"/>
      <c r="AC54" s="521"/>
      <c r="AD54" s="521"/>
      <c r="AE54" s="521"/>
      <c r="AF54" s="521"/>
      <c r="AG54" s="521"/>
      <c r="AH54" s="521"/>
      <c r="AI54" s="519"/>
    </row>
    <row r="55" spans="1:37" ht="15" customHeight="1">
      <c r="A55" s="431"/>
      <c r="B55" s="130"/>
      <c r="C55" s="453"/>
      <c r="D55" s="453" t="s">
        <v>210</v>
      </c>
      <c r="E55" s="1964">
        <v>0</v>
      </c>
      <c r="F55" s="1964">
        <v>0</v>
      </c>
      <c r="G55" s="1964">
        <v>0</v>
      </c>
      <c r="H55" s="1964">
        <v>0</v>
      </c>
      <c r="I55" s="1964">
        <v>0</v>
      </c>
      <c r="J55" s="1964">
        <v>0</v>
      </c>
      <c r="K55" s="1964">
        <v>0</v>
      </c>
      <c r="L55" s="1964">
        <v>0</v>
      </c>
      <c r="M55" s="1964">
        <v>0</v>
      </c>
      <c r="N55" s="1964">
        <v>0</v>
      </c>
      <c r="O55" s="1966">
        <v>0</v>
      </c>
      <c r="P55" s="1966">
        <v>0</v>
      </c>
      <c r="Q55" s="1966">
        <v>0</v>
      </c>
      <c r="R55" s="1966">
        <v>0</v>
      </c>
      <c r="S55" s="1966">
        <v>0</v>
      </c>
      <c r="T55" s="1966">
        <v>0</v>
      </c>
      <c r="U55" s="1966">
        <v>0</v>
      </c>
      <c r="V55" s="1966">
        <v>0</v>
      </c>
      <c r="W55" s="1966">
        <v>0</v>
      </c>
      <c r="X55" s="1966">
        <v>0</v>
      </c>
      <c r="Y55" s="1964">
        <v>0</v>
      </c>
      <c r="Z55" s="2371">
        <v>0</v>
      </c>
      <c r="AA55" s="2351">
        <v>0</v>
      </c>
      <c r="AB55" s="1944">
        <v>0</v>
      </c>
      <c r="AC55" s="1944">
        <v>0</v>
      </c>
      <c r="AD55" s="1944">
        <v>0</v>
      </c>
      <c r="AE55" s="1944">
        <v>0</v>
      </c>
      <c r="AF55" s="1944">
        <v>0</v>
      </c>
      <c r="AG55" s="1944">
        <v>0</v>
      </c>
      <c r="AH55" s="1944">
        <v>0</v>
      </c>
      <c r="AI55" s="1946">
        <v>0</v>
      </c>
    </row>
    <row r="56" spans="1:37" ht="15" customHeight="1">
      <c r="A56" s="431"/>
      <c r="B56" s="130"/>
      <c r="C56" s="453"/>
      <c r="D56" s="453" t="s">
        <v>1533</v>
      </c>
      <c r="E56" s="522">
        <f>E47+E48+E49+E55+E50+E51+E52+E53+E54</f>
        <v>0</v>
      </c>
      <c r="F56" s="522">
        <f t="shared" ref="F56:Z56" si="13">F47+F48+F49+F55+F50+F51+F52+F53+F54</f>
        <v>0</v>
      </c>
      <c r="G56" s="522">
        <f t="shared" si="13"/>
        <v>0</v>
      </c>
      <c r="H56" s="522">
        <f t="shared" si="13"/>
        <v>0</v>
      </c>
      <c r="I56" s="522">
        <f t="shared" si="13"/>
        <v>0</v>
      </c>
      <c r="J56" s="522">
        <f t="shared" si="13"/>
        <v>0</v>
      </c>
      <c r="K56" s="522">
        <f t="shared" si="13"/>
        <v>0</v>
      </c>
      <c r="L56" s="522">
        <f t="shared" si="13"/>
        <v>0</v>
      </c>
      <c r="M56" s="522">
        <f t="shared" si="13"/>
        <v>0</v>
      </c>
      <c r="N56" s="522">
        <f t="shared" si="13"/>
        <v>0</v>
      </c>
      <c r="O56" s="522">
        <f t="shared" si="13"/>
        <v>0</v>
      </c>
      <c r="P56" s="522">
        <f t="shared" si="13"/>
        <v>0</v>
      </c>
      <c r="Q56" s="522">
        <f t="shared" si="13"/>
        <v>0</v>
      </c>
      <c r="R56" s="522">
        <f t="shared" si="13"/>
        <v>0</v>
      </c>
      <c r="S56" s="522">
        <f t="shared" si="13"/>
        <v>0</v>
      </c>
      <c r="T56" s="522">
        <f t="shared" si="13"/>
        <v>0</v>
      </c>
      <c r="U56" s="522">
        <f t="shared" si="13"/>
        <v>0</v>
      </c>
      <c r="V56" s="522">
        <f t="shared" si="13"/>
        <v>0</v>
      </c>
      <c r="W56" s="522">
        <f t="shared" si="13"/>
        <v>0</v>
      </c>
      <c r="X56" s="522">
        <f t="shared" si="13"/>
        <v>0</v>
      </c>
      <c r="Y56" s="522">
        <f t="shared" si="13"/>
        <v>0</v>
      </c>
      <c r="Z56" s="1540">
        <f t="shared" si="13"/>
        <v>0</v>
      </c>
      <c r="AA56" s="2372">
        <f t="shared" ref="AA56:AI56" si="14">AA55</f>
        <v>0</v>
      </c>
      <c r="AB56" s="522">
        <f t="shared" si="14"/>
        <v>0</v>
      </c>
      <c r="AC56" s="522">
        <f t="shared" si="14"/>
        <v>0</v>
      </c>
      <c r="AD56" s="522">
        <f t="shared" si="14"/>
        <v>0</v>
      </c>
      <c r="AE56" s="522">
        <f t="shared" si="14"/>
        <v>0</v>
      </c>
      <c r="AF56" s="522">
        <f t="shared" si="14"/>
        <v>0</v>
      </c>
      <c r="AG56" s="522">
        <f t="shared" si="14"/>
        <v>0</v>
      </c>
      <c r="AH56" s="522">
        <f t="shared" si="14"/>
        <v>0</v>
      </c>
      <c r="AI56" s="1540">
        <f t="shared" si="14"/>
        <v>0</v>
      </c>
      <c r="AJ56" s="442"/>
      <c r="AK56" s="442"/>
    </row>
    <row r="57" spans="1:37" ht="16.5" customHeight="1" thickBot="1">
      <c r="A57" s="431"/>
      <c r="B57" s="130"/>
      <c r="C57" s="461"/>
      <c r="D57" s="461" t="s">
        <v>1534</v>
      </c>
      <c r="E57" s="468">
        <f>E45-E56</f>
        <v>0</v>
      </c>
      <c r="F57" s="468">
        <f t="shared" ref="F57:N57" si="15">F45-F56</f>
        <v>0</v>
      </c>
      <c r="G57" s="468">
        <f t="shared" si="15"/>
        <v>0</v>
      </c>
      <c r="H57" s="468">
        <f t="shared" si="15"/>
        <v>0</v>
      </c>
      <c r="I57" s="468">
        <f t="shared" si="15"/>
        <v>0</v>
      </c>
      <c r="J57" s="468">
        <f t="shared" si="15"/>
        <v>0</v>
      </c>
      <c r="K57" s="468">
        <f t="shared" si="15"/>
        <v>0</v>
      </c>
      <c r="L57" s="468">
        <f t="shared" si="15"/>
        <v>0</v>
      </c>
      <c r="M57" s="468">
        <f t="shared" si="15"/>
        <v>0</v>
      </c>
      <c r="N57" s="468">
        <f t="shared" si="15"/>
        <v>0</v>
      </c>
      <c r="O57" s="469">
        <f t="shared" ref="O57:V57" si="16">O45-O56</f>
        <v>0</v>
      </c>
      <c r="P57" s="469">
        <f t="shared" si="16"/>
        <v>0</v>
      </c>
      <c r="Q57" s="469">
        <f t="shared" si="16"/>
        <v>0</v>
      </c>
      <c r="R57" s="469">
        <f t="shared" si="16"/>
        <v>0</v>
      </c>
      <c r="S57" s="469">
        <f t="shared" si="16"/>
        <v>0</v>
      </c>
      <c r="T57" s="469">
        <f t="shared" si="16"/>
        <v>0</v>
      </c>
      <c r="U57" s="469">
        <f t="shared" si="16"/>
        <v>0</v>
      </c>
      <c r="V57" s="469">
        <f t="shared" si="16"/>
        <v>0</v>
      </c>
      <c r="W57" s="469">
        <f t="shared" ref="W57:AI57" si="17">W45-W56</f>
        <v>0</v>
      </c>
      <c r="X57" s="469">
        <f t="shared" si="17"/>
        <v>0</v>
      </c>
      <c r="Y57" s="468">
        <f t="shared" si="17"/>
        <v>0</v>
      </c>
      <c r="Z57" s="1539">
        <f>Z45-Z56</f>
        <v>0</v>
      </c>
      <c r="AA57" s="2373">
        <f t="shared" si="17"/>
        <v>0</v>
      </c>
      <c r="AB57" s="468">
        <f t="shared" si="17"/>
        <v>0</v>
      </c>
      <c r="AC57" s="468">
        <f t="shared" si="17"/>
        <v>0</v>
      </c>
      <c r="AD57" s="468">
        <f t="shared" si="17"/>
        <v>0</v>
      </c>
      <c r="AE57" s="468">
        <f t="shared" si="17"/>
        <v>0</v>
      </c>
      <c r="AF57" s="468">
        <f t="shared" si="17"/>
        <v>0</v>
      </c>
      <c r="AG57" s="468">
        <f t="shared" si="17"/>
        <v>0</v>
      </c>
      <c r="AH57" s="468">
        <f t="shared" si="17"/>
        <v>0</v>
      </c>
      <c r="AI57" s="1539">
        <f t="shared" si="17"/>
        <v>0</v>
      </c>
    </row>
    <row r="58" spans="1:37" ht="15.75" customHeight="1" thickTop="1">
      <c r="A58" s="431"/>
      <c r="B58" s="130"/>
      <c r="C58" s="456"/>
      <c r="D58" s="1519" t="s">
        <v>1535</v>
      </c>
      <c r="E58" s="569">
        <f>IF('Dist - Non Averaging'!E12='Standard Thresholds'!$A$6,IF(E57&lt;'Standard Thresholds'!$A$9,0,IF(E57&lt;('Standard Thresholds'!$A$10+1),((E57-'Standard Thresholds'!$A$9)*'Standard Thresholds'!$D$9),IF(E57&lt;('Standard Thresholds'!$A$11+1),((E57-'Standard Thresholds'!$A$10)*'Standard Thresholds'!$D$10+'Standard Thresholds'!$C$10),IF(E57&lt;('Standard Thresholds'!$A$12+1),((E57-'Standard Thresholds'!$A$11)*'Standard Thresholds'!$D$11+'Standard Thresholds'!$C$11),IF(E57&gt;'Standard Thresholds'!$A$12,((E57-'Standard Thresholds'!$A$12)*'Standard Thresholds'!$D$12+'Standard Thresholds'!$C$12)))))),IF('Standard Thresholds'!$A$18='Dist - Non Averaging'!E12,IF(E57&lt;('Standard Thresholds'!$A$21+1),((E57-'Standard Thresholds'!$A$20)*'Standard Thresholds'!$D$20+'Standard Thresholds'!$C$20),IF(E57&lt;('Standard Thresholds'!#REF!+1),((E57-'Standard Thresholds'!$A$21)*'Standard Thresholds'!$D$21+'Standard Thresholds'!$C$21),IF(E57&gt;'Standard Thresholds'!#REF!,((E57-'Standard Thresholds'!#REF!)*'Standard Thresholds'!#REF!+'Standard Thresholds'!#REF!)))),IF('Standard Thresholds'!#REF!='Dist - Non Averaging'!E12,IF(E57&lt;'Standard Thresholds'!#REF!,0,IF(E57&lt;('Standard Thresholds'!#REF!+1),((E57-'Standard Thresholds'!#REF!)*'Standard Thresholds'!#REF!),IF(E57&lt;('Standard Thresholds'!#REF!+1),((E57-'Standard Thresholds'!#REF!)*'Standard Thresholds'!#REF!+'Standard Thresholds'!#REF!),IF(E57&lt;('Standard Thresholds'!#REF!+1),((E57-'Standard Thresholds'!#REF!)*'Standard Thresholds'!#REF!+'Standard Thresholds'!#REF!),IF(E57&gt;'Standard Thresholds'!#REF!,((E57-'Standard Thresholds'!#REF!)*'Standard Thresholds'!#REF!+'Standard Thresholds'!#REF!)))))),0)))</f>
        <v>0</v>
      </c>
      <c r="F58" s="569">
        <f>IF('Dist - Non Averaging'!F12='Standard Thresholds'!$A$6,IF(F57&lt;'Standard Thresholds'!$A$9,0,IF(F57&lt;('Standard Thresholds'!$A$10+1),((F57-'Standard Thresholds'!$A$9)*'Standard Thresholds'!$D$9),IF(F57&lt;('Standard Thresholds'!$A$11+1),((F57-'Standard Thresholds'!$A$10)*'Standard Thresholds'!$D$10+'Standard Thresholds'!$C$10),IF(F57&lt;('Standard Thresholds'!$A$12+1),((F57-'Standard Thresholds'!$A$11)*'Standard Thresholds'!$D$11+'Standard Thresholds'!$C$11),IF(F57&gt;'Standard Thresholds'!$A$12,((F57-'Standard Thresholds'!$A$12)*'Standard Thresholds'!$D$12+'Standard Thresholds'!$C$12)))))),IF('Standard Thresholds'!$A$18='Dist - Non Averaging'!F12,IF(F57&lt;('Standard Thresholds'!$A$21+1),((F57-'Standard Thresholds'!$A$20)*'Standard Thresholds'!$D$20+'Standard Thresholds'!$C$20),IF(F57&lt;('Standard Thresholds'!#REF!+1),((F57-'Standard Thresholds'!$A$21)*'Standard Thresholds'!$D$21+'Standard Thresholds'!$C$21),IF(F57&gt;'Standard Thresholds'!#REF!,((F57-'Standard Thresholds'!#REF!)*'Standard Thresholds'!#REF!+'Standard Thresholds'!#REF!)))),IF('Standard Thresholds'!#REF!='Dist - Non Averaging'!F12,IF(F57&lt;'Standard Thresholds'!#REF!,0,IF(F57&lt;('Standard Thresholds'!#REF!+1),((F57-'Standard Thresholds'!#REF!)*'Standard Thresholds'!#REF!),IF(F57&lt;('Standard Thresholds'!#REF!+1),((F57-'Standard Thresholds'!#REF!)*'Standard Thresholds'!#REF!+'Standard Thresholds'!#REF!),IF(F57&lt;('Standard Thresholds'!#REF!+1),((F57-'Standard Thresholds'!#REF!)*'Standard Thresholds'!#REF!+'Standard Thresholds'!#REF!),IF(F57&gt;'Standard Thresholds'!#REF!,((F57-'Standard Thresholds'!#REF!)*'Standard Thresholds'!#REF!+'Standard Thresholds'!#REF!)))))),0)))</f>
        <v>0</v>
      </c>
      <c r="G58" s="569">
        <f>IF('Dist - Non Averaging'!G12='Standard Thresholds'!$A$6,IF(G57&lt;'Standard Thresholds'!$A$9,0,IF(G57&lt;('Standard Thresholds'!$A$10+1),((G57-'Standard Thresholds'!$A$9)*'Standard Thresholds'!$D$9),IF(G57&lt;('Standard Thresholds'!$A$11+1),((G57-'Standard Thresholds'!$A$10)*'Standard Thresholds'!$D$10+'Standard Thresholds'!$C$10),IF(G57&lt;('Standard Thresholds'!$A$12+1),((G57-'Standard Thresholds'!$A$11)*'Standard Thresholds'!$D$11+'Standard Thresholds'!$C$11),IF(G57&gt;'Standard Thresholds'!$A$12,((G57-'Standard Thresholds'!$A$12)*'Standard Thresholds'!$D$12+'Standard Thresholds'!$C$12)))))),IF('Standard Thresholds'!$A$18='Dist - Non Averaging'!G12,IF(G57&lt;('Standard Thresholds'!$A$21+1),((G57-'Standard Thresholds'!$A$20)*'Standard Thresholds'!$D$20+'Standard Thresholds'!$C$20),IF(G57&lt;('Standard Thresholds'!#REF!+1),((G57-'Standard Thresholds'!$A$21)*'Standard Thresholds'!$D$21+'Standard Thresholds'!$C$21),IF(G57&gt;'Standard Thresholds'!#REF!,((G57-'Standard Thresholds'!#REF!)*'Standard Thresholds'!#REF!+'Standard Thresholds'!#REF!)))),IF('Standard Thresholds'!#REF!='Dist - Non Averaging'!G12,IF(G57&lt;'Standard Thresholds'!#REF!,0,IF(G57&lt;('Standard Thresholds'!#REF!+1),((G57-'Standard Thresholds'!#REF!)*'Standard Thresholds'!#REF!),IF(G57&lt;('Standard Thresholds'!#REF!+1),((G57-'Standard Thresholds'!#REF!)*'Standard Thresholds'!#REF!+'Standard Thresholds'!#REF!),IF(G57&lt;('Standard Thresholds'!#REF!+1),((G57-'Standard Thresholds'!#REF!)*'Standard Thresholds'!#REF!+'Standard Thresholds'!#REF!),IF(G57&gt;'Standard Thresholds'!#REF!,((G57-'Standard Thresholds'!#REF!)*'Standard Thresholds'!#REF!+'Standard Thresholds'!#REF!)))))),0)))</f>
        <v>0</v>
      </c>
      <c r="H58" s="569">
        <f>IF('Dist - Non Averaging'!H12='Standard Thresholds'!$A$6,IF(H57&lt;'Standard Thresholds'!$A$9,0,IF(H57&lt;('Standard Thresholds'!$A$10+1),((H57-'Standard Thresholds'!$A$9)*'Standard Thresholds'!$D$9),IF(H57&lt;('Standard Thresholds'!$A$11+1),((H57-'Standard Thresholds'!$A$10)*'Standard Thresholds'!$D$10+'Standard Thresholds'!$C$10),IF(H57&lt;('Standard Thresholds'!$A$12+1),((H57-'Standard Thresholds'!$A$11)*'Standard Thresholds'!$D$11+'Standard Thresholds'!$C$11),IF(H57&gt;'Standard Thresholds'!$A$12,((H57-'Standard Thresholds'!$A$12)*'Standard Thresholds'!$D$12+'Standard Thresholds'!$C$12)))))),IF('Standard Thresholds'!$A$18='Dist - Non Averaging'!H12,IF(H57&lt;('Standard Thresholds'!$A$21+1),((H57-'Standard Thresholds'!$A$20)*'Standard Thresholds'!$D$20+'Standard Thresholds'!$C$20),IF(H57&lt;('Standard Thresholds'!#REF!+1),((H57-'Standard Thresholds'!$A$21)*'Standard Thresholds'!$D$21+'Standard Thresholds'!$C$21),IF(H57&gt;'Standard Thresholds'!#REF!,((H57-'Standard Thresholds'!#REF!)*'Standard Thresholds'!#REF!+'Standard Thresholds'!#REF!)))),IF('Standard Thresholds'!#REF!='Dist - Non Averaging'!H12,IF(H57&lt;'Standard Thresholds'!#REF!,0,IF(H57&lt;('Standard Thresholds'!#REF!+1),((H57-'Standard Thresholds'!#REF!)*'Standard Thresholds'!#REF!),IF(H57&lt;('Standard Thresholds'!#REF!+1),((H57-'Standard Thresholds'!#REF!)*'Standard Thresholds'!#REF!+'Standard Thresholds'!#REF!),IF(H57&lt;('Standard Thresholds'!#REF!+1),((H57-'Standard Thresholds'!#REF!)*'Standard Thresholds'!#REF!+'Standard Thresholds'!#REF!),IF(H57&gt;'Standard Thresholds'!#REF!,((H57-'Standard Thresholds'!#REF!)*'Standard Thresholds'!#REF!+'Standard Thresholds'!#REF!)))))),0)))</f>
        <v>0</v>
      </c>
      <c r="I58" s="569">
        <f>IF('Dist - Non Averaging'!I12='Standard Thresholds'!$A$6,IF(I57&lt;'Standard Thresholds'!$A$9,0,IF(I57&lt;('Standard Thresholds'!$A$10+1),((I57-'Standard Thresholds'!$A$9)*'Standard Thresholds'!$D$9),IF(I57&lt;('Standard Thresholds'!$A$11+1),((I57-'Standard Thresholds'!$A$10)*'Standard Thresholds'!$D$10+'Standard Thresholds'!$C$10),IF(I57&lt;('Standard Thresholds'!$A$12+1),((I57-'Standard Thresholds'!$A$11)*'Standard Thresholds'!$D$11+'Standard Thresholds'!$C$11),IF(I57&gt;'Standard Thresholds'!$A$12,((I57-'Standard Thresholds'!$A$12)*'Standard Thresholds'!$D$12+'Standard Thresholds'!$C$12)))))),IF('Standard Thresholds'!$A$18='Dist - Non Averaging'!I12,IF(I57&lt;('Standard Thresholds'!$A$21+1),((I57-'Standard Thresholds'!$A$20)*'Standard Thresholds'!$D$20+'Standard Thresholds'!$C$20),IF(I57&lt;('Standard Thresholds'!#REF!+1),((I57-'Standard Thresholds'!$A$21)*'Standard Thresholds'!$D$21+'Standard Thresholds'!$C$21),IF(I57&gt;'Standard Thresholds'!#REF!,((I57-'Standard Thresholds'!#REF!)*'Standard Thresholds'!#REF!+'Standard Thresholds'!#REF!)))),IF('Standard Thresholds'!#REF!='Dist - Non Averaging'!I12,IF(I57&lt;'Standard Thresholds'!#REF!,0,IF(I57&lt;('Standard Thresholds'!#REF!+1),((I57-'Standard Thresholds'!#REF!)*'Standard Thresholds'!#REF!),IF(I57&lt;('Standard Thresholds'!#REF!+1),((I57-'Standard Thresholds'!#REF!)*'Standard Thresholds'!#REF!+'Standard Thresholds'!#REF!),IF(I57&lt;('Standard Thresholds'!#REF!+1),((I57-'Standard Thresholds'!#REF!)*'Standard Thresholds'!#REF!+'Standard Thresholds'!#REF!),IF(I57&gt;'Standard Thresholds'!#REF!,((I57-'Standard Thresholds'!#REF!)*'Standard Thresholds'!#REF!+'Standard Thresholds'!#REF!)))))),0)))</f>
        <v>0</v>
      </c>
      <c r="J58" s="569">
        <f>IF('Dist - Non Averaging'!J12='Standard Thresholds'!$A$6,IF(J57&lt;'Standard Thresholds'!$A$9,0,IF(J57&lt;('Standard Thresholds'!$A$10+1),((J57-'Standard Thresholds'!$A$9)*'Standard Thresholds'!$D$9),IF(J57&lt;('Standard Thresholds'!$A$11+1),((J57-'Standard Thresholds'!$A$10)*'Standard Thresholds'!$D$10+'Standard Thresholds'!$C$10),IF(J57&lt;('Standard Thresholds'!$A$12+1),((J57-'Standard Thresholds'!$A$11)*'Standard Thresholds'!$D$11+'Standard Thresholds'!$C$11),IF(J57&gt;'Standard Thresholds'!$A$12,((J57-'Standard Thresholds'!$A$12)*'Standard Thresholds'!$D$12+'Standard Thresholds'!$C$12)))))),IF('Standard Thresholds'!$A$18='Dist - Non Averaging'!J12,IF(J57&lt;('Standard Thresholds'!$A$21+1),((J57-'Standard Thresholds'!$A$20)*'Standard Thresholds'!$D$20+'Standard Thresholds'!$C$20),IF(J57&lt;('Standard Thresholds'!#REF!+1),((J57-'Standard Thresholds'!$A$21)*'Standard Thresholds'!$D$21+'Standard Thresholds'!$C$21),IF(J57&gt;'Standard Thresholds'!#REF!,((J57-'Standard Thresholds'!#REF!)*'Standard Thresholds'!#REF!+'Standard Thresholds'!#REF!)))),IF('Standard Thresholds'!#REF!='Dist - Non Averaging'!J12,IF(J57&lt;'Standard Thresholds'!#REF!,0,IF(J57&lt;('Standard Thresholds'!#REF!+1),((J57-'Standard Thresholds'!#REF!)*'Standard Thresholds'!#REF!),IF(J57&lt;('Standard Thresholds'!#REF!+1),((J57-'Standard Thresholds'!#REF!)*'Standard Thresholds'!#REF!+'Standard Thresholds'!#REF!),IF(J57&lt;('Standard Thresholds'!#REF!+1),((J57-'Standard Thresholds'!#REF!)*'Standard Thresholds'!#REF!+'Standard Thresholds'!#REF!),IF(J57&gt;'Standard Thresholds'!#REF!,((J57-'Standard Thresholds'!#REF!)*'Standard Thresholds'!#REF!+'Standard Thresholds'!#REF!)))))),0)))</f>
        <v>0</v>
      </c>
      <c r="K58" s="569">
        <f>IF('Dist - Non Averaging'!K12='Standard Thresholds'!$A$6,IF(K57&lt;'Standard Thresholds'!$A$9,0,IF(K57&lt;('Standard Thresholds'!$A$10+1),((K57-'Standard Thresholds'!$A$9)*'Standard Thresholds'!$D$9),IF(K57&lt;('Standard Thresholds'!$A$11+1),((K57-'Standard Thresholds'!$A$10)*'Standard Thresholds'!$D$10+'Standard Thresholds'!$C$10),IF(K57&lt;('Standard Thresholds'!$A$12+1),((K57-'Standard Thresholds'!$A$11)*'Standard Thresholds'!$D$11+'Standard Thresholds'!$C$11),IF(K57&gt;'Standard Thresholds'!$A$12,((K57-'Standard Thresholds'!$A$12)*'Standard Thresholds'!$D$12+'Standard Thresholds'!$C$12)))))),IF('Standard Thresholds'!$A$18='Dist - Non Averaging'!K12,IF(K57&lt;('Standard Thresholds'!$A$21+1),((K57-'Standard Thresholds'!$A$20)*'Standard Thresholds'!$D$20+'Standard Thresholds'!$C$20),IF(K57&lt;('Standard Thresholds'!#REF!+1),((K57-'Standard Thresholds'!$A$21)*'Standard Thresholds'!$D$21+'Standard Thresholds'!$C$21),IF(K57&gt;'Standard Thresholds'!#REF!,((K57-'Standard Thresholds'!#REF!)*'Standard Thresholds'!#REF!+'Standard Thresholds'!#REF!)))),IF('Standard Thresholds'!#REF!='Dist - Non Averaging'!K12,IF(K57&lt;'Standard Thresholds'!#REF!,0,IF(K57&lt;('Standard Thresholds'!#REF!+1),((K57-'Standard Thresholds'!#REF!)*'Standard Thresholds'!#REF!),IF(K57&lt;('Standard Thresholds'!#REF!+1),((K57-'Standard Thresholds'!#REF!)*'Standard Thresholds'!#REF!+'Standard Thresholds'!#REF!),IF(K57&lt;('Standard Thresholds'!#REF!+1),((K57-'Standard Thresholds'!#REF!)*'Standard Thresholds'!#REF!+'Standard Thresholds'!#REF!),IF(K57&gt;'Standard Thresholds'!#REF!,((K57-'Standard Thresholds'!#REF!)*'Standard Thresholds'!#REF!+'Standard Thresholds'!#REF!)))))),0)))</f>
        <v>0</v>
      </c>
      <c r="L58" s="569">
        <f>IF('Dist - Non Averaging'!L12='Standard Thresholds'!$A$6,IF(L57&lt;'Standard Thresholds'!$A$9,0,IF(L57&lt;('Standard Thresholds'!$A$10+1),((L57-'Standard Thresholds'!$A$9)*'Standard Thresholds'!$D$9),IF(L57&lt;('Standard Thresholds'!$A$11+1),((L57-'Standard Thresholds'!$A$10)*'Standard Thresholds'!$D$10+'Standard Thresholds'!$C$10),IF(L57&lt;('Standard Thresholds'!$A$12+1),((L57-'Standard Thresholds'!$A$11)*'Standard Thresholds'!$D$11+'Standard Thresholds'!$C$11),IF(L57&gt;'Standard Thresholds'!$A$12,((L57-'Standard Thresholds'!$A$12)*'Standard Thresholds'!$D$12+'Standard Thresholds'!$C$12)))))),IF('Standard Thresholds'!$A$18='Dist - Non Averaging'!L12,IF(L57&lt;('Standard Thresholds'!$A$21+1),((L57-'Standard Thresholds'!$A$20)*'Standard Thresholds'!$D$20+'Standard Thresholds'!$C$20),IF(L57&lt;('Standard Thresholds'!#REF!+1),((L57-'Standard Thresholds'!$A$21)*'Standard Thresholds'!$D$21+'Standard Thresholds'!$C$21),IF(L57&gt;'Standard Thresholds'!#REF!,((L57-'Standard Thresholds'!#REF!)*'Standard Thresholds'!#REF!+'Standard Thresholds'!#REF!)))),IF('Standard Thresholds'!#REF!='Dist - Non Averaging'!L12,IF(L57&lt;'Standard Thresholds'!#REF!,0,IF(L57&lt;('Standard Thresholds'!#REF!+1),((L57-'Standard Thresholds'!#REF!)*'Standard Thresholds'!#REF!),IF(L57&lt;('Standard Thresholds'!#REF!+1),((L57-'Standard Thresholds'!#REF!)*'Standard Thresholds'!#REF!+'Standard Thresholds'!#REF!),IF(L57&lt;('Standard Thresholds'!#REF!+1),((L57-'Standard Thresholds'!#REF!)*'Standard Thresholds'!#REF!+'Standard Thresholds'!#REF!),IF(L57&gt;'Standard Thresholds'!#REF!,((L57-'Standard Thresholds'!#REF!)*'Standard Thresholds'!#REF!+'Standard Thresholds'!#REF!)))))),0)))</f>
        <v>0</v>
      </c>
      <c r="M58" s="569">
        <f>IF('Dist - Non Averaging'!M12='Standard Thresholds'!$A$6,IF(M57&lt;'Standard Thresholds'!$A$9,0,IF(M57&lt;('Standard Thresholds'!$A$10+1),((M57-'Standard Thresholds'!$A$9)*'Standard Thresholds'!$D$9),IF(M57&lt;('Standard Thresholds'!$A$11+1),((M57-'Standard Thresholds'!$A$10)*'Standard Thresholds'!$D$10+'Standard Thresholds'!$C$10),IF(M57&lt;('Standard Thresholds'!$A$12+1),((M57-'Standard Thresholds'!$A$11)*'Standard Thresholds'!$D$11+'Standard Thresholds'!$C$11),IF(M57&gt;'Standard Thresholds'!$A$12,((M57-'Standard Thresholds'!$A$12)*'Standard Thresholds'!$D$12+'Standard Thresholds'!$C$12)))))),IF('Standard Thresholds'!$A$18='Dist - Non Averaging'!M12,IF(M57&lt;('Standard Thresholds'!$A$21+1),((M57-'Standard Thresholds'!$A$20)*'Standard Thresholds'!$D$20+'Standard Thresholds'!$C$20),IF(M57&lt;('Standard Thresholds'!#REF!+1),((M57-'Standard Thresholds'!$A$21)*'Standard Thresholds'!$D$21+'Standard Thresholds'!$C$21),IF(M57&gt;'Standard Thresholds'!#REF!,((M57-'Standard Thresholds'!#REF!)*'Standard Thresholds'!#REF!+'Standard Thresholds'!#REF!)))),IF('Standard Thresholds'!#REF!='Dist - Non Averaging'!M12,IF(M57&lt;'Standard Thresholds'!#REF!,0,IF(M57&lt;('Standard Thresholds'!#REF!+1),((M57-'Standard Thresholds'!#REF!)*'Standard Thresholds'!#REF!),IF(M57&lt;('Standard Thresholds'!#REF!+1),((M57-'Standard Thresholds'!#REF!)*'Standard Thresholds'!#REF!+'Standard Thresholds'!#REF!),IF(M57&lt;('Standard Thresholds'!#REF!+1),((M57-'Standard Thresholds'!#REF!)*'Standard Thresholds'!#REF!+'Standard Thresholds'!#REF!),IF(M57&gt;'Standard Thresholds'!#REF!,((M57-'Standard Thresholds'!#REF!)*'Standard Thresholds'!#REF!+'Standard Thresholds'!#REF!)))))),0)))</f>
        <v>0</v>
      </c>
      <c r="N58" s="569">
        <f>IF('Dist - Non Averaging'!N12='Standard Thresholds'!$A$6,IF(N57&lt;'Standard Thresholds'!$A$9,0,IF(N57&lt;('Standard Thresholds'!$A$10+1),((N57-'Standard Thresholds'!$A$9)*'Standard Thresholds'!$D$9),IF(N57&lt;('Standard Thresholds'!$A$11+1),((N57-'Standard Thresholds'!$A$10)*'Standard Thresholds'!$D$10+'Standard Thresholds'!$C$10),IF(N57&lt;('Standard Thresholds'!$A$12+1),((N57-'Standard Thresholds'!$A$11)*'Standard Thresholds'!$D$11+'Standard Thresholds'!$C$11),IF(N57&gt;'Standard Thresholds'!$A$12,((N57-'Standard Thresholds'!$A$12)*'Standard Thresholds'!$D$12+'Standard Thresholds'!$C$12)))))),IF('Standard Thresholds'!$A$18='Dist - Non Averaging'!N12,IF(N57&lt;('Standard Thresholds'!$A$21+1),((N57-'Standard Thresholds'!$A$20)*'Standard Thresholds'!$D$20+'Standard Thresholds'!$C$20),IF(N57&lt;('Standard Thresholds'!#REF!+1),((N57-'Standard Thresholds'!$A$21)*'Standard Thresholds'!$D$21+'Standard Thresholds'!$C$21),IF(N57&gt;'Standard Thresholds'!#REF!,((N57-'Standard Thresholds'!#REF!)*'Standard Thresholds'!#REF!+'Standard Thresholds'!#REF!)))),IF('Standard Thresholds'!#REF!='Dist - Non Averaging'!N12,IF(N57&lt;'Standard Thresholds'!#REF!,0,IF(N57&lt;('Standard Thresholds'!#REF!+1),((N57-'Standard Thresholds'!#REF!)*'Standard Thresholds'!#REF!),IF(N57&lt;('Standard Thresholds'!#REF!+1),((N57-'Standard Thresholds'!#REF!)*'Standard Thresholds'!#REF!+'Standard Thresholds'!#REF!),IF(N57&lt;('Standard Thresholds'!#REF!+1),((N57-'Standard Thresholds'!#REF!)*'Standard Thresholds'!#REF!+'Standard Thresholds'!#REF!),IF(N57&gt;'Standard Thresholds'!#REF!,((N57-'Standard Thresholds'!#REF!)*'Standard Thresholds'!#REF!+'Standard Thresholds'!#REF!)))))),0)))</f>
        <v>0</v>
      </c>
      <c r="O58" s="523">
        <f t="shared" ref="O58:X58" si="18">IF(O57&lt;=0, 0, O57*O72)</f>
        <v>0</v>
      </c>
      <c r="P58" s="523">
        <f t="shared" si="18"/>
        <v>0</v>
      </c>
      <c r="Q58" s="523">
        <f t="shared" si="18"/>
        <v>0</v>
      </c>
      <c r="R58" s="523">
        <f t="shared" si="18"/>
        <v>0</v>
      </c>
      <c r="S58" s="523">
        <f t="shared" si="18"/>
        <v>0</v>
      </c>
      <c r="T58" s="523">
        <f t="shared" si="18"/>
        <v>0</v>
      </c>
      <c r="U58" s="523">
        <f t="shared" si="18"/>
        <v>0</v>
      </c>
      <c r="V58" s="523">
        <f t="shared" si="18"/>
        <v>0</v>
      </c>
      <c r="W58" s="523">
        <f t="shared" si="18"/>
        <v>0</v>
      </c>
      <c r="X58" s="523">
        <f t="shared" si="18"/>
        <v>0</v>
      </c>
      <c r="Y58" s="523">
        <f>IF(Y57&lt;=0, 0, Y57*Coy)</f>
        <v>0</v>
      </c>
      <c r="Z58" s="1547">
        <f>IF(Z20&lt;'Standard Thresholds'!$A$9,0,IF(Z20&lt;('Standard Thresholds'!$A$10+1),((Z20-'Standard Thresholds'!$A$9)*'Standard Thresholds'!$D$9),IF(Z20&lt;('Standard Thresholds'!$A$11+1),((Z20-'Standard Thresholds'!$A$10)*'Standard Thresholds'!$D$10+'Standard Thresholds'!$C$10),IF(Z20&lt;('Standard Thresholds'!$A$12+1),((Z20-'Standard Thresholds'!$A$11)*'Standard Thresholds'!$D$11+'Standard Thresholds'!$C$11),IF(Z20&gt;'Standard Thresholds'!$A$12,((Z20-'Standard Thresholds'!$A$12)*'Standard Thresholds'!$D$12+'Standard Thresholds'!$C$12))))))</f>
        <v>0</v>
      </c>
      <c r="AA58" s="2374">
        <f>IF(AA20&lt;'Standard Thresholds'!$A$9,0,IF(AA20&lt;('Standard Thresholds'!$A$10+1),((AA20-'Standard Thresholds'!$A$9)*'Standard Thresholds'!$D$9),IF(AA20&lt;('Standard Thresholds'!$A$11+1),((AA20-'Standard Thresholds'!$A$10)*'Standard Thresholds'!$D$10+'Standard Thresholds'!$C$10),IF(AA20&lt;('Standard Thresholds'!$A$12+1),((AA20-'Standard Thresholds'!$A$11)*'Standard Thresholds'!$D$11+'Standard Thresholds'!$C$11),IF(AA20&gt;'Standard Thresholds'!$A$12,((AA20-'Standard Thresholds'!$A$12)*'Standard Thresholds'!$D$12+'Standard Thresholds'!$C$12))))))</f>
        <v>0</v>
      </c>
      <c r="AB58" s="1538">
        <f>IF(AB20&lt;'Standard Thresholds'!$A$9,0,IF(AB20&lt;('Standard Thresholds'!$A$10+1),((AB20-'Standard Thresholds'!$A$9)*'Standard Thresholds'!$D$9),IF(AB20&lt;('Standard Thresholds'!$A$11+1),((AB20-'Standard Thresholds'!$A$10)*'Standard Thresholds'!$D$10+'Standard Thresholds'!$C$10),IF(AB20&lt;('Standard Thresholds'!$A$12+1),((AB20-'Standard Thresholds'!$A$11)*'Standard Thresholds'!$D$11+'Standard Thresholds'!$C$11),IF(AB20&gt;'Standard Thresholds'!$A$12,((AB20-'Standard Thresholds'!$A$12)*'Standard Thresholds'!$D$12+'Standard Thresholds'!$C$12))))))</f>
        <v>0</v>
      </c>
      <c r="AC58" s="1538">
        <f>IF(AC20&lt;'Standard Thresholds'!$A$9,0,IF(AC20&lt;('Standard Thresholds'!$A$10+1),((AC20-'Standard Thresholds'!$A$9)*'Standard Thresholds'!$D$9),IF(AC20&lt;('Standard Thresholds'!$A$11+1),((AC20-'Standard Thresholds'!$A$10)*'Standard Thresholds'!$D$10+'Standard Thresholds'!$C$10),IF(AC20&lt;('Standard Thresholds'!$A$12+1),((AC20-'Standard Thresholds'!$A$11)*'Standard Thresholds'!$D$11+'Standard Thresholds'!$C$11),IF(AC20&gt;'Standard Thresholds'!$A$12,((AC20-'Standard Thresholds'!$A$12)*'Standard Thresholds'!$D$12+'Standard Thresholds'!$C$12))))))</f>
        <v>0</v>
      </c>
      <c r="AD58" s="1538">
        <f>IF(AD20&lt;'Standard Thresholds'!$A$9,0,IF(AD20&lt;('Standard Thresholds'!$A$10+1),((AD20-'Standard Thresholds'!$A$9)*'Standard Thresholds'!$D$9),IF(AD20&lt;('Standard Thresholds'!$A$11+1),((AD20-'Standard Thresholds'!$A$10)*'Standard Thresholds'!$D$10+'Standard Thresholds'!$C$10),IF(AD20&lt;('Standard Thresholds'!$A$12+1),((AD20-'Standard Thresholds'!$A$11)*'Standard Thresholds'!$D$11+'Standard Thresholds'!$C$11),IF(AD20&gt;'Standard Thresholds'!$A$12,((AD20-'Standard Thresholds'!$A$12)*'Standard Thresholds'!$D$12+'Standard Thresholds'!$C$12))))))</f>
        <v>0</v>
      </c>
      <c r="AE58" s="1538">
        <f>IF(AE20&lt;'Standard Thresholds'!$A$9,0,IF(AE20&lt;('Standard Thresholds'!$A$10+1),((AE20-'Standard Thresholds'!$A$9)*'Standard Thresholds'!$D$9),IF(AE20&lt;('Standard Thresholds'!$A$11+1),((AE20-'Standard Thresholds'!$A$10)*'Standard Thresholds'!$D$10+'Standard Thresholds'!$C$10),IF(AE20&lt;('Standard Thresholds'!$A$12+1),((AE20-'Standard Thresholds'!$A$11)*'Standard Thresholds'!$D$11+'Standard Thresholds'!$C$11),IF(AE20&gt;'Standard Thresholds'!$A$12,((AE20-'Standard Thresholds'!$A$12)*'Standard Thresholds'!$D$12+'Standard Thresholds'!$C$12))))))</f>
        <v>0</v>
      </c>
      <c r="AF58" s="1538">
        <f>IF(AF20&lt;'Standard Thresholds'!$A$9,0,IF(AF20&lt;('Standard Thresholds'!$A$10+1),((AF20-'Standard Thresholds'!$A$9)*'Standard Thresholds'!$D$9),IF(AF20&lt;('Standard Thresholds'!$A$11+1),((AF20-'Standard Thresholds'!$A$10)*'Standard Thresholds'!$D$10+'Standard Thresholds'!$C$10),IF(AF20&lt;('Standard Thresholds'!$A$12+1),((AF20-'Standard Thresholds'!$A$11)*'Standard Thresholds'!$D$11+'Standard Thresholds'!$C$11),IF(AF20&gt;'Standard Thresholds'!$A$12,((AF20-'Standard Thresholds'!$A$12)*'Standard Thresholds'!$D$12+'Standard Thresholds'!$C$12))))))</f>
        <v>0</v>
      </c>
      <c r="AG58" s="1538">
        <f>IF(AG20&lt;'Standard Thresholds'!$A$9,0,IF(AG20&lt;('Standard Thresholds'!$A$10+1),((AG20-'Standard Thresholds'!$A$9)*'Standard Thresholds'!$D$9),IF(AG20&lt;('Standard Thresholds'!$A$11+1),((AG20-'Standard Thresholds'!$A$10)*'Standard Thresholds'!$D$10+'Standard Thresholds'!$C$10),IF(AG20&lt;('Standard Thresholds'!$A$12+1),((AG20-'Standard Thresholds'!$A$11)*'Standard Thresholds'!$D$11+'Standard Thresholds'!$C$11),IF(AG20&gt;'Standard Thresholds'!$A$12,((AG20-'Standard Thresholds'!$A$12)*'Standard Thresholds'!$D$12+'Standard Thresholds'!$C$12))))))</f>
        <v>0</v>
      </c>
      <c r="AH58" s="1538">
        <f>IF(AH20&lt;'Standard Thresholds'!$A$9,0,IF(AH20&lt;('Standard Thresholds'!$A$10+1),((AH20-'Standard Thresholds'!$A$9)*'Standard Thresholds'!$D$9),IF(AH20&lt;('Standard Thresholds'!$A$11+1),((AH20-'Standard Thresholds'!$A$10)*'Standard Thresholds'!$D$10+'Standard Thresholds'!$C$10),IF(AH20&lt;('Standard Thresholds'!$A$12+1),((AH20-'Standard Thresholds'!$A$11)*'Standard Thresholds'!$D$11+'Standard Thresholds'!$C$11),IF(AH20&gt;'Standard Thresholds'!$A$12,((AH20-'Standard Thresholds'!$A$12)*'Standard Thresholds'!$D$12+'Standard Thresholds'!$C$12))))))</f>
        <v>0</v>
      </c>
      <c r="AI58" s="1547">
        <f>IF(AI20&lt;'Standard Thresholds'!$A$9,0,IF(AI20&lt;('Standard Thresholds'!$A$10+1),((AI20-'Standard Thresholds'!$A$9)*'Standard Thresholds'!$D$9),IF(AI20&lt;('Standard Thresholds'!$A$11+1),((AI20-'Standard Thresholds'!$A$10)*'Standard Thresholds'!$D$10+'Standard Thresholds'!$C$10),IF(AI20&lt;('Standard Thresholds'!$A$12+1),((AI20-'Standard Thresholds'!$A$11)*'Standard Thresholds'!$D$11+'Standard Thresholds'!$C$11),IF(AI20&gt;'Standard Thresholds'!$A$12,((AI20-'Standard Thresholds'!$A$12)*'Standard Thresholds'!$D$12+'Standard Thresholds'!$C$12))))))</f>
        <v>0</v>
      </c>
    </row>
    <row r="59" spans="1:37" ht="15.75" customHeight="1">
      <c r="A59" s="431"/>
      <c r="B59" s="1604"/>
      <c r="C59" s="1887"/>
      <c r="D59" s="1888" t="s">
        <v>1789</v>
      </c>
      <c r="E59" s="1537"/>
      <c r="F59" s="1537"/>
      <c r="G59" s="1537"/>
      <c r="H59" s="1537"/>
      <c r="I59" s="1537"/>
      <c r="J59" s="1537"/>
      <c r="K59" s="1537"/>
      <c r="L59" s="1537"/>
      <c r="M59" s="1537"/>
      <c r="N59" s="1537"/>
      <c r="O59" s="524"/>
      <c r="P59" s="524"/>
      <c r="Q59" s="524"/>
      <c r="R59" s="524"/>
      <c r="S59" s="524"/>
      <c r="T59" s="524"/>
      <c r="U59" s="524"/>
      <c r="V59" s="524"/>
      <c r="W59" s="524"/>
      <c r="X59" s="524"/>
      <c r="Y59" s="2375"/>
      <c r="Z59" s="1548">
        <f>IF(Z57-Z20&lt;=0,0,((INDEX(Minors_Tax_Rates,MATCH(Z57-Z20-1,Minors_Thresholds,1),3))*IF(AND((Z57-Z20)&gt;'Standard Thresholds'!$A$147,(Z57-Z20)&lt;='Standard Thresholds'!$A$148),(Z57-Z20-'Standard Thresholds'!$A$147),(Z57-Z20))))</f>
        <v>0</v>
      </c>
      <c r="AA59" s="2376">
        <f>IF(AA57-AA20&lt;=0,0,((INDEX(Minors_Tax_Rates,MATCH(AA57-AA20-1,Minors_Thresholds,1),3))*IF(AND((AA57-AA20)&gt;'Standard Thresholds'!$A$147,(AA57-AA20)&lt;='Standard Thresholds'!$A$148),(AA57-AA20-'Standard Thresholds'!$A$147),(AA57-AA20))))</f>
        <v>0</v>
      </c>
      <c r="AB59" s="552">
        <f>IF(AB57-AB20&lt;=0,0,((INDEX(Minors_Tax_Rates,MATCH(AB57-AB20-1,Minors_Thresholds,1),3))*IF(AND((AB57-AB20)&gt;'Standard Thresholds'!$A$147,(AB57-AB20)&lt;='Standard Thresholds'!$A$148),(AB57-AB20-'Standard Thresholds'!$A$147),(AB57-AB20))))</f>
        <v>0</v>
      </c>
      <c r="AC59" s="552">
        <f>IF(AC57-AC20&lt;=0,0,((INDEX(Minors_Tax_Rates,MATCH(AC57-AC20-1,Minors_Thresholds,1),3))*IF(AND((AC57-AC20)&gt;'Standard Thresholds'!$A$147,(AC57-AC20)&lt;='Standard Thresholds'!$A$148),(AC57-AC20-'Standard Thresholds'!$A$147),(AC57-AC20))))</f>
        <v>0</v>
      </c>
      <c r="AD59" s="552">
        <f>IF(AD57-AD20&lt;=0,0,((INDEX(Minors_Tax_Rates,MATCH(AD57-AD20-1,Minors_Thresholds,1),3))*IF(AND((AD57-AD20)&gt;'Standard Thresholds'!$A$147,(AD57-AD20)&lt;='Standard Thresholds'!$A$148),(AD57-AD20-'Standard Thresholds'!$A$147),(AD57-AD20))))</f>
        <v>0</v>
      </c>
      <c r="AE59" s="552">
        <f>IF(AE57-AE20&lt;=0,0,((INDEX(Minors_Tax_Rates,MATCH(AE57-AE20-1,Minors_Thresholds,1),3))*IF(AND((AE57-AE20)&gt;'Standard Thresholds'!$A$147,(AE57-AE20)&lt;='Standard Thresholds'!$A$148),(AE57-AE20-'Standard Thresholds'!$A$147),(AE57-AE20))))</f>
        <v>0</v>
      </c>
      <c r="AF59" s="552">
        <f>IF(AF57-AF20&lt;=0,0,((INDEX(Minors_Tax_Rates,MATCH(AF57-AF20-1,Minors_Thresholds,1),3))*IF(AND((AF57-AF20)&gt;'Standard Thresholds'!$A$147,(AF57-AF20)&lt;='Standard Thresholds'!$A$148),(AF57-AF20-'Standard Thresholds'!$A$147),(AF57-AF20))))</f>
        <v>0</v>
      </c>
      <c r="AG59" s="552">
        <f>IF(AG57-AG20&lt;=0,0,((INDEX(Minors_Tax_Rates,MATCH(AG57-AG20-1,Minors_Thresholds,1),3))*IF(AND((AG57-AG20)&gt;'Standard Thresholds'!$A$147,(AG57-AG20)&lt;='Standard Thresholds'!$A$148),(AG57-AG20-'Standard Thresholds'!$A$147),(AG57-AG20))))</f>
        <v>0</v>
      </c>
      <c r="AH59" s="552">
        <f>IF(AH57-AH20&lt;=0,0,((INDEX(Minors_Tax_Rates,MATCH(AH57-AH20-1,Minors_Thresholds,1),3))*IF(AND((AH57-AH20)&gt;'Standard Thresholds'!$A$147,(AH57-AH20)&lt;='Standard Thresholds'!$A$148),(AH57-AH20-'Standard Thresholds'!$A$147),(AH57-AH20))))</f>
        <v>0</v>
      </c>
      <c r="AI59" s="1548">
        <f>IF(AI57-AI20&lt;=0,0,((INDEX(Minors_Tax_Rates,MATCH(AI57-AI20-1,Minors_Thresholds,1),3))*IF(AND((AI57-AI20)&gt;'Standard Thresholds'!$A$147,(AI57-AI20)&lt;='Standard Thresholds'!$A$148),(AI57-AI20-'Standard Thresholds'!$A$147),(AI57-AI20))))</f>
        <v>0</v>
      </c>
    </row>
    <row r="60" spans="1:37" ht="15" customHeight="1">
      <c r="A60" s="431"/>
      <c r="B60" s="1604"/>
      <c r="C60" s="1887"/>
      <c r="D60" s="1888" t="s">
        <v>1793</v>
      </c>
      <c r="E60" s="570">
        <f>IF(E12="Resident",IF(E57&lt;'Standard Thresholds'!$F$28,(E57*0),IF(E57&lt;'Standard Thresholds'!$F$29,(E57-'Standard Thresholds'!$F$28)*'Standard Thresholds'!$G$29,E57*'Standard Thresholds'!$G$30)),0)</f>
        <v>0</v>
      </c>
      <c r="F60" s="570">
        <f>IF(F12="Resident",IF(F57&lt;'Standard Thresholds'!$F$28,(F57*0),IF(F57&lt;'Standard Thresholds'!$F$29,(F57-'Standard Thresholds'!$F$28)*'Standard Thresholds'!$G$29,F57*'Standard Thresholds'!$G$30)),0)</f>
        <v>0</v>
      </c>
      <c r="G60" s="570">
        <f>IF(G12="Resident",IF(G57&lt;'Standard Thresholds'!$F$28,(G57*0),IF(G57&lt;'Standard Thresholds'!$F$29,(G57-'Standard Thresholds'!$F$28)*'Standard Thresholds'!$G$29,G57*'Standard Thresholds'!$G$30)),0)</f>
        <v>0</v>
      </c>
      <c r="H60" s="570">
        <f>IF(H12="Resident",IF(H57&lt;'Standard Thresholds'!$F$28,(H57*0),IF(H57&lt;'Standard Thresholds'!$F$29,(H57-'Standard Thresholds'!$F$28)*'Standard Thresholds'!$G$29,H57*'Standard Thresholds'!$G$30)),0)</f>
        <v>0</v>
      </c>
      <c r="I60" s="570">
        <f>IF(I12="Resident",IF(I57&lt;'Standard Thresholds'!$F$28,(I57*0),IF(I57&lt;'Standard Thresholds'!$F$29,(I57-'Standard Thresholds'!$F$28)*'Standard Thresholds'!$G$29,I57*'Standard Thresholds'!$G$30)),0)</f>
        <v>0</v>
      </c>
      <c r="J60" s="570">
        <f>IF(J12="Resident",IF(J57&lt;'Standard Thresholds'!$F$28,(J57*0),IF(J57&lt;'Standard Thresholds'!$F$29,(J57-'Standard Thresholds'!$F$28)*'Standard Thresholds'!$G$29,J57*'Standard Thresholds'!$G$30)),0)</f>
        <v>0</v>
      </c>
      <c r="K60" s="570">
        <f>IF(K12="Resident",IF(K57&lt;'Standard Thresholds'!$F$28,(K57*0),IF(K57&lt;'Standard Thresholds'!$F$29,(K57-'Standard Thresholds'!$F$28)*'Standard Thresholds'!$G$29,K57*'Standard Thresholds'!$G$30)),0)</f>
        <v>0</v>
      </c>
      <c r="L60" s="570">
        <f>IF(L12="Resident",IF(L57&lt;'Standard Thresholds'!$F$28,(L57*0),IF(L57&lt;'Standard Thresholds'!$F$29,(L57-'Standard Thresholds'!$F$28)*'Standard Thresholds'!$G$29,L57*'Standard Thresholds'!$G$30)),0)</f>
        <v>0</v>
      </c>
      <c r="M60" s="570">
        <f>IF(M12="Resident",IF(M57&lt;'Standard Thresholds'!$F$28,(M57*0),IF(M57&lt;'Standard Thresholds'!$F$29,(M57-'Standard Thresholds'!$F$28)*'Standard Thresholds'!$G$29,M57*'Standard Thresholds'!$G$30)),0)</f>
        <v>0</v>
      </c>
      <c r="N60" s="570">
        <f>IF(N12="Resident",IF(N57&lt;'Standard Thresholds'!$F$28,(N57*0),IF(N57&lt;'Standard Thresholds'!$F$29,(N57-'Standard Thresholds'!$F$28)*'Standard Thresholds'!$G$29,N57*'Standard Thresholds'!$G$30)),0)</f>
        <v>0</v>
      </c>
      <c r="O60" s="524"/>
      <c r="P60" s="524"/>
      <c r="Q60" s="524"/>
      <c r="R60" s="524"/>
      <c r="S60" s="524"/>
      <c r="T60" s="524"/>
      <c r="U60" s="524"/>
      <c r="V60" s="524"/>
      <c r="W60" s="524"/>
      <c r="X60" s="524"/>
      <c r="Y60" s="2375"/>
      <c r="Z60" s="1549">
        <f>IF(Z57&lt;'Standard Thresholds'!$F$28,(Z57*0),IF(Z57&lt;'Standard Thresholds'!$F$29,(Z57-'Standard Thresholds'!$F$28)*'Standard Thresholds'!$G$29,Z57*'Standard Thresholds'!$G$30))</f>
        <v>0</v>
      </c>
      <c r="AA60" s="2377">
        <f>IF(AA57&lt;'Standard Thresholds'!$F$28,(AA57*0),IF(AA57&lt;'Standard Thresholds'!$F$29,(AA57-'Standard Thresholds'!$F$28)*'Standard Thresholds'!$G$29,AA57*'Standard Thresholds'!$G$30))</f>
        <v>0</v>
      </c>
      <c r="AB60" s="570">
        <f>IF(AB57&lt;'Standard Thresholds'!$F$28,(AB57*0),IF(AB57&lt;'Standard Thresholds'!$F$29,(AB57-'Standard Thresholds'!$F$28)*'Standard Thresholds'!$G$29,AB57*'Standard Thresholds'!$G$30))</f>
        <v>0</v>
      </c>
      <c r="AC60" s="570">
        <f>IF(AC57&lt;'Standard Thresholds'!$F$28,(AC57*0),IF(AC57&lt;'Standard Thresholds'!$F$29,(AC57-'Standard Thresholds'!$F$28)*'Standard Thresholds'!$G$29,AC57*'Standard Thresholds'!$G$30))</f>
        <v>0</v>
      </c>
      <c r="AD60" s="570">
        <f>IF(AD57&lt;'Standard Thresholds'!$F$28,(AD57*0),IF(AD57&lt;'Standard Thresholds'!$F$29,(AD57-'Standard Thresholds'!$F$28)*'Standard Thresholds'!$G$29,AD57*'Standard Thresholds'!$G$30))</f>
        <v>0</v>
      </c>
      <c r="AE60" s="570">
        <f>IF(AE57&lt;'Standard Thresholds'!$F$28,(AE57*0),IF(AE57&lt;'Standard Thresholds'!$F$29,(AE57-'Standard Thresholds'!$F$28)*'Standard Thresholds'!$G$29,AE57*'Standard Thresholds'!$G$30))</f>
        <v>0</v>
      </c>
      <c r="AF60" s="570">
        <f>IF(AF57&lt;'Standard Thresholds'!$F$28,(AF57*0),IF(AF57&lt;'Standard Thresholds'!$F$29,(AF57-'Standard Thresholds'!$F$28)*'Standard Thresholds'!$G$29,AF57*'Standard Thresholds'!$G$30))</f>
        <v>0</v>
      </c>
      <c r="AG60" s="570">
        <f>IF(AG57&lt;'Standard Thresholds'!$F$28,(AG57*0),IF(AG57&lt;'Standard Thresholds'!$F$29,(AG57-'Standard Thresholds'!$F$28)*'Standard Thresholds'!$G$29,AG57*'Standard Thresholds'!$G$30))</f>
        <v>0</v>
      </c>
      <c r="AH60" s="570">
        <f>IF(AH57&lt;'Standard Thresholds'!$F$28,(AH57*0),IF(AH57&lt;'Standard Thresholds'!$F$29,(AH57-'Standard Thresholds'!$F$28)*'Standard Thresholds'!$G$29,AH57*'Standard Thresholds'!$G$30))</f>
        <v>0</v>
      </c>
      <c r="AI60" s="1549">
        <f>IF(AI57&lt;'Standard Thresholds'!$F$28,(AI57*0),IF(AI57&lt;'Standard Thresholds'!$F$29,(AI57-'Standard Thresholds'!$F$28)*'Standard Thresholds'!$G$29,AI57*'Standard Thresholds'!$G$30))</f>
        <v>0</v>
      </c>
    </row>
    <row r="61" spans="1:37" ht="15" customHeight="1">
      <c r="A61" s="431"/>
      <c r="B61" s="1604"/>
      <c r="C61" s="1887"/>
      <c r="D61" s="1889" t="s">
        <v>1773</v>
      </c>
      <c r="E61" s="570">
        <f t="shared" ref="E61:N61" si="19">IF(E12="Resident",IF(OR(E62="YES",IF(OR(E63=""=FALSE,E64&gt;0),MLS_Family+(MLS_Child*IF(E64&lt;=1,0,E64-1)),MLS_Single)&gt;=E66),0,E65*(IF(OR(E63=""=FALSE,E64&gt;0),INDEX(MLS,MATCH(E66,MLS_Family_C,1),3),INDEX(MLS,MATCH(E66,MLS_Single_C,1),3)))),0)</f>
        <v>0</v>
      </c>
      <c r="F61" s="570">
        <f t="shared" si="19"/>
        <v>0</v>
      </c>
      <c r="G61" s="570">
        <f t="shared" si="19"/>
        <v>0</v>
      </c>
      <c r="H61" s="570">
        <f t="shared" si="19"/>
        <v>0</v>
      </c>
      <c r="I61" s="570">
        <f t="shared" si="19"/>
        <v>0</v>
      </c>
      <c r="J61" s="570">
        <f t="shared" si="19"/>
        <v>0</v>
      </c>
      <c r="K61" s="570">
        <f t="shared" si="19"/>
        <v>0</v>
      </c>
      <c r="L61" s="570">
        <f t="shared" si="19"/>
        <v>0</v>
      </c>
      <c r="M61" s="570">
        <f t="shared" si="19"/>
        <v>0</v>
      </c>
      <c r="N61" s="570">
        <f t="shared" si="19"/>
        <v>0</v>
      </c>
      <c r="O61" s="524"/>
      <c r="P61" s="524"/>
      <c r="Q61" s="524"/>
      <c r="R61" s="524"/>
      <c r="S61" s="524"/>
      <c r="T61" s="524"/>
      <c r="U61" s="524"/>
      <c r="V61" s="524"/>
      <c r="W61" s="524"/>
      <c r="X61" s="524"/>
      <c r="Y61" s="2375"/>
      <c r="Z61" s="1549">
        <f t="shared" ref="Z61:AI61" si="20">IF(OR(Z62="YES",IF(OR(Z63=""=FALSE,Z64&gt;0),MLS_Family+(MLS_Child*IF(Z64&lt;=1,0,Z64-1)),MLS_Single)&gt;=Z66),0,Z65*(IF(OR(Z63=""=FALSE,Z64&gt;0),INDEX(MLS,MATCH(Z66,MLS_Family_C,1),3),INDEX(MLS,MATCH(Z66,MLS_Single_C,1),3))))</f>
        <v>0</v>
      </c>
      <c r="AA61" s="2377">
        <f t="shared" si="20"/>
        <v>0</v>
      </c>
      <c r="AB61" s="570">
        <f t="shared" si="20"/>
        <v>0</v>
      </c>
      <c r="AC61" s="570">
        <f t="shared" si="20"/>
        <v>0</v>
      </c>
      <c r="AD61" s="570">
        <f t="shared" si="20"/>
        <v>0</v>
      </c>
      <c r="AE61" s="570">
        <f t="shared" si="20"/>
        <v>0</v>
      </c>
      <c r="AF61" s="570">
        <f t="shared" si="20"/>
        <v>0</v>
      </c>
      <c r="AG61" s="570">
        <f t="shared" si="20"/>
        <v>0</v>
      </c>
      <c r="AH61" s="570">
        <f t="shared" si="20"/>
        <v>0</v>
      </c>
      <c r="AI61" s="1549">
        <f t="shared" si="20"/>
        <v>0</v>
      </c>
    </row>
    <row r="62" spans="1:37" ht="15" customHeight="1">
      <c r="A62" s="431"/>
      <c r="B62" s="1604"/>
      <c r="C62" s="1887"/>
      <c r="D62" s="1888" t="s">
        <v>1769</v>
      </c>
      <c r="E62" s="1963"/>
      <c r="F62" s="1963"/>
      <c r="G62" s="1963"/>
      <c r="H62" s="1963"/>
      <c r="I62" s="1963"/>
      <c r="J62" s="1963"/>
      <c r="K62" s="1963"/>
      <c r="L62" s="1963"/>
      <c r="M62" s="1963"/>
      <c r="N62" s="1963"/>
      <c r="O62" s="524"/>
      <c r="P62" s="524"/>
      <c r="Q62" s="524"/>
      <c r="R62" s="524"/>
      <c r="S62" s="524"/>
      <c r="T62" s="524"/>
      <c r="U62" s="524"/>
      <c r="V62" s="524"/>
      <c r="W62" s="524"/>
      <c r="X62" s="524"/>
      <c r="Y62" s="2375"/>
      <c r="Z62" s="1968"/>
      <c r="AA62" s="2378"/>
      <c r="AB62" s="1963"/>
      <c r="AC62" s="1963"/>
      <c r="AD62" s="1963"/>
      <c r="AE62" s="1963"/>
      <c r="AF62" s="1963"/>
      <c r="AG62" s="1963"/>
      <c r="AH62" s="1963"/>
      <c r="AI62" s="1968"/>
    </row>
    <row r="63" spans="1:37" ht="15" customHeight="1">
      <c r="A63" s="431"/>
      <c r="B63" s="1604"/>
      <c r="C63" s="1887"/>
      <c r="D63" s="1888" t="s">
        <v>1779</v>
      </c>
      <c r="E63" s="1963"/>
      <c r="F63" s="1963"/>
      <c r="G63" s="1963"/>
      <c r="H63" s="1963"/>
      <c r="I63" s="1963"/>
      <c r="J63" s="1963"/>
      <c r="K63" s="1963"/>
      <c r="L63" s="1963"/>
      <c r="M63" s="1963"/>
      <c r="N63" s="1963"/>
      <c r="O63" s="524"/>
      <c r="P63" s="524"/>
      <c r="Q63" s="524"/>
      <c r="R63" s="524"/>
      <c r="S63" s="524"/>
      <c r="T63" s="524"/>
      <c r="U63" s="524"/>
      <c r="V63" s="524"/>
      <c r="W63" s="524"/>
      <c r="X63" s="524"/>
      <c r="Y63" s="2375"/>
      <c r="Z63" s="2379"/>
      <c r="AA63" s="2380"/>
      <c r="AB63" s="2403"/>
      <c r="AC63" s="2403"/>
      <c r="AD63" s="2403"/>
      <c r="AE63" s="2403"/>
      <c r="AF63" s="2403"/>
      <c r="AG63" s="2403"/>
      <c r="AH63" s="1536"/>
      <c r="AI63" s="1172"/>
    </row>
    <row r="64" spans="1:37" ht="15" customHeight="1">
      <c r="A64" s="431"/>
      <c r="B64" s="1604"/>
      <c r="C64" s="1887"/>
      <c r="D64" s="1888" t="s">
        <v>1770</v>
      </c>
      <c r="E64" s="1970"/>
      <c r="F64" s="1971"/>
      <c r="G64" s="1971"/>
      <c r="H64" s="1971"/>
      <c r="I64" s="1971"/>
      <c r="J64" s="1971"/>
      <c r="K64" s="1971"/>
      <c r="L64" s="1971"/>
      <c r="M64" s="1971"/>
      <c r="N64" s="1971"/>
      <c r="O64" s="524"/>
      <c r="P64" s="524"/>
      <c r="Q64" s="524"/>
      <c r="R64" s="524"/>
      <c r="S64" s="524"/>
      <c r="T64" s="524"/>
      <c r="U64" s="524"/>
      <c r="V64" s="524"/>
      <c r="W64" s="524"/>
      <c r="X64" s="524"/>
      <c r="Y64" s="2375"/>
      <c r="Z64" s="2379"/>
      <c r="AA64" s="2380"/>
      <c r="AB64" s="2403"/>
      <c r="AC64" s="2403"/>
      <c r="AD64" s="2403"/>
      <c r="AE64" s="2403"/>
      <c r="AF64" s="2403"/>
      <c r="AG64" s="2403"/>
      <c r="AH64" s="1536"/>
      <c r="AI64" s="1172"/>
    </row>
    <row r="65" spans="1:38" ht="15" customHeight="1">
      <c r="A65" s="431"/>
      <c r="B65" s="1604"/>
      <c r="C65" s="1887"/>
      <c r="D65" s="1604" t="s">
        <v>1787</v>
      </c>
      <c r="E65" s="1546">
        <f>E57+E21</f>
        <v>0</v>
      </c>
      <c r="F65" s="1546">
        <f t="shared" ref="F65:N65" si="21">F57+F21</f>
        <v>0</v>
      </c>
      <c r="G65" s="1546">
        <f>G57+G21</f>
        <v>0</v>
      </c>
      <c r="H65" s="1546">
        <f t="shared" si="21"/>
        <v>0</v>
      </c>
      <c r="I65" s="1546">
        <f t="shared" si="21"/>
        <v>0</v>
      </c>
      <c r="J65" s="1546">
        <f t="shared" si="21"/>
        <v>0</v>
      </c>
      <c r="K65" s="1546">
        <f t="shared" si="21"/>
        <v>0</v>
      </c>
      <c r="L65" s="1546">
        <f t="shared" si="21"/>
        <v>0</v>
      </c>
      <c r="M65" s="1546">
        <f t="shared" si="21"/>
        <v>0</v>
      </c>
      <c r="N65" s="1546">
        <f t="shared" si="21"/>
        <v>0</v>
      </c>
      <c r="O65" s="524"/>
      <c r="P65" s="524"/>
      <c r="Q65" s="524"/>
      <c r="R65" s="524"/>
      <c r="S65" s="524"/>
      <c r="T65" s="524"/>
      <c r="U65" s="524"/>
      <c r="V65" s="524"/>
      <c r="W65" s="524"/>
      <c r="X65" s="524"/>
      <c r="Y65" s="2375"/>
      <c r="Z65" s="2381">
        <f t="shared" ref="Z65:AI65" si="22">Z57+Z21</f>
        <v>0</v>
      </c>
      <c r="AA65" s="2382">
        <f t="shared" si="22"/>
        <v>0</v>
      </c>
      <c r="AB65" s="1546">
        <f t="shared" si="22"/>
        <v>0</v>
      </c>
      <c r="AC65" s="1546">
        <f t="shared" si="22"/>
        <v>0</v>
      </c>
      <c r="AD65" s="1546">
        <f t="shared" si="22"/>
        <v>0</v>
      </c>
      <c r="AE65" s="1546">
        <f t="shared" si="22"/>
        <v>0</v>
      </c>
      <c r="AF65" s="1546">
        <f t="shared" si="22"/>
        <v>0</v>
      </c>
      <c r="AG65" s="1546">
        <f t="shared" si="22"/>
        <v>0</v>
      </c>
      <c r="AH65" s="1546">
        <f t="shared" si="22"/>
        <v>0</v>
      </c>
      <c r="AI65" s="1550">
        <f t="shared" si="22"/>
        <v>0</v>
      </c>
    </row>
    <row r="66" spans="1:38" ht="15" customHeight="1">
      <c r="A66" s="431"/>
      <c r="B66" s="1604"/>
      <c r="C66" s="1887"/>
      <c r="D66" s="1604" t="s">
        <v>1788</v>
      </c>
      <c r="E66" s="1546">
        <f t="shared" ref="E66:N66" si="23">E47+E57+E21+E22+SUMPRODUCT(--(Individuals_NA=E63),$E57:$N57+$E21:$N21+$E22:$N22)</f>
        <v>0</v>
      </c>
      <c r="F66" s="1546">
        <f t="shared" si="23"/>
        <v>0</v>
      </c>
      <c r="G66" s="1546">
        <f t="shared" si="23"/>
        <v>0</v>
      </c>
      <c r="H66" s="1546">
        <f t="shared" si="23"/>
        <v>0</v>
      </c>
      <c r="I66" s="1546">
        <f t="shared" si="23"/>
        <v>0</v>
      </c>
      <c r="J66" s="1546">
        <f t="shared" si="23"/>
        <v>0</v>
      </c>
      <c r="K66" s="1546">
        <f t="shared" si="23"/>
        <v>0</v>
      </c>
      <c r="L66" s="1546">
        <f t="shared" si="23"/>
        <v>0</v>
      </c>
      <c r="M66" s="1546">
        <f t="shared" si="23"/>
        <v>0</v>
      </c>
      <c r="N66" s="1546">
        <f t="shared" si="23"/>
        <v>0</v>
      </c>
      <c r="O66" s="524"/>
      <c r="P66" s="524"/>
      <c r="Q66" s="524"/>
      <c r="R66" s="524"/>
      <c r="S66" s="524"/>
      <c r="T66" s="524"/>
      <c r="U66" s="524"/>
      <c r="V66" s="524"/>
      <c r="W66" s="524"/>
      <c r="X66" s="524"/>
      <c r="Y66" s="2375"/>
      <c r="Z66" s="1563">
        <f t="shared" ref="Z66:AI66" si="24">Z57+Z21+Z22+SUMPRODUCT(--(Individuals_NA=Z63),$E57:$N57+$E21:$N21+$E22:$N22)</f>
        <v>0</v>
      </c>
      <c r="AA66" s="2382">
        <f t="shared" si="24"/>
        <v>0</v>
      </c>
      <c r="AB66" s="1546">
        <f t="shared" si="24"/>
        <v>0</v>
      </c>
      <c r="AC66" s="1546">
        <f t="shared" si="24"/>
        <v>0</v>
      </c>
      <c r="AD66" s="1546">
        <f t="shared" si="24"/>
        <v>0</v>
      </c>
      <c r="AE66" s="1546">
        <f t="shared" si="24"/>
        <v>0</v>
      </c>
      <c r="AF66" s="1546">
        <f t="shared" si="24"/>
        <v>0</v>
      </c>
      <c r="AG66" s="1546">
        <f t="shared" si="24"/>
        <v>0</v>
      </c>
      <c r="AH66" s="1546">
        <f t="shared" si="24"/>
        <v>0</v>
      </c>
      <c r="AI66" s="1550">
        <f t="shared" si="24"/>
        <v>0</v>
      </c>
    </row>
    <row r="67" spans="1:38" ht="15" customHeight="1">
      <c r="A67" s="431"/>
      <c r="B67" s="1604"/>
      <c r="C67" s="1887"/>
      <c r="D67" s="1890" t="s">
        <v>1791</v>
      </c>
      <c r="E67" s="1520">
        <f t="shared" ref="E67:N67" ca="1" si="25">IFERROR(IF(E57&lt;0,0,IF(SUM(E21,E22,E57)*INDEX(OFFSET(HECS_Repayment,1,,,1),MATCH(SUM(E21,E22,E57),OFFSET(HECS_Repayment,1,MATCH(YEAR($AI$9),OFFSET(HECS_Repayment,,,1),0)-1,,1)))&gt;E23,E23,SUM(E21,E22,E57)*INDEX(OFFSET(HECS_Repayment,1,,,1),MATCH(SUM(E21,E22,E57),OFFSET(HECS_Repayment,1,MATCH(YEAR($AI$9),OFFSET(HECS_Repayment,,,1),0)-1,,1))))),0)</f>
        <v>0</v>
      </c>
      <c r="F67" s="1520">
        <f t="shared" ca="1" si="25"/>
        <v>0</v>
      </c>
      <c r="G67" s="1520">
        <f t="shared" ca="1" si="25"/>
        <v>0</v>
      </c>
      <c r="H67" s="1520">
        <f t="shared" ca="1" si="25"/>
        <v>0</v>
      </c>
      <c r="I67" s="1520">
        <f t="shared" ca="1" si="25"/>
        <v>0</v>
      </c>
      <c r="J67" s="1520">
        <f t="shared" ca="1" si="25"/>
        <v>0</v>
      </c>
      <c r="K67" s="1520">
        <f t="shared" ca="1" si="25"/>
        <v>0</v>
      </c>
      <c r="L67" s="1520">
        <f t="shared" ca="1" si="25"/>
        <v>0</v>
      </c>
      <c r="M67" s="1520">
        <f t="shared" ca="1" si="25"/>
        <v>0</v>
      </c>
      <c r="N67" s="1520">
        <f t="shared" ca="1" si="25"/>
        <v>0</v>
      </c>
      <c r="O67" s="524"/>
      <c r="P67" s="524"/>
      <c r="Q67" s="524"/>
      <c r="R67" s="524"/>
      <c r="S67" s="524"/>
      <c r="T67" s="524"/>
      <c r="U67" s="524"/>
      <c r="V67" s="524"/>
      <c r="W67" s="524"/>
      <c r="X67" s="524"/>
      <c r="Y67" s="2375"/>
      <c r="Z67" s="2379"/>
      <c r="AA67" s="2380"/>
      <c r="AB67" s="2403"/>
      <c r="AC67" s="2403"/>
      <c r="AD67" s="2403"/>
      <c r="AE67" s="2403"/>
      <c r="AF67" s="2403"/>
      <c r="AG67" s="2403"/>
      <c r="AH67" s="1536"/>
      <c r="AI67" s="1172"/>
      <c r="AL67" s="2094"/>
    </row>
    <row r="68" spans="1:38" ht="15" customHeight="1">
      <c r="A68" s="431"/>
      <c r="B68" s="1604"/>
      <c r="C68" s="1891"/>
      <c r="D68" s="1891" t="s">
        <v>1533</v>
      </c>
      <c r="E68" s="571">
        <f ca="1">SUM(E58:E61,E67)</f>
        <v>0</v>
      </c>
      <c r="F68" s="571">
        <f t="shared" ref="F68:AI68" ca="1" si="26">SUM(F58:F61,F67)</f>
        <v>0</v>
      </c>
      <c r="G68" s="571">
        <f t="shared" ca="1" si="26"/>
        <v>0</v>
      </c>
      <c r="H68" s="571">
        <f ca="1">SUM(H58:H61,H67)</f>
        <v>0</v>
      </c>
      <c r="I68" s="571">
        <f t="shared" ca="1" si="26"/>
        <v>0</v>
      </c>
      <c r="J68" s="571">
        <f t="shared" ca="1" si="26"/>
        <v>0</v>
      </c>
      <c r="K68" s="571">
        <f t="shared" ca="1" si="26"/>
        <v>0</v>
      </c>
      <c r="L68" s="571">
        <f t="shared" ca="1" si="26"/>
        <v>0</v>
      </c>
      <c r="M68" s="571">
        <f t="shared" ca="1" si="26"/>
        <v>0</v>
      </c>
      <c r="N68" s="571">
        <f t="shared" ca="1" si="26"/>
        <v>0</v>
      </c>
      <c r="O68" s="571">
        <f t="shared" si="26"/>
        <v>0</v>
      </c>
      <c r="P68" s="571">
        <f t="shared" si="26"/>
        <v>0</v>
      </c>
      <c r="Q68" s="571">
        <f t="shared" si="26"/>
        <v>0</v>
      </c>
      <c r="R68" s="571">
        <f t="shared" si="26"/>
        <v>0</v>
      </c>
      <c r="S68" s="571">
        <f t="shared" si="26"/>
        <v>0</v>
      </c>
      <c r="T68" s="571">
        <f t="shared" si="26"/>
        <v>0</v>
      </c>
      <c r="U68" s="571">
        <f t="shared" si="26"/>
        <v>0</v>
      </c>
      <c r="V68" s="571">
        <f t="shared" si="26"/>
        <v>0</v>
      </c>
      <c r="W68" s="571">
        <f t="shared" si="26"/>
        <v>0</v>
      </c>
      <c r="X68" s="571">
        <f t="shared" si="26"/>
        <v>0</v>
      </c>
      <c r="Y68" s="571">
        <f t="shared" si="26"/>
        <v>0</v>
      </c>
      <c r="Z68" s="2383">
        <f t="shared" si="26"/>
        <v>0</v>
      </c>
      <c r="AA68" s="2384">
        <f t="shared" si="26"/>
        <v>0</v>
      </c>
      <c r="AB68" s="571">
        <f t="shared" si="26"/>
        <v>0</v>
      </c>
      <c r="AC68" s="571">
        <f t="shared" si="26"/>
        <v>0</v>
      </c>
      <c r="AD68" s="571">
        <f t="shared" si="26"/>
        <v>0</v>
      </c>
      <c r="AE68" s="571">
        <f t="shared" si="26"/>
        <v>0</v>
      </c>
      <c r="AF68" s="571">
        <f t="shared" si="26"/>
        <v>0</v>
      </c>
      <c r="AG68" s="571">
        <f t="shared" si="26"/>
        <v>0</v>
      </c>
      <c r="AH68" s="571">
        <f t="shared" si="26"/>
        <v>0</v>
      </c>
      <c r="AI68" s="1558">
        <f t="shared" si="26"/>
        <v>0</v>
      </c>
    </row>
    <row r="69" spans="1:38" ht="15" customHeight="1">
      <c r="A69" s="431"/>
      <c r="B69" s="1604"/>
      <c r="C69" s="1887"/>
      <c r="D69" s="1887" t="s">
        <v>1536</v>
      </c>
      <c r="E69" s="1944"/>
      <c r="F69" s="1944">
        <v>0</v>
      </c>
      <c r="G69" s="1944">
        <v>0</v>
      </c>
      <c r="H69" s="1944">
        <v>0</v>
      </c>
      <c r="I69" s="1969">
        <v>0</v>
      </c>
      <c r="J69" s="1944">
        <v>0</v>
      </c>
      <c r="K69" s="1944">
        <v>0</v>
      </c>
      <c r="L69" s="1944">
        <v>0</v>
      </c>
      <c r="M69" s="1944">
        <v>0</v>
      </c>
      <c r="N69" s="1944">
        <v>0</v>
      </c>
      <c r="O69" s="1969">
        <v>0</v>
      </c>
      <c r="P69" s="1969">
        <v>0</v>
      </c>
      <c r="Q69" s="1969">
        <v>0</v>
      </c>
      <c r="R69" s="1969">
        <v>0</v>
      </c>
      <c r="S69" s="1969">
        <v>0</v>
      </c>
      <c r="T69" s="1969">
        <v>0</v>
      </c>
      <c r="U69" s="1969">
        <v>0</v>
      </c>
      <c r="V69" s="1969">
        <v>0</v>
      </c>
      <c r="W69" s="1969">
        <v>0</v>
      </c>
      <c r="X69" s="1969">
        <v>0</v>
      </c>
      <c r="Y69" s="1944">
        <v>0</v>
      </c>
      <c r="Z69" s="1947">
        <v>0</v>
      </c>
      <c r="AA69" s="2351">
        <v>0</v>
      </c>
      <c r="AB69" s="1944">
        <v>0</v>
      </c>
      <c r="AC69" s="1944">
        <v>0</v>
      </c>
      <c r="AD69" s="1944">
        <v>0</v>
      </c>
      <c r="AE69" s="1944">
        <v>0</v>
      </c>
      <c r="AF69" s="1944">
        <v>0</v>
      </c>
      <c r="AG69" s="1944">
        <v>0</v>
      </c>
      <c r="AH69" s="1944">
        <v>0</v>
      </c>
      <c r="AI69" s="1947">
        <v>0</v>
      </c>
    </row>
    <row r="70" spans="1:38" ht="15" customHeight="1">
      <c r="A70" s="431"/>
      <c r="B70" s="1604"/>
      <c r="C70" s="1887"/>
      <c r="D70" s="1888" t="s">
        <v>2036</v>
      </c>
      <c r="E70" s="2055">
        <f>IF(E57&lt;='Standard Thresholds'!$A$167,'Standard Thresholds'!$C$167,IF(E57&lt;('Standard Thresholds'!$A$168),((((E57-'Standard Thresholds'!$A$167)*'Standard Thresholds'!$D$168)+'Standard Thresholds'!$C$168)+'Dist - Non Averaging'!$C$169),IF(E57&lt;('Standard Thresholds'!$A$169),((E57-'Standard Thresholds'!$A$168)*'Standard Thresholds'!$D$169+'Standard Thresholds'!$C$169),IF(E57&lt;=('Standard Thresholds'!$A$169),((E57-'Standard Thresholds'!$A$169)*'Standard Thresholds'!$D$169+'Standard Thresholds'!$C$169),IF(E57&lt;'Standard Thresholds'!$A$170,((E57-'Standard Thresholds'!$A$169)*'Standard Thresholds'!$D$170+'Standard Thresholds'!$C$170),IF(E57&gt;'Standard Thresholds'!$A$170,0,0))))))</f>
        <v>0</v>
      </c>
      <c r="F70" s="2055">
        <f>IF(F57&lt;='Standard Thresholds'!$A$167,'Standard Thresholds'!$C$167,IF(F57&lt;('Standard Thresholds'!$A$168),((((F57-'Standard Thresholds'!$A$167)*'Standard Thresholds'!$D$168)+'Standard Thresholds'!$C$168)+'Dist - Non Averaging'!$C$169),IF(F57&lt;('Standard Thresholds'!$A$169),((F57-'Standard Thresholds'!$A$168)*'Standard Thresholds'!$D$169+'Standard Thresholds'!$C$169),IF(F57&lt;=('Standard Thresholds'!$A$169),((F57-'Standard Thresholds'!$A$169)*'Standard Thresholds'!$D$169+'Standard Thresholds'!$C$169),IF(F57&lt;'Standard Thresholds'!$A$170,((F57-'Standard Thresholds'!$A$169)*'Standard Thresholds'!$D$170+'Standard Thresholds'!$C$170),IF(F57&gt;'Standard Thresholds'!$A$170,0,0))))))</f>
        <v>0</v>
      </c>
      <c r="G70" s="2055">
        <f>IF(G57&lt;='Standard Thresholds'!$A$167,'Standard Thresholds'!$C$167,IF(G57&lt;('Standard Thresholds'!$A$168),((((G57-'Standard Thresholds'!$A$167)*'Standard Thresholds'!$D$168)+'Standard Thresholds'!$C$168)+'Dist - Non Averaging'!$C$169),IF(G57&lt;('Standard Thresholds'!$A$169),((G57-'Standard Thresholds'!$A$168)*'Standard Thresholds'!$D$169+'Standard Thresholds'!$C$169),IF(G57&lt;=('Standard Thresholds'!$A$169),((G57-'Standard Thresholds'!$A$169)*'Standard Thresholds'!$D$169+'Standard Thresholds'!$C$169),IF(G57&lt;'Standard Thresholds'!$A$170,((G57-'Standard Thresholds'!$A$169)*'Standard Thresholds'!$D$170+'Standard Thresholds'!$C$170),IF(G57&gt;'Standard Thresholds'!$A$170,0,0))))))</f>
        <v>0</v>
      </c>
      <c r="H70" s="2055">
        <f>IF(H57&lt;='Standard Thresholds'!$A$167,'Standard Thresholds'!$C$167,IF(H57&lt;('Standard Thresholds'!$A$168),((((H57-'Standard Thresholds'!$A$167)*'Standard Thresholds'!$D$168)+'Standard Thresholds'!$C$168)+'Dist - Non Averaging'!$C$169),IF(H57&lt;('Standard Thresholds'!$A$169),((H57-'Standard Thresholds'!$A$168)*'Standard Thresholds'!$D$169+'Standard Thresholds'!$C$169),IF(H57&lt;=('Standard Thresholds'!$A$169),((H57-'Standard Thresholds'!$A$169)*'Standard Thresholds'!$D$169+'Standard Thresholds'!$C$169),IF(H57&lt;'Standard Thresholds'!$A$170,((H57-'Standard Thresholds'!$A$169)*'Standard Thresholds'!$D$170+'Standard Thresholds'!$C$170),IF(H57&gt;'Standard Thresholds'!$A$170,0,0))))))</f>
        <v>0</v>
      </c>
      <c r="I70" s="2055">
        <f>IF(I57&lt;='Standard Thresholds'!$A$167,'Standard Thresholds'!$C$167,IF(I57&lt;('Standard Thresholds'!$A$168),((((I57-'Standard Thresholds'!$A$167)*'Standard Thresholds'!$D$168)+'Standard Thresholds'!$C$168)+'Dist - Non Averaging'!$C$169),IF(I57&lt;('Standard Thresholds'!$A$169),((I57-'Standard Thresholds'!$A$168)*'Standard Thresholds'!$D$169+'Standard Thresholds'!$C$169),IF(I57&lt;=('Standard Thresholds'!$A$169),((I57-'Standard Thresholds'!$A$169)*'Standard Thresholds'!$D$169+'Standard Thresholds'!$C$169),IF(I57&lt;'Standard Thresholds'!$A$170,((I57-'Standard Thresholds'!$A$169)*'Standard Thresholds'!$D$170+'Standard Thresholds'!$C$170),IF(I57&gt;'Standard Thresholds'!$A$170,0,0))))))</f>
        <v>0</v>
      </c>
      <c r="J70" s="2055">
        <f>IF(J57&lt;='Standard Thresholds'!$A$167,'Standard Thresholds'!$C$167,IF(J57&lt;('Standard Thresholds'!$A$168),((((J57-'Standard Thresholds'!$A$167)*'Standard Thresholds'!$D$168)+'Standard Thresholds'!$C$168)+'Dist - Non Averaging'!$C$169),IF(J57&lt;('Standard Thresholds'!$A$169),((J57-'Standard Thresholds'!$A$168)*'Standard Thresholds'!$D$169+'Standard Thresholds'!$C$169),IF(J57&lt;=('Standard Thresholds'!$A$169),((J57-'Standard Thresholds'!$A$169)*'Standard Thresholds'!$D$169+'Standard Thresholds'!$C$169),IF(J57&lt;'Standard Thresholds'!$A$170,((J57-'Standard Thresholds'!$A$169)*'Standard Thresholds'!$D$170+'Standard Thresholds'!$C$170),IF(J57&gt;'Standard Thresholds'!$A$170,0,0))))))</f>
        <v>0</v>
      </c>
      <c r="K70" s="2055">
        <f>IF(K57&lt;='Standard Thresholds'!$A$167,'Standard Thresholds'!$C$167,IF(K57&lt;('Standard Thresholds'!$A$168),((((K57-'Standard Thresholds'!$A$167)*'Standard Thresholds'!$D$168)+'Standard Thresholds'!$C$168)+'Dist - Non Averaging'!$C$169),IF(K57&lt;('Standard Thresholds'!$A$169),((K57-'Standard Thresholds'!$A$168)*'Standard Thresholds'!$D$169+'Standard Thresholds'!$C$169),IF(K57&lt;=('Standard Thresholds'!$A$169),((K57-'Standard Thresholds'!$A$169)*'Standard Thresholds'!$D$169+'Standard Thresholds'!$C$169),IF(K57&lt;'Standard Thresholds'!$A$170,((K57-'Standard Thresholds'!$A$169)*'Standard Thresholds'!$D$170+'Standard Thresholds'!$C$170),IF(K57&gt;'Standard Thresholds'!$A$170,0,0))))))</f>
        <v>0</v>
      </c>
      <c r="L70" s="2055">
        <f>IF(L57&lt;='Standard Thresholds'!$A$167,'Standard Thresholds'!$C$167,IF(L57&lt;('Standard Thresholds'!$A$168),((((L57-'Standard Thresholds'!$A$167)*'Standard Thresholds'!$D$168)+'Standard Thresholds'!$C$168)+'Dist - Non Averaging'!$C$169),IF(L57&lt;('Standard Thresholds'!$A$169),((L57-'Standard Thresholds'!$A$168)*'Standard Thresholds'!$D$169+'Standard Thresholds'!$C$169),IF(L57&lt;=('Standard Thresholds'!$A$169),((L57-'Standard Thresholds'!$A$169)*'Standard Thresholds'!$D$169+'Standard Thresholds'!$C$169),IF(L57&lt;'Standard Thresholds'!$A$170,((L57-'Standard Thresholds'!$A$169)*'Standard Thresholds'!$D$170+'Standard Thresholds'!$C$170),IF(L57&gt;'Standard Thresholds'!$A$170,0,0))))))</f>
        <v>0</v>
      </c>
      <c r="M70" s="2055">
        <f>IF(M57&lt;='Standard Thresholds'!$A$167,'Standard Thresholds'!$C$167,IF(M57&lt;('Standard Thresholds'!$A$168),((((M57-'Standard Thresholds'!$A$167)*'Standard Thresholds'!$D$168)+'Standard Thresholds'!$C$168)+'Dist - Non Averaging'!$C$169),IF(M57&lt;('Standard Thresholds'!$A$169),((M57-'Standard Thresholds'!$A$168)*'Standard Thresholds'!$D$169+'Standard Thresholds'!$C$169),IF(M57&lt;=('Standard Thresholds'!$A$169),((M57-'Standard Thresholds'!$A$169)*'Standard Thresholds'!$D$169+'Standard Thresholds'!$C$169),IF(M57&lt;'Standard Thresholds'!$A$170,((M57-'Standard Thresholds'!$A$169)*'Standard Thresholds'!$D$170+'Standard Thresholds'!$C$170),IF(M57&gt;'Standard Thresholds'!$A$170,0,0))))))</f>
        <v>0</v>
      </c>
      <c r="N70" s="2055">
        <f>IF(N57&lt;='Standard Thresholds'!$A$167,'Standard Thresholds'!$C$167,IF(N57&lt;('Standard Thresholds'!$A$168),((((N57-'Standard Thresholds'!$A$167)*'Standard Thresholds'!$D$168)+'Standard Thresholds'!$C$168)+'Dist - Non Averaging'!$C$169),IF(N57&lt;('Standard Thresholds'!$A$169),((N57-'Standard Thresholds'!$A$168)*'Standard Thresholds'!$D$169+'Standard Thresholds'!$C$169),IF(N57&lt;=('Standard Thresholds'!$A$169),((N57-'Standard Thresholds'!$A$169)*'Standard Thresholds'!$D$169+'Standard Thresholds'!$C$169),IF(N57&lt;'Standard Thresholds'!$A$170,((N57-'Standard Thresholds'!$A$169)*'Standard Thresholds'!$D$170+'Standard Thresholds'!$C$170),IF(N57&gt;'Standard Thresholds'!$A$170,0,0))))))</f>
        <v>0</v>
      </c>
      <c r="O70" s="2056"/>
      <c r="P70" s="2056"/>
      <c r="Q70" s="2056"/>
      <c r="R70" s="2056"/>
      <c r="S70" s="2056"/>
      <c r="T70" s="2056"/>
      <c r="U70" s="2056"/>
      <c r="V70" s="2056"/>
      <c r="W70" s="2056"/>
      <c r="X70" s="2056"/>
      <c r="Y70" s="1815"/>
      <c r="Z70" s="2385">
        <f>IF(Z57&lt;='Standard Thresholds'!$A$167,'Standard Thresholds'!$C$167,IF(Z57&lt;('Standard Thresholds'!$A$168),((((Z57-'Standard Thresholds'!$A$167)*'Standard Thresholds'!$D$168)+'Standard Thresholds'!$C$168)+'Dist - Non Averaging'!$C$169),IF(Z57&lt;('Standard Thresholds'!$A$169),((Z57-'Standard Thresholds'!$A$168)*'Standard Thresholds'!$D$169+'Standard Thresholds'!$C$169),IF(Z57&lt;=('Standard Thresholds'!$A$169),((Z57-'Standard Thresholds'!$A$169)*'Standard Thresholds'!$D$169+'Standard Thresholds'!$C$169),IF(Z57&lt;'Standard Thresholds'!$A$170,((Z57-'Standard Thresholds'!$A$169)*'Standard Thresholds'!$D$170+'Standard Thresholds'!$C$170),IF(Z57&gt;'Standard Thresholds'!$A$170,0,0))))))</f>
        <v>0</v>
      </c>
      <c r="AA70" s="2386">
        <f>IF(AA57&lt;='Standard Thresholds'!$A$167,'Standard Thresholds'!$C$167,IF(AA57&lt;('Standard Thresholds'!$A$168),((((AA57-'Standard Thresholds'!$A$167)*'Standard Thresholds'!$D$168)+'Standard Thresholds'!$C$168)+'Dist - Non Averaging'!$C$169),IF(AA57&lt;('Standard Thresholds'!$A$169),((AA57-'Standard Thresholds'!$A$168)*'Standard Thresholds'!$D$169+'Standard Thresholds'!$C$169),IF(AA57&lt;=('Standard Thresholds'!$A$169),((AA57-'Standard Thresholds'!$A$169)*'Standard Thresholds'!$D$169+'Standard Thresholds'!$C$169),IF(AA57&lt;'Standard Thresholds'!$A$170,((AA57-'Standard Thresholds'!$A$169)*'Standard Thresholds'!$D$170+'Standard Thresholds'!$C$170),IF(AA57&gt;'Standard Thresholds'!$A$170,0,0))))))</f>
        <v>0</v>
      </c>
      <c r="AB70" s="2055">
        <f>IF(AB57&lt;='Standard Thresholds'!$A$167,'Standard Thresholds'!$C$167,IF(AB57&lt;('Standard Thresholds'!$A$168),((((AB57-'Standard Thresholds'!$A$167)*'Standard Thresholds'!$D$168)+'Standard Thresholds'!$C$168)+'Dist - Non Averaging'!$C$169),IF(AB57&lt;('Standard Thresholds'!$A$169),((AB57-'Standard Thresholds'!$A$168)*'Standard Thresholds'!$D$169+'Standard Thresholds'!$C$169),IF(AB57&lt;=('Standard Thresholds'!$A$169),((AB57-'Standard Thresholds'!$A$169)*'Standard Thresholds'!$D$169+'Standard Thresholds'!$C$169),IF(AB57&lt;'Standard Thresholds'!$A$170,((AB57-'Standard Thresholds'!$A$169)*'Standard Thresholds'!$D$170+'Standard Thresholds'!$C$170),IF(AB57&gt;'Standard Thresholds'!$A$170,0,0))))))</f>
        <v>0</v>
      </c>
      <c r="AC70" s="2055">
        <f>IF(AC57&lt;='Standard Thresholds'!$A$167,'Standard Thresholds'!$C$167,IF(AC57&lt;('Standard Thresholds'!$A$168),((((AC57-'Standard Thresholds'!$A$167)*'Standard Thresholds'!$D$168)+'Standard Thresholds'!$C$168)+'Dist - Non Averaging'!$C$169),IF(AC57&lt;('Standard Thresholds'!$A$169),((AC57-'Standard Thresholds'!$A$168)*'Standard Thresholds'!$D$169+'Standard Thresholds'!$C$169),IF(AC57&lt;=('Standard Thresholds'!$A$169),((AC57-'Standard Thresholds'!$A$169)*'Standard Thresholds'!$D$169+'Standard Thresholds'!$C$169),IF(AC57&lt;'Standard Thresholds'!$A$170,((AC57-'Standard Thresholds'!$A$169)*'Standard Thresholds'!$D$170+'Standard Thresholds'!$C$170),IF(AC57&gt;'Standard Thresholds'!$A$170,0,0))))))</f>
        <v>0</v>
      </c>
      <c r="AD70" s="2055">
        <f>IF(AD57&lt;='Standard Thresholds'!$A$167,'Standard Thresholds'!$C$167,IF(AD57&lt;('Standard Thresholds'!$A$168),((((AD57-'Standard Thresholds'!$A$167)*'Standard Thresholds'!$D$168)+'Standard Thresholds'!$C$168)+'Dist - Non Averaging'!$C$169),IF(AD57&lt;('Standard Thresholds'!$A$169),((AD57-'Standard Thresholds'!$A$168)*'Standard Thresholds'!$D$169+'Standard Thresholds'!$C$169),IF(AD57&lt;=('Standard Thresholds'!$A$169),((AD57-'Standard Thresholds'!$A$169)*'Standard Thresholds'!$D$169+'Standard Thresholds'!$C$169),IF(AD57&lt;'Standard Thresholds'!$A$170,((AD57-'Standard Thresholds'!$A$169)*'Standard Thresholds'!$D$170+'Standard Thresholds'!$C$170),IF(AD57&gt;'Standard Thresholds'!$A$170,0,0))))))</f>
        <v>0</v>
      </c>
      <c r="AE70" s="2055">
        <f>IF(AE57&lt;='Standard Thresholds'!$A$167,'Standard Thresholds'!$C$167,IF(AE57&lt;('Standard Thresholds'!$A$168),((((AE57-'Standard Thresholds'!$A$167)*'Standard Thresholds'!$D$168)+'Standard Thresholds'!$C$168)+'Dist - Non Averaging'!$C$169),IF(AE57&lt;('Standard Thresholds'!$A$169),((AE57-'Standard Thresholds'!$A$168)*'Standard Thresholds'!$D$169+'Standard Thresholds'!$C$169),IF(AE57&lt;=('Standard Thresholds'!$A$169),((AE57-'Standard Thresholds'!$A$169)*'Standard Thresholds'!$D$169+'Standard Thresholds'!$C$169),IF(AE57&lt;'Standard Thresholds'!$A$170,((AE57-'Standard Thresholds'!$A$169)*'Standard Thresholds'!$D$170+'Standard Thresholds'!$C$170),IF(AE57&gt;'Standard Thresholds'!$A$170,0,0))))))</f>
        <v>0</v>
      </c>
      <c r="AF70" s="2055">
        <f>IF(AF57&lt;='Standard Thresholds'!$A$167,'Standard Thresholds'!$C$167,IF(AF57&lt;('Standard Thresholds'!$A$168),((((AF57-'Standard Thresholds'!$A$167)*'Standard Thresholds'!$D$168)+'Standard Thresholds'!$C$168)+'Dist - Non Averaging'!$C$169),IF(AF57&lt;('Standard Thresholds'!$A$169),((AF57-'Standard Thresholds'!$A$168)*'Standard Thresholds'!$D$169+'Standard Thresholds'!$C$169),IF(AF57&lt;=('Standard Thresholds'!$A$169),((AF57-'Standard Thresholds'!$A$169)*'Standard Thresholds'!$D$169+'Standard Thresholds'!$C$169),IF(AF57&lt;'Standard Thresholds'!$A$170,((AF57-'Standard Thresholds'!$A$169)*'Standard Thresholds'!$D$170+'Standard Thresholds'!$C$170),IF(AF57&gt;'Standard Thresholds'!$A$170,0,0))))))</f>
        <v>0</v>
      </c>
      <c r="AG70" s="2055">
        <f>IF(AG57&lt;='Standard Thresholds'!$A$167,'Standard Thresholds'!$C$167,IF(AG57&lt;('Standard Thresholds'!$A$168),((((AG57-'Standard Thresholds'!$A$167)*'Standard Thresholds'!$D$168)+'Standard Thresholds'!$C$168)+'Dist - Non Averaging'!$C$169),IF(AG57&lt;('Standard Thresholds'!$A$169),((AG57-'Standard Thresholds'!$A$168)*'Standard Thresholds'!$D$169+'Standard Thresholds'!$C$169),IF(AG57&lt;=('Standard Thresholds'!$A$169),((AG57-'Standard Thresholds'!$A$169)*'Standard Thresholds'!$D$169+'Standard Thresholds'!$C$169),IF(AG57&lt;'Standard Thresholds'!$A$170,((AG57-'Standard Thresholds'!$A$169)*'Standard Thresholds'!$D$170+'Standard Thresholds'!$C$170),IF(AG57&gt;'Standard Thresholds'!$A$170,0,0))))))</f>
        <v>0</v>
      </c>
      <c r="AH70" s="2055">
        <f>IF(AH57&lt;='Standard Thresholds'!$A$167,'Standard Thresholds'!$C$167,IF(AH57&lt;('Standard Thresholds'!$A$168),((((AH57-'Standard Thresholds'!$A$167)*'Standard Thresholds'!$D$168)+'Standard Thresholds'!$C$168)+'Dist - Non Averaging'!$C$169),IF(AH57&lt;('Standard Thresholds'!$A$169),((AH57-'Standard Thresholds'!$A$168)*'Standard Thresholds'!$D$169+'Standard Thresholds'!$C$169),IF(AH57&lt;=('Standard Thresholds'!$A$169),((AH57-'Standard Thresholds'!$A$169)*'Standard Thresholds'!$D$169+'Standard Thresholds'!$C$169),IF(AH57&lt;'Standard Thresholds'!$A$170,((AH57-'Standard Thresholds'!$A$169)*'Standard Thresholds'!$D$170+'Standard Thresholds'!$C$170),IF(AH57&gt;'Standard Thresholds'!$A$170,0,0))))))</f>
        <v>0</v>
      </c>
      <c r="AI70" s="2385">
        <f>IF(AI57&lt;='Standard Thresholds'!$A$167,'Standard Thresholds'!$C$167,IF(AI57&lt;('Standard Thresholds'!$A$168),((((AI57-'Standard Thresholds'!$A$167)*'Standard Thresholds'!$D$168)+'Standard Thresholds'!$C$168)+'Dist - Non Averaging'!$C$169),IF(AI57&lt;('Standard Thresholds'!$A$169),((AI57-'Standard Thresholds'!$A$168)*'Standard Thresholds'!$D$169+'Standard Thresholds'!$C$169),IF(AI57&lt;=('Standard Thresholds'!$A$169),((AI57-'Standard Thresholds'!$A$169)*'Standard Thresholds'!$D$169+'Standard Thresholds'!$C$169),IF(AI57&lt;'Standard Thresholds'!$A$170,((AI57-'Standard Thresholds'!$A$169)*'Standard Thresholds'!$D$170+'Standard Thresholds'!$C$170),IF(AI57&gt;'Standard Thresholds'!$A$170,0,0))))))</f>
        <v>0</v>
      </c>
    </row>
    <row r="71" spans="1:38" ht="15" customHeight="1">
      <c r="A71" s="431"/>
      <c r="B71" s="1604"/>
      <c r="C71" s="1887"/>
      <c r="D71" s="2057" t="s">
        <v>2060</v>
      </c>
      <c r="E71" s="2055">
        <f>IF(E57&lt;='Standard Thresholds'!$A$175,'Standard Thresholds'!$C$175,IF(E57&lt;('Standard Thresholds'!$A$176),((((E57-'Standard Thresholds'!$A$175)*'Standard Thresholds'!$D$176)+'Standard Thresholds'!$C$176)+'Dist - Non Averaging'!$C$169),IF(E57&lt;=('Standard Thresholds'!$A$178),((E57-'Standard Thresholds'!$A$176)*'Standard Thresholds'!$D$178+'Standard Thresholds'!$C$178),IF(E57&lt;=('Standard Thresholds'!$A$178),((E57-'Standard Thresholds'!$A$178)*'Standard Thresholds'!$D$178+'Standard Thresholds'!$C$178),IF(E57&gt;'Standard Thresholds'!$A$179,((E57-'Standard Thresholds'!$A$178)*'Standard Thresholds'!$D$179+'Standard Thresholds'!$C$179),IF(E57&gt;'Standard Thresholds'!$A$179,0,0))))))</f>
        <v>0</v>
      </c>
      <c r="F71" s="2055">
        <f>IF(F57&lt;='Standard Thresholds'!$A$175,'Standard Thresholds'!$C$175,IF(F57&lt;('Standard Thresholds'!$A$176),((((F57-'Standard Thresholds'!$A$175)*'Standard Thresholds'!$D$176)+'Standard Thresholds'!$C$176)+'Dist - Non Averaging'!$C$169),IF(F57&lt;=('Standard Thresholds'!$A$178),((F57-'Standard Thresholds'!$A$176)*'Standard Thresholds'!$D$178+'Standard Thresholds'!$C$178),IF(F57&lt;=('Standard Thresholds'!$A$178),((F57-'Standard Thresholds'!$A$178)*'Standard Thresholds'!$D$178+'Standard Thresholds'!$C$178),IF(F57&gt;'Standard Thresholds'!$A$179,((F57-'Standard Thresholds'!$A$178)*'Standard Thresholds'!$D$179+'Standard Thresholds'!$C$179),IF(F57&gt;'Standard Thresholds'!$A$179,0,0))))))</f>
        <v>0</v>
      </c>
      <c r="G71" s="2055">
        <f>IF(G57&lt;='Standard Thresholds'!$A$175,'Standard Thresholds'!$C$175,IF(G57&lt;('Standard Thresholds'!$A$176),((((G57-'Standard Thresholds'!$A$175)*'Standard Thresholds'!$D$176)+'Standard Thresholds'!$C$176)+'Dist - Non Averaging'!$C$169),IF(G57&lt;=('Standard Thresholds'!$A$178),((G57-'Standard Thresholds'!$A$176)*'Standard Thresholds'!$D$178+'Standard Thresholds'!$C$178),IF(G57&lt;=('Standard Thresholds'!$A$178),((G57-'Standard Thresholds'!$A$178)*'Standard Thresholds'!$D$178+'Standard Thresholds'!$C$178),IF(G57&gt;'Standard Thresholds'!$A$179,((G57-'Standard Thresholds'!$A$178)*'Standard Thresholds'!$D$179+'Standard Thresholds'!$C$179),IF(G57&gt;'Standard Thresholds'!$A$179,0,0))))))</f>
        <v>0</v>
      </c>
      <c r="H71" s="2055">
        <f>IF(H57&lt;='Standard Thresholds'!$A$175,'Standard Thresholds'!$C$175,IF(H57&lt;('Standard Thresholds'!$A$176),((((H57-'Standard Thresholds'!$A$175)*'Standard Thresholds'!$D$176)+'Standard Thresholds'!$C$176)+'Dist - Non Averaging'!$C$169),IF(H57&lt;=('Standard Thresholds'!$A$178),((H57-'Standard Thresholds'!$A$176)*'Standard Thresholds'!$D$178+'Standard Thresholds'!$C$178),IF(H57&lt;=('Standard Thresholds'!$A$178),((H57-'Standard Thresholds'!$A$178)*'Standard Thresholds'!$D$178+'Standard Thresholds'!$C$178),IF(H57&gt;'Standard Thresholds'!$A$179,((H57-'Standard Thresholds'!$A$178)*'Standard Thresholds'!$D$179+'Standard Thresholds'!$C$179),IF(H57&gt;'Standard Thresholds'!$A$179,0,0))))))</f>
        <v>0</v>
      </c>
      <c r="I71" s="2055">
        <f>IF(I57&lt;='Standard Thresholds'!$A$175,'Standard Thresholds'!$C$175,IF(I57&lt;('Standard Thresholds'!$A$176),((((I57-'Standard Thresholds'!$A$175)*'Standard Thresholds'!$D$176)+'Standard Thresholds'!$C$176)+'Dist - Non Averaging'!$C$169),IF(I57&lt;=('Standard Thresholds'!$A$178),((I57-'Standard Thresholds'!$A$176)*'Standard Thresholds'!$D$178+'Standard Thresholds'!$C$178),IF(I57&lt;=('Standard Thresholds'!$A$178),((I57-'Standard Thresholds'!$A$178)*'Standard Thresholds'!$D$178+'Standard Thresholds'!$C$178),IF(I57&gt;'Standard Thresholds'!$A$179,((I57-'Standard Thresholds'!$A$178)*'Standard Thresholds'!$D$179+'Standard Thresholds'!$C$179),IF(I57&gt;'Standard Thresholds'!$A$179,0,0))))))</f>
        <v>0</v>
      </c>
      <c r="J71" s="2055">
        <f>IF(J57&lt;='Standard Thresholds'!$A$175,'Standard Thresholds'!$C$175,IF(J57&lt;('Standard Thresholds'!$A$176),((((J57-'Standard Thresholds'!$A$175)*'Standard Thresholds'!$D$176)+'Standard Thresholds'!$C$176)+'Dist - Non Averaging'!$C$169),IF(J57&lt;=('Standard Thresholds'!$A$178),((J57-'Standard Thresholds'!$A$176)*'Standard Thresholds'!$D$178+'Standard Thresholds'!$C$178),IF(J57&lt;=('Standard Thresholds'!$A$178),((J57-'Standard Thresholds'!$A$178)*'Standard Thresholds'!$D$178+'Standard Thresholds'!$C$178),IF(J57&gt;'Standard Thresholds'!$A$179,((J57-'Standard Thresholds'!$A$178)*'Standard Thresholds'!$D$179+'Standard Thresholds'!$C$179),IF(J57&gt;'Standard Thresholds'!$A$179,0,0))))))</f>
        <v>0</v>
      </c>
      <c r="K71" s="2055">
        <f>IF(K57&lt;='Standard Thresholds'!$A$175,'Standard Thresholds'!$C$175,IF(K57&lt;('Standard Thresholds'!$A$176),((((K57-'Standard Thresholds'!$A$175)*'Standard Thresholds'!$D$176)+'Standard Thresholds'!$C$176)+'Dist - Non Averaging'!$C$169),IF(K57&lt;=('Standard Thresholds'!$A$178),((K57-'Standard Thresholds'!$A$176)*'Standard Thresholds'!$D$178+'Standard Thresholds'!$C$178),IF(K57&lt;=('Standard Thresholds'!$A$178),((K57-'Standard Thresholds'!$A$178)*'Standard Thresholds'!$D$178+'Standard Thresholds'!$C$178),IF(K57&gt;'Standard Thresholds'!$A$179,((K57-'Standard Thresholds'!$A$178)*'Standard Thresholds'!$D$179+'Standard Thresholds'!$C$179),IF(K57&gt;'Standard Thresholds'!$A$179,0,0))))))</f>
        <v>0</v>
      </c>
      <c r="L71" s="2055">
        <f>IF(L57&lt;='Standard Thresholds'!$A$175,'Standard Thresholds'!$C$175,IF(L57&lt;('Standard Thresholds'!$A$176),((((L57-'Standard Thresholds'!$A$175)*'Standard Thresholds'!$D$176)+'Standard Thresholds'!$C$176)+'Dist - Non Averaging'!$C$169),IF(L57&lt;=('Standard Thresholds'!$A$178),((L57-'Standard Thresholds'!$A$176)*'Standard Thresholds'!$D$178+'Standard Thresholds'!$C$178),IF(L57&lt;=('Standard Thresholds'!$A$178),((L57-'Standard Thresholds'!$A$178)*'Standard Thresholds'!$D$178+'Standard Thresholds'!$C$178),IF(L57&gt;'Standard Thresholds'!$A$179,((L57-'Standard Thresholds'!$A$178)*'Standard Thresholds'!$D$179+'Standard Thresholds'!$C$179),IF(L57&gt;'Standard Thresholds'!$A$179,0,0))))))</f>
        <v>0</v>
      </c>
      <c r="M71" s="2055">
        <f>IF(M57&lt;='Standard Thresholds'!$A$175,'Standard Thresholds'!$C$175,IF(M57&lt;('Standard Thresholds'!$A$176),((((M57-'Standard Thresholds'!$A$175)*'Standard Thresholds'!$D$176)+'Standard Thresholds'!$C$176)+'Dist - Non Averaging'!$C$169),IF(M57&lt;=('Standard Thresholds'!$A$178),((M57-'Standard Thresholds'!$A$176)*'Standard Thresholds'!$D$178+'Standard Thresholds'!$C$178),IF(M57&lt;=('Standard Thresholds'!$A$178),((M57-'Standard Thresholds'!$A$178)*'Standard Thresholds'!$D$178+'Standard Thresholds'!$C$178),IF(M57&gt;'Standard Thresholds'!$A$179,((M57-'Standard Thresholds'!$A$178)*'Standard Thresholds'!$D$179+'Standard Thresholds'!$C$179),IF(M57&gt;'Standard Thresholds'!$A$179,0,0))))))</f>
        <v>0</v>
      </c>
      <c r="N71" s="2055">
        <f>IF(N57&lt;='Standard Thresholds'!$A$175,'Standard Thresholds'!$C$175,IF(N57&lt;('Standard Thresholds'!$A$176),((((N57-'Standard Thresholds'!$A$175)*'Standard Thresholds'!$D$176)+'Standard Thresholds'!$C$176)+'Dist - Non Averaging'!$C$169),IF(N57&lt;=('Standard Thresholds'!$A$178),((N57-'Standard Thresholds'!$A$176)*'Standard Thresholds'!$D$178+'Standard Thresholds'!$C$178),IF(N57&lt;=('Standard Thresholds'!$A$178),((N57-'Standard Thresholds'!$A$178)*'Standard Thresholds'!$D$178+'Standard Thresholds'!$C$178),IF(N57&gt;'Standard Thresholds'!$A$179,((N57-'Standard Thresholds'!$A$178)*'Standard Thresholds'!$D$179+'Standard Thresholds'!$C$179),IF(N57&gt;'Standard Thresholds'!$A$179,0,0))))))</f>
        <v>0</v>
      </c>
      <c r="O71" s="2056"/>
      <c r="P71" s="2056"/>
      <c r="Q71" s="2056"/>
      <c r="R71" s="2056"/>
      <c r="S71" s="2056"/>
      <c r="T71" s="2056"/>
      <c r="U71" s="2056"/>
      <c r="V71" s="2056"/>
      <c r="W71" s="2056"/>
      <c r="X71" s="2056"/>
      <c r="Y71" s="1815"/>
      <c r="Z71" s="2385">
        <f>IF(Z57&lt;='Standard Thresholds'!$A$175,'Standard Thresholds'!$C$175,IF(Z57&lt;('Standard Thresholds'!$A$176),((((Z57-'Standard Thresholds'!$A$175)*'Standard Thresholds'!$D$176)+'Standard Thresholds'!$C$176)+'Dist - Non Averaging'!$C$169),IF(Z57&lt;=('Standard Thresholds'!$A$178),((Z57-'Standard Thresholds'!$A$176)*'Standard Thresholds'!$D$178+'Standard Thresholds'!$C$178),IF(Z57&lt;=('Standard Thresholds'!$A$178),((Z57-'Standard Thresholds'!$A$178)*'Standard Thresholds'!$D$178+'Standard Thresholds'!$C$178),IF(Z57&gt;'Standard Thresholds'!$A$179,((Z57-'Standard Thresholds'!$A$178)*'Standard Thresholds'!$D$179+'Standard Thresholds'!$C$179),IF(Z57&gt;'Standard Thresholds'!$A$179,0,0))))))</f>
        <v>0</v>
      </c>
      <c r="AA71" s="2386">
        <f>IF(AA57&lt;='Standard Thresholds'!$A$175,'Standard Thresholds'!$C$175,IF(AA57&lt;('Standard Thresholds'!$A$176),((((AA57-'Standard Thresholds'!$A$175)*'Standard Thresholds'!$D$176)+'Standard Thresholds'!$C$176)+'Dist - Non Averaging'!$C$169),IF(AA57&lt;=('Standard Thresholds'!$A$178),((AA57-'Standard Thresholds'!$A$176)*'Standard Thresholds'!$D$178+'Standard Thresholds'!$C$178),IF(AA57&lt;=('Standard Thresholds'!$A$178),((AA57-'Standard Thresholds'!$A$178)*'Standard Thresholds'!$D$178+'Standard Thresholds'!$C$178),IF(AA57&gt;'Standard Thresholds'!$A$179,((AA57-'Standard Thresholds'!$A$178)*'Standard Thresholds'!$D$179+'Standard Thresholds'!$C$179),IF(AA57&gt;'Standard Thresholds'!$A$179,0,0))))))</f>
        <v>0</v>
      </c>
      <c r="AB71" s="2055">
        <f>IF(AB57&lt;='Standard Thresholds'!$A$175,'Standard Thresholds'!$C$175,IF(AB57&lt;('Standard Thresholds'!$A$176),((((AB57-'Standard Thresholds'!$A$175)*'Standard Thresholds'!$D$176)+'Standard Thresholds'!$C$176)+'Dist - Non Averaging'!$C$169),IF(AB57&lt;=('Standard Thresholds'!$A$178),((AB57-'Standard Thresholds'!$A$176)*'Standard Thresholds'!$D$178+'Standard Thresholds'!$C$178),IF(AB57&lt;=('Standard Thresholds'!$A$178),((AB57-'Standard Thresholds'!$A$178)*'Standard Thresholds'!$D$178+'Standard Thresholds'!$C$178),IF(AB57&gt;'Standard Thresholds'!$A$179,((AB57-'Standard Thresholds'!$A$178)*'Standard Thresholds'!$D$179+'Standard Thresholds'!$C$179),IF(AB57&gt;'Standard Thresholds'!$A$179,0,0))))))</f>
        <v>0</v>
      </c>
      <c r="AC71" s="2055">
        <f>IF(AC57&lt;='Standard Thresholds'!$A$175,'Standard Thresholds'!$C$175,IF(AC57&lt;('Standard Thresholds'!$A$176),((((AC57-'Standard Thresholds'!$A$175)*'Standard Thresholds'!$D$176)+'Standard Thresholds'!$C$176)+'Dist - Non Averaging'!$C$169),IF(AC57&lt;=('Standard Thresholds'!$A$178),((AC57-'Standard Thresholds'!$A$176)*'Standard Thresholds'!$D$178+'Standard Thresholds'!$C$178),IF(AC57&lt;=('Standard Thresholds'!$A$178),((AC57-'Standard Thresholds'!$A$178)*'Standard Thresholds'!$D$178+'Standard Thresholds'!$C$178),IF(AC57&gt;'Standard Thresholds'!$A$179,((AC57-'Standard Thresholds'!$A$178)*'Standard Thresholds'!$D$179+'Standard Thresholds'!$C$179),IF(AC57&gt;'Standard Thresholds'!$A$179,0,0))))))</f>
        <v>0</v>
      </c>
      <c r="AD71" s="2055">
        <f>IF(AD57&lt;='Standard Thresholds'!$A$175,'Standard Thresholds'!$C$175,IF(AD57&lt;('Standard Thresholds'!$A$176),((((AD57-'Standard Thresholds'!$A$175)*'Standard Thresholds'!$D$176)+'Standard Thresholds'!$C$176)+'Dist - Non Averaging'!$C$169),IF(AD57&lt;=('Standard Thresholds'!$A$178),((AD57-'Standard Thresholds'!$A$176)*'Standard Thresholds'!$D$178+'Standard Thresholds'!$C$178),IF(AD57&lt;=('Standard Thresholds'!$A$178),((AD57-'Standard Thresholds'!$A$178)*'Standard Thresholds'!$D$178+'Standard Thresholds'!$C$178),IF(AD57&gt;'Standard Thresholds'!$A$179,((AD57-'Standard Thresholds'!$A$178)*'Standard Thresholds'!$D$179+'Standard Thresholds'!$C$179),IF(AD57&gt;'Standard Thresholds'!$A$179,0,0))))))</f>
        <v>0</v>
      </c>
      <c r="AE71" s="2055">
        <f>IF(AE57&lt;='Standard Thresholds'!$A$175,'Standard Thresholds'!$C$175,IF(AE57&lt;('Standard Thresholds'!$A$176),((((AE57-'Standard Thresholds'!$A$175)*'Standard Thresholds'!$D$176)+'Standard Thresholds'!$C$176)+'Dist - Non Averaging'!$C$169),IF(AE57&lt;=('Standard Thresholds'!$A$178),((AE57-'Standard Thresholds'!$A$176)*'Standard Thresholds'!$D$178+'Standard Thresholds'!$C$178),IF(AE57&lt;=('Standard Thresholds'!$A$178),((AE57-'Standard Thresholds'!$A$178)*'Standard Thresholds'!$D$178+'Standard Thresholds'!$C$178),IF(AE57&gt;'Standard Thresholds'!$A$179,((AE57-'Standard Thresholds'!$A$178)*'Standard Thresholds'!$D$179+'Standard Thresholds'!$C$179),IF(AE57&gt;'Standard Thresholds'!$A$179,0,0))))))</f>
        <v>0</v>
      </c>
      <c r="AF71" s="2055">
        <f>IF(AF57&lt;='Standard Thresholds'!$A$175,'Standard Thresholds'!$C$175,IF(AF57&lt;('Standard Thresholds'!$A$176),((((AF57-'Standard Thresholds'!$A$175)*'Standard Thresholds'!$D$176)+'Standard Thresholds'!$C$176)+'Dist - Non Averaging'!$C$169),IF(AF57&lt;=('Standard Thresholds'!$A$178),((AF57-'Standard Thresholds'!$A$176)*'Standard Thresholds'!$D$178+'Standard Thresholds'!$C$178),IF(AF57&lt;=('Standard Thresholds'!$A$178),((AF57-'Standard Thresholds'!$A$178)*'Standard Thresholds'!$D$178+'Standard Thresholds'!$C$178),IF(AF57&gt;'Standard Thresholds'!$A$179,((AF57-'Standard Thresholds'!$A$178)*'Standard Thresholds'!$D$179+'Standard Thresholds'!$C$179),IF(AF57&gt;'Standard Thresholds'!$A$179,0,0))))))</f>
        <v>0</v>
      </c>
      <c r="AG71" s="2055">
        <f>IF(AG57&lt;='Standard Thresholds'!$A$175,'Standard Thresholds'!$C$175,IF(AG57&lt;('Standard Thresholds'!$A$176),((((AG57-'Standard Thresholds'!$A$175)*'Standard Thresholds'!$D$176)+'Standard Thresholds'!$C$176)+'Dist - Non Averaging'!$C$169),IF(AG57&lt;=('Standard Thresholds'!$A$178),((AG57-'Standard Thresholds'!$A$176)*'Standard Thresholds'!$D$178+'Standard Thresholds'!$C$178),IF(AG57&lt;=('Standard Thresholds'!$A$178),((AG57-'Standard Thresholds'!$A$178)*'Standard Thresholds'!$D$178+'Standard Thresholds'!$C$178),IF(AG57&gt;'Standard Thresholds'!$A$179,((AG57-'Standard Thresholds'!$A$178)*'Standard Thresholds'!$D$179+'Standard Thresholds'!$C$179),IF(AG57&gt;'Standard Thresholds'!$A$179,0,0))))))</f>
        <v>0</v>
      </c>
      <c r="AH71" s="2055">
        <f>IF(AH57&lt;='Standard Thresholds'!$A$175,'Standard Thresholds'!$C$175,IF(AH57&lt;('Standard Thresholds'!$A$176),((((AH57-'Standard Thresholds'!$A$175)*'Standard Thresholds'!$D$176)+'Standard Thresholds'!$C$176)+'Dist - Non Averaging'!$C$169),IF(AH57&lt;=('Standard Thresholds'!$A$178),((AH57-'Standard Thresholds'!$A$176)*'Standard Thresholds'!$D$178+'Standard Thresholds'!$C$178),IF(AH57&lt;=('Standard Thresholds'!$A$178),((AH57-'Standard Thresholds'!$A$178)*'Standard Thresholds'!$D$178+'Standard Thresholds'!$C$178),IF(AH57&gt;'Standard Thresholds'!$A$179,((AH57-'Standard Thresholds'!$A$178)*'Standard Thresholds'!$D$179+'Standard Thresholds'!$C$179),IF(AH57&gt;'Standard Thresholds'!$A$179,0,0))))))</f>
        <v>0</v>
      </c>
      <c r="AI71" s="2385">
        <f>IF(AI57&lt;='Standard Thresholds'!$A$175,'Standard Thresholds'!$C$175,IF(AI57&lt;('Standard Thresholds'!$A$176),((((AI57-'Standard Thresholds'!$A$175)*'Standard Thresholds'!$D$176)+'Standard Thresholds'!$C$176)+'Dist - Non Averaging'!$C$169),IF(AI57&lt;=('Standard Thresholds'!$A$178),((AI57-'Standard Thresholds'!$A$176)*'Standard Thresholds'!$D$178+'Standard Thresholds'!$C$178),IF(AI57&lt;=('Standard Thresholds'!$A$178),((AI57-'Standard Thresholds'!$A$178)*'Standard Thresholds'!$D$178+'Standard Thresholds'!$C$178),IF(AI57&gt;'Standard Thresholds'!$A$179,((AI57-'Standard Thresholds'!$A$178)*'Standard Thresholds'!$D$179+'Standard Thresholds'!$C$179),IF(AI57&gt;'Standard Thresholds'!$A$179,0,0))))))</f>
        <v>0</v>
      </c>
    </row>
    <row r="72" spans="1:38" ht="15" customHeight="1">
      <c r="A72" s="431"/>
      <c r="B72" s="1604"/>
      <c r="C72" s="1887"/>
      <c r="D72" s="1892" t="s">
        <v>1981</v>
      </c>
      <c r="E72" s="1823" t="str">
        <f>+IF(SBE="YES", "SBE", "Not SBE")</f>
        <v>SBE</v>
      </c>
      <c r="F72" s="1823" t="str">
        <f t="shared" ref="F72:N72" si="27">+IF(SBE="YES", "SBE", "Not SBE")</f>
        <v>SBE</v>
      </c>
      <c r="G72" s="1823" t="str">
        <f t="shared" si="27"/>
        <v>SBE</v>
      </c>
      <c r="H72" s="1823" t="str">
        <f t="shared" si="27"/>
        <v>SBE</v>
      </c>
      <c r="I72" s="1823" t="str">
        <f t="shared" si="27"/>
        <v>SBE</v>
      </c>
      <c r="J72" s="1823" t="str">
        <f t="shared" si="27"/>
        <v>SBE</v>
      </c>
      <c r="K72" s="1823" t="str">
        <f t="shared" si="27"/>
        <v>SBE</v>
      </c>
      <c r="L72" s="1823" t="str">
        <f t="shared" si="27"/>
        <v>SBE</v>
      </c>
      <c r="M72" s="1823" t="str">
        <f t="shared" si="27"/>
        <v>SBE</v>
      </c>
      <c r="N72" s="1823" t="str">
        <f t="shared" si="27"/>
        <v>SBE</v>
      </c>
      <c r="O72" s="1824" t="e">
        <f t="shared" ref="O72:X72" si="28">+IF(AND(SBE="YES", YEAR(Period_End)&gt;2015), COY_NORMAL_RATE+COY_SMALL_BUSINESS_RATE, COY_NORMAL_RATE)</f>
        <v>#N/A</v>
      </c>
      <c r="P72" s="1824" t="e">
        <f t="shared" si="28"/>
        <v>#N/A</v>
      </c>
      <c r="Q72" s="1824" t="e">
        <f t="shared" si="28"/>
        <v>#N/A</v>
      </c>
      <c r="R72" s="1824" t="e">
        <f t="shared" si="28"/>
        <v>#N/A</v>
      </c>
      <c r="S72" s="1824" t="e">
        <f t="shared" si="28"/>
        <v>#N/A</v>
      </c>
      <c r="T72" s="1824" t="e">
        <f t="shared" si="28"/>
        <v>#N/A</v>
      </c>
      <c r="U72" s="1824" t="e">
        <f t="shared" si="28"/>
        <v>#N/A</v>
      </c>
      <c r="V72" s="1824" t="e">
        <f t="shared" si="28"/>
        <v>#N/A</v>
      </c>
      <c r="W72" s="1824" t="e">
        <f t="shared" si="28"/>
        <v>#N/A</v>
      </c>
      <c r="X72" s="1824" t="e">
        <f t="shared" si="28"/>
        <v>#N/A</v>
      </c>
      <c r="Y72" s="1819"/>
      <c r="Z72" s="2387"/>
      <c r="AA72" s="2388"/>
      <c r="AB72" s="1815"/>
      <c r="AC72" s="1815"/>
      <c r="AD72" s="1815"/>
      <c r="AE72" s="1815"/>
      <c r="AF72" s="1815"/>
      <c r="AG72" s="1815"/>
      <c r="AH72" s="1814"/>
      <c r="AI72" s="1816"/>
    </row>
    <row r="73" spans="1:38" ht="15" customHeight="1">
      <c r="A73" s="431"/>
      <c r="B73" s="1604"/>
      <c r="C73" s="1887"/>
      <c r="D73" s="1893" t="s">
        <v>1982</v>
      </c>
      <c r="E73" s="1944">
        <v>0</v>
      </c>
      <c r="F73" s="1944">
        <v>0</v>
      </c>
      <c r="G73" s="1944">
        <v>0</v>
      </c>
      <c r="H73" s="1944">
        <v>0</v>
      </c>
      <c r="I73" s="1944">
        <v>0</v>
      </c>
      <c r="J73" s="1944">
        <v>0</v>
      </c>
      <c r="K73" s="1944">
        <v>0</v>
      </c>
      <c r="L73" s="1944">
        <v>0</v>
      </c>
      <c r="M73" s="1944">
        <v>0</v>
      </c>
      <c r="N73" s="1944">
        <v>0</v>
      </c>
      <c r="O73" s="1818"/>
      <c r="P73" s="1818"/>
      <c r="Q73" s="1818"/>
      <c r="R73" s="1818"/>
      <c r="S73" s="1818"/>
      <c r="T73" s="1818"/>
      <c r="U73" s="1818"/>
      <c r="V73" s="1818"/>
      <c r="W73" s="1818"/>
      <c r="X73" s="1818"/>
      <c r="Y73" s="1819"/>
      <c r="Z73" s="2387"/>
      <c r="AA73" s="2388"/>
      <c r="AB73" s="1815"/>
      <c r="AC73" s="1815"/>
      <c r="AD73" s="1815"/>
      <c r="AE73" s="1815"/>
      <c r="AF73" s="1815"/>
      <c r="AG73" s="1815"/>
      <c r="AH73" s="1814"/>
      <c r="AI73" s="1816"/>
    </row>
    <row r="74" spans="1:38" ht="15" customHeight="1">
      <c r="A74" s="431"/>
      <c r="B74" s="1604"/>
      <c r="C74" s="1887"/>
      <c r="D74" s="1893" t="s">
        <v>2061</v>
      </c>
      <c r="E74" s="1821">
        <f t="shared" ref="E74:N74" si="29">+IF(SBE="YES", IFERROR(E73/E57, 0), "NA")</f>
        <v>0</v>
      </c>
      <c r="F74" s="1821">
        <f t="shared" si="29"/>
        <v>0</v>
      </c>
      <c r="G74" s="1821">
        <f t="shared" si="29"/>
        <v>0</v>
      </c>
      <c r="H74" s="1821">
        <f t="shared" si="29"/>
        <v>0</v>
      </c>
      <c r="I74" s="1821">
        <f t="shared" si="29"/>
        <v>0</v>
      </c>
      <c r="J74" s="1821">
        <f t="shared" si="29"/>
        <v>0</v>
      </c>
      <c r="K74" s="1821">
        <f t="shared" si="29"/>
        <v>0</v>
      </c>
      <c r="L74" s="1821">
        <f t="shared" si="29"/>
        <v>0</v>
      </c>
      <c r="M74" s="1821">
        <f t="shared" si="29"/>
        <v>0</v>
      </c>
      <c r="N74" s="1821">
        <f t="shared" si="29"/>
        <v>0</v>
      </c>
      <c r="O74" s="1818"/>
      <c r="P74" s="1818"/>
      <c r="Q74" s="1818"/>
      <c r="R74" s="1818"/>
      <c r="S74" s="1818"/>
      <c r="T74" s="1818"/>
      <c r="U74" s="1818"/>
      <c r="V74" s="1818"/>
      <c r="W74" s="1818"/>
      <c r="X74" s="1818"/>
      <c r="Y74" s="1819"/>
      <c r="Z74" s="2387"/>
      <c r="AA74" s="2388"/>
      <c r="AB74" s="1815"/>
      <c r="AC74" s="1815"/>
      <c r="AD74" s="1815"/>
      <c r="AE74" s="1815"/>
      <c r="AF74" s="1815"/>
      <c r="AG74" s="1815"/>
      <c r="AH74" s="1814"/>
      <c r="AI74" s="1816"/>
    </row>
    <row r="75" spans="1:38" ht="15" customHeight="1">
      <c r="A75" s="431"/>
      <c r="B75" s="1604"/>
      <c r="C75" s="1887"/>
      <c r="D75" s="1893" t="s">
        <v>1984</v>
      </c>
      <c r="E75" s="1822">
        <f>IFERROR(+IF(AND(SBE="YES",YEAR(Period_End)&gt;2015,E73&gt;'Standard Thresholds'!#REF!),'Standard Thresholds'!#REF!,IF(AND(SBE="YES",YEAR(Period_End)&gt;2015,E73&lt;='Standard Thresholds'!#REF!),E73*'Standard Thresholds'!#REF!)),0)</f>
        <v>0</v>
      </c>
      <c r="F75" s="1822">
        <f>IFERROR(+IF(AND(SBE="YES",YEAR(Period_End)&gt;2015,F73&gt;'Standard Thresholds'!#REF!),'Standard Thresholds'!#REF!,IF(AND(SBE="YES",YEAR(Period_End)&gt;2015,F73&lt;='Standard Thresholds'!#REF!),F73*'Standard Thresholds'!#REF!)),0)</f>
        <v>0</v>
      </c>
      <c r="G75" s="1822">
        <f>IFERROR(+IF(AND(SBE="YES",YEAR(Period_End)&gt;2015,G73&gt;'Standard Thresholds'!#REF!),'Standard Thresholds'!#REF!,IF(AND(SBE="YES",YEAR(Period_End)&gt;2015,G73&lt;='Standard Thresholds'!#REF!),G73*'Standard Thresholds'!#REF!)),0)</f>
        <v>0</v>
      </c>
      <c r="H75" s="1822">
        <f>IFERROR(+IF(AND(SBE="YES",YEAR(Period_End)&gt;2015,H73&gt;'Standard Thresholds'!#REF!),'Standard Thresholds'!#REF!,IF(AND(SBE="YES",YEAR(Period_End)&gt;2015,H73&lt;='Standard Thresholds'!#REF!),H73*'Standard Thresholds'!#REF!)),0)</f>
        <v>0</v>
      </c>
      <c r="I75" s="1822">
        <f>IFERROR(+IF(AND(SBE="YES",YEAR(Period_End)&gt;2015,I73&gt;'Standard Thresholds'!#REF!),'Standard Thresholds'!#REF!,IF(AND(SBE="YES",YEAR(Period_End)&gt;2015,I73&lt;='Standard Thresholds'!#REF!),I73*'Standard Thresholds'!#REF!)),0)</f>
        <v>0</v>
      </c>
      <c r="J75" s="1822">
        <f>IFERROR(+IF(AND(SBE="YES",YEAR(Period_End)&gt;2015,J73&gt;'Standard Thresholds'!#REF!),'Standard Thresholds'!#REF!,IF(AND(SBE="YES",YEAR(Period_End)&gt;2015,J73&lt;='Standard Thresholds'!#REF!),J73*'Standard Thresholds'!#REF!)),0)</f>
        <v>0</v>
      </c>
      <c r="K75" s="1822">
        <f>IFERROR(+IF(AND(SBE="YES",YEAR(Period_End)&gt;2015,K73&gt;'Standard Thresholds'!#REF!),'Standard Thresholds'!#REF!,IF(AND(SBE="YES",YEAR(Period_End)&gt;2015,K73&lt;='Standard Thresholds'!#REF!),K73*'Standard Thresholds'!#REF!)),0)</f>
        <v>0</v>
      </c>
      <c r="L75" s="1822">
        <f>IFERROR(+IF(AND(SBE="YES",YEAR(Period_End)&gt;2015,L73&gt;'Standard Thresholds'!#REF!),'Standard Thresholds'!#REF!,IF(AND(SBE="YES",YEAR(Period_End)&gt;2015,L73&lt;='Standard Thresholds'!#REF!),L73*'Standard Thresholds'!#REF!)),0)</f>
        <v>0</v>
      </c>
      <c r="M75" s="1822">
        <f>IFERROR(+IF(AND(SBE="YES",YEAR(Period_End)&gt;2015,M73&gt;'Standard Thresholds'!#REF!),'Standard Thresholds'!#REF!,IF(AND(SBE="YES",YEAR(Period_End)&gt;2015,M73&lt;='Standard Thresholds'!#REF!),M73*'Standard Thresholds'!#REF!)),0)</f>
        <v>0</v>
      </c>
      <c r="N75" s="1822">
        <f>IFERROR(+IF(AND(SBE="YES",YEAR(Period_End)&gt;2015,N73&gt;'Standard Thresholds'!#REF!),'Standard Thresholds'!#REF!,IF(AND(SBE="YES",YEAR(Period_End)&gt;2015,N73&lt;='Standard Thresholds'!#REF!),N73*'Standard Thresholds'!#REF!)),0)</f>
        <v>0</v>
      </c>
      <c r="O75" s="1818"/>
      <c r="P75" s="1818"/>
      <c r="Q75" s="1818"/>
      <c r="R75" s="1818"/>
      <c r="S75" s="1818"/>
      <c r="T75" s="1818"/>
      <c r="U75" s="1818"/>
      <c r="V75" s="1818"/>
      <c r="W75" s="1818"/>
      <c r="X75" s="1818"/>
      <c r="Y75" s="1819"/>
      <c r="Z75" s="2387"/>
      <c r="AA75" s="2388"/>
      <c r="AB75" s="1815"/>
      <c r="AC75" s="1815"/>
      <c r="AD75" s="1815"/>
      <c r="AE75" s="1815"/>
      <c r="AF75" s="1815"/>
      <c r="AG75" s="1815"/>
      <c r="AH75" s="1814"/>
      <c r="AI75" s="1816"/>
    </row>
    <row r="76" spans="1:38" ht="15" customHeight="1">
      <c r="A76" s="431"/>
      <c r="B76" s="1604"/>
      <c r="C76" s="1887"/>
      <c r="D76" s="1893" t="s">
        <v>1776</v>
      </c>
      <c r="E76" s="1972"/>
      <c r="F76" s="1972"/>
      <c r="G76" s="1972"/>
      <c r="H76" s="1972"/>
      <c r="I76" s="1972"/>
      <c r="J76" s="1972"/>
      <c r="K76" s="1972"/>
      <c r="L76" s="1972"/>
      <c r="M76" s="1972"/>
      <c r="N76" s="1972"/>
      <c r="O76" s="1818"/>
      <c r="P76" s="1818"/>
      <c r="Q76" s="1818"/>
      <c r="R76" s="1818"/>
      <c r="S76" s="1818"/>
      <c r="T76" s="1818"/>
      <c r="U76" s="1818"/>
      <c r="V76" s="1818"/>
      <c r="W76" s="1818"/>
      <c r="X76" s="1818"/>
      <c r="Y76" s="1819"/>
      <c r="Z76" s="2387"/>
      <c r="AA76" s="2388"/>
      <c r="AB76" s="1815"/>
      <c r="AC76" s="1815"/>
      <c r="AD76" s="1815"/>
      <c r="AE76" s="1815"/>
      <c r="AF76" s="1815"/>
      <c r="AG76" s="1815"/>
      <c r="AH76" s="1814"/>
      <c r="AI76" s="1816"/>
    </row>
    <row r="77" spans="1:38" ht="15" customHeight="1">
      <c r="A77" s="431"/>
      <c r="B77" s="130"/>
      <c r="C77" s="456"/>
      <c r="D77" s="1525" t="s">
        <v>1985</v>
      </c>
      <c r="E77" s="1833"/>
      <c r="F77" s="1833"/>
      <c r="G77" s="1833"/>
      <c r="H77" s="1833"/>
      <c r="I77" s="1833"/>
      <c r="J77" s="1834"/>
      <c r="K77" s="1834"/>
      <c r="L77" s="1834"/>
      <c r="M77" s="1834"/>
      <c r="N77" s="1834"/>
      <c r="O77" s="1973">
        <v>0</v>
      </c>
      <c r="P77" s="2389">
        <v>0</v>
      </c>
      <c r="Q77" s="2389">
        <v>0</v>
      </c>
      <c r="R77" s="2389">
        <v>0</v>
      </c>
      <c r="S77" s="2389">
        <v>0</v>
      </c>
      <c r="T77" s="2389">
        <v>0</v>
      </c>
      <c r="U77" s="2389">
        <v>0</v>
      </c>
      <c r="V77" s="2389">
        <v>0</v>
      </c>
      <c r="W77" s="2389">
        <v>0</v>
      </c>
      <c r="X77" s="2389">
        <v>0</v>
      </c>
      <c r="Y77" s="2375"/>
      <c r="Z77" s="2379"/>
      <c r="AA77" s="2380"/>
      <c r="AB77" s="2403"/>
      <c r="AC77" s="2403"/>
      <c r="AD77" s="2403"/>
      <c r="AE77" s="2403"/>
      <c r="AF77" s="2403"/>
      <c r="AG77" s="2403"/>
      <c r="AH77" s="1536"/>
      <c r="AI77" s="1172"/>
    </row>
    <row r="78" spans="1:38" ht="16.5" customHeight="1" thickBot="1">
      <c r="A78" s="466" t="s">
        <v>1540</v>
      </c>
      <c r="B78" s="1962">
        <f ca="1">SUM(E78:AI78)</f>
        <v>0</v>
      </c>
      <c r="C78" s="462"/>
      <c r="D78" s="462" t="s">
        <v>1466</v>
      </c>
      <c r="E78" s="1974">
        <f ca="1">IF(E68-SUM(E70:E71)-E75&lt;0,0,E68-SUM(E70:E71)-E75-E74)-E69</f>
        <v>0</v>
      </c>
      <c r="F78" s="1974">
        <f t="shared" ref="F78:AI78" ca="1" si="30">IF(F68-SUM(F70:F71)-F75&lt;0,0,F68-SUM(F70:F71)-F75-F74)-F69</f>
        <v>0</v>
      </c>
      <c r="G78" s="1974">
        <f t="shared" ca="1" si="30"/>
        <v>0</v>
      </c>
      <c r="H78" s="1974">
        <f t="shared" ca="1" si="30"/>
        <v>0</v>
      </c>
      <c r="I78" s="1974">
        <f t="shared" ca="1" si="30"/>
        <v>0</v>
      </c>
      <c r="J78" s="1974">
        <f t="shared" ca="1" si="30"/>
        <v>0</v>
      </c>
      <c r="K78" s="1974">
        <f t="shared" ca="1" si="30"/>
        <v>0</v>
      </c>
      <c r="L78" s="1974">
        <f t="shared" ca="1" si="30"/>
        <v>0</v>
      </c>
      <c r="M78" s="1974">
        <f t="shared" ca="1" si="30"/>
        <v>0</v>
      </c>
      <c r="N78" s="1974">
        <f t="shared" ca="1" si="30"/>
        <v>0</v>
      </c>
      <c r="O78" s="1974">
        <f t="shared" si="30"/>
        <v>0</v>
      </c>
      <c r="P78" s="1974">
        <f t="shared" si="30"/>
        <v>0</v>
      </c>
      <c r="Q78" s="1974">
        <f t="shared" si="30"/>
        <v>0</v>
      </c>
      <c r="R78" s="1974">
        <f t="shared" si="30"/>
        <v>0</v>
      </c>
      <c r="S78" s="1974">
        <f t="shared" si="30"/>
        <v>0</v>
      </c>
      <c r="T78" s="1974">
        <f t="shared" si="30"/>
        <v>0</v>
      </c>
      <c r="U78" s="1974">
        <f t="shared" si="30"/>
        <v>0</v>
      </c>
      <c r="V78" s="1974">
        <f t="shared" si="30"/>
        <v>0</v>
      </c>
      <c r="W78" s="1974">
        <f t="shared" si="30"/>
        <v>0</v>
      </c>
      <c r="X78" s="1974">
        <f t="shared" si="30"/>
        <v>0</v>
      </c>
      <c r="Y78" s="1974">
        <f t="shared" si="30"/>
        <v>0</v>
      </c>
      <c r="Z78" s="2390">
        <f t="shared" si="30"/>
        <v>0</v>
      </c>
      <c r="AA78" s="2391">
        <f t="shared" si="30"/>
        <v>0</v>
      </c>
      <c r="AB78" s="1974">
        <f t="shared" si="30"/>
        <v>0</v>
      </c>
      <c r="AC78" s="1974">
        <f t="shared" si="30"/>
        <v>0</v>
      </c>
      <c r="AD78" s="1974">
        <f t="shared" si="30"/>
        <v>0</v>
      </c>
      <c r="AE78" s="1974">
        <f t="shared" si="30"/>
        <v>0</v>
      </c>
      <c r="AF78" s="1974">
        <f t="shared" si="30"/>
        <v>0</v>
      </c>
      <c r="AG78" s="1974">
        <f t="shared" si="30"/>
        <v>0</v>
      </c>
      <c r="AH78" s="1974">
        <f t="shared" si="30"/>
        <v>0</v>
      </c>
      <c r="AI78" s="2390">
        <f t="shared" si="30"/>
        <v>0</v>
      </c>
    </row>
    <row r="79" spans="1:38" ht="15.75" customHeight="1" thickTop="1">
      <c r="A79" s="431"/>
      <c r="B79" s="1604"/>
      <c r="C79" s="456"/>
      <c r="D79" s="456" t="s">
        <v>211</v>
      </c>
      <c r="E79" s="1944">
        <v>0</v>
      </c>
      <c r="F79" s="1944">
        <v>0</v>
      </c>
      <c r="G79" s="1944">
        <v>0</v>
      </c>
      <c r="H79" s="1944">
        <v>0</v>
      </c>
      <c r="I79" s="1944">
        <v>0</v>
      </c>
      <c r="J79" s="1944">
        <v>0</v>
      </c>
      <c r="K79" s="1944">
        <v>0</v>
      </c>
      <c r="L79" s="1944">
        <v>0</v>
      </c>
      <c r="M79" s="1944">
        <v>0</v>
      </c>
      <c r="N79" s="1944">
        <v>0</v>
      </c>
      <c r="O79" s="1975"/>
      <c r="P79" s="1975"/>
      <c r="Q79" s="1975"/>
      <c r="R79" s="1975"/>
      <c r="S79" s="1975"/>
      <c r="T79" s="1975"/>
      <c r="U79" s="1975"/>
      <c r="V79" s="1975"/>
      <c r="W79" s="1975"/>
      <c r="X79" s="1975"/>
      <c r="Y79" s="1976"/>
      <c r="Z79" s="1947">
        <v>0</v>
      </c>
      <c r="AA79" s="2351">
        <v>0</v>
      </c>
      <c r="AB79" s="1944">
        <v>0</v>
      </c>
      <c r="AC79" s="1944">
        <v>0</v>
      </c>
      <c r="AD79" s="1944">
        <v>0</v>
      </c>
      <c r="AE79" s="1944">
        <v>0</v>
      </c>
      <c r="AF79" s="1944">
        <v>0</v>
      </c>
      <c r="AG79" s="1944">
        <v>0</v>
      </c>
      <c r="AH79" s="1944">
        <v>0</v>
      </c>
      <c r="AI79" s="1947">
        <v>0</v>
      </c>
    </row>
    <row r="80" spans="1:38" ht="15" customHeight="1">
      <c r="A80" s="431"/>
      <c r="B80" s="130"/>
      <c r="C80" s="453"/>
      <c r="D80" s="453" t="s">
        <v>1548</v>
      </c>
      <c r="E80" s="917">
        <f t="shared" ref="E80:Y80" si="31">SUM(E81:E84)</f>
        <v>0</v>
      </c>
      <c r="F80" s="917">
        <f t="shared" si="31"/>
        <v>0</v>
      </c>
      <c r="G80" s="917">
        <f t="shared" si="31"/>
        <v>0</v>
      </c>
      <c r="H80" s="917">
        <f t="shared" si="31"/>
        <v>0</v>
      </c>
      <c r="I80" s="917">
        <f t="shared" si="31"/>
        <v>0</v>
      </c>
      <c r="J80" s="917">
        <f t="shared" si="31"/>
        <v>0</v>
      </c>
      <c r="K80" s="917">
        <f t="shared" si="31"/>
        <v>0</v>
      </c>
      <c r="L80" s="917">
        <f t="shared" si="31"/>
        <v>0</v>
      </c>
      <c r="M80" s="917">
        <f t="shared" ref="M80:S80" si="32">SUM(M81:M84)</f>
        <v>0</v>
      </c>
      <c r="N80" s="917">
        <f t="shared" si="32"/>
        <v>0</v>
      </c>
      <c r="O80" s="917">
        <f t="shared" si="32"/>
        <v>0</v>
      </c>
      <c r="P80" s="917">
        <f t="shared" si="32"/>
        <v>0</v>
      </c>
      <c r="Q80" s="917">
        <f t="shared" si="32"/>
        <v>0</v>
      </c>
      <c r="R80" s="917">
        <f t="shared" si="32"/>
        <v>0</v>
      </c>
      <c r="S80" s="917">
        <f t="shared" si="32"/>
        <v>0</v>
      </c>
      <c r="T80" s="917">
        <f t="shared" si="31"/>
        <v>0</v>
      </c>
      <c r="U80" s="917">
        <f>SUM(U81:U84)</f>
        <v>0</v>
      </c>
      <c r="V80" s="917">
        <f>SUM(V81:V84)</f>
        <v>0</v>
      </c>
      <c r="W80" s="917">
        <f>SUM(W81:W84)</f>
        <v>0</v>
      </c>
      <c r="X80" s="917">
        <f t="shared" si="31"/>
        <v>0</v>
      </c>
      <c r="Y80" s="917">
        <f t="shared" si="31"/>
        <v>0</v>
      </c>
      <c r="Z80" s="1551">
        <f>SUM(Z81:Z84)</f>
        <v>0</v>
      </c>
      <c r="AA80" s="2392">
        <f t="shared" ref="AA80:AI80" si="33">SUM(AA81:AA84)</f>
        <v>0</v>
      </c>
      <c r="AB80" s="917">
        <f t="shared" si="33"/>
        <v>0</v>
      </c>
      <c r="AC80" s="917">
        <f t="shared" si="33"/>
        <v>0</v>
      </c>
      <c r="AD80" s="917">
        <f t="shared" si="33"/>
        <v>0</v>
      </c>
      <c r="AE80" s="917">
        <f t="shared" si="33"/>
        <v>0</v>
      </c>
      <c r="AF80" s="917">
        <f t="shared" si="33"/>
        <v>0</v>
      </c>
      <c r="AG80" s="917">
        <f t="shared" si="33"/>
        <v>0</v>
      </c>
      <c r="AH80" s="917">
        <f t="shared" si="33"/>
        <v>0</v>
      </c>
      <c r="AI80" s="1551">
        <f t="shared" si="33"/>
        <v>0</v>
      </c>
    </row>
    <row r="81" spans="1:36" ht="15" customHeight="1">
      <c r="A81" s="431"/>
      <c r="B81" s="130"/>
      <c r="C81" s="453"/>
      <c r="D81" s="453" t="s">
        <v>204</v>
      </c>
      <c r="E81" s="1944">
        <v>0</v>
      </c>
      <c r="F81" s="1944">
        <v>0</v>
      </c>
      <c r="G81" s="1944">
        <v>0</v>
      </c>
      <c r="H81" s="1944">
        <v>0</v>
      </c>
      <c r="I81" s="1944">
        <v>0</v>
      </c>
      <c r="J81" s="1944">
        <v>0</v>
      </c>
      <c r="K81" s="1944">
        <v>0</v>
      </c>
      <c r="L81" s="1944">
        <v>0</v>
      </c>
      <c r="M81" s="1944">
        <v>0</v>
      </c>
      <c r="N81" s="1944">
        <v>0</v>
      </c>
      <c r="O81" s="1944">
        <v>0</v>
      </c>
      <c r="P81" s="1944">
        <v>0</v>
      </c>
      <c r="Q81" s="1944">
        <v>0</v>
      </c>
      <c r="R81" s="1944">
        <v>0</v>
      </c>
      <c r="S81" s="1944">
        <v>0</v>
      </c>
      <c r="T81" s="1944">
        <v>0</v>
      </c>
      <c r="U81" s="1944">
        <v>0</v>
      </c>
      <c r="V81" s="1944">
        <v>0</v>
      </c>
      <c r="W81" s="1944">
        <v>0</v>
      </c>
      <c r="X81" s="1944">
        <v>0</v>
      </c>
      <c r="Y81" s="1944">
        <v>0</v>
      </c>
      <c r="Z81" s="1947">
        <v>0</v>
      </c>
      <c r="AA81" s="2351">
        <v>0</v>
      </c>
      <c r="AB81" s="1944">
        <v>0</v>
      </c>
      <c r="AC81" s="1944">
        <v>0</v>
      </c>
      <c r="AD81" s="1944">
        <v>0</v>
      </c>
      <c r="AE81" s="1944">
        <v>0</v>
      </c>
      <c r="AF81" s="1944">
        <v>0</v>
      </c>
      <c r="AG81" s="1944">
        <v>0</v>
      </c>
      <c r="AH81" s="1944">
        <v>0</v>
      </c>
      <c r="AI81" s="1947">
        <v>0</v>
      </c>
    </row>
    <row r="82" spans="1:36" ht="15" customHeight="1">
      <c r="A82" s="431"/>
      <c r="B82" s="1528"/>
      <c r="C82" s="453"/>
      <c r="D82" s="453" t="s">
        <v>205</v>
      </c>
      <c r="E82" s="1944">
        <v>0</v>
      </c>
      <c r="F82" s="1944">
        <v>0</v>
      </c>
      <c r="G82" s="1944">
        <v>0</v>
      </c>
      <c r="H82" s="1944">
        <v>0</v>
      </c>
      <c r="I82" s="1944">
        <v>0</v>
      </c>
      <c r="J82" s="1944">
        <v>0</v>
      </c>
      <c r="K82" s="1944">
        <v>0</v>
      </c>
      <c r="L82" s="1944">
        <v>0</v>
      </c>
      <c r="M82" s="1944">
        <v>0</v>
      </c>
      <c r="N82" s="1944">
        <v>0</v>
      </c>
      <c r="O82" s="1944">
        <v>0</v>
      </c>
      <c r="P82" s="1944">
        <v>0</v>
      </c>
      <c r="Q82" s="1944">
        <v>0</v>
      </c>
      <c r="R82" s="1944">
        <v>0</v>
      </c>
      <c r="S82" s="1944">
        <v>0</v>
      </c>
      <c r="T82" s="1944">
        <v>0</v>
      </c>
      <c r="U82" s="1944">
        <v>0</v>
      </c>
      <c r="V82" s="1944">
        <v>0</v>
      </c>
      <c r="W82" s="1944">
        <v>0</v>
      </c>
      <c r="X82" s="1944">
        <v>0</v>
      </c>
      <c r="Y82" s="1944">
        <v>0</v>
      </c>
      <c r="Z82" s="1947">
        <v>0</v>
      </c>
      <c r="AA82" s="2351">
        <v>0</v>
      </c>
      <c r="AB82" s="1944">
        <v>0</v>
      </c>
      <c r="AC82" s="1944">
        <v>0</v>
      </c>
      <c r="AD82" s="1944">
        <v>0</v>
      </c>
      <c r="AE82" s="1944">
        <v>0</v>
      </c>
      <c r="AF82" s="1944">
        <v>0</v>
      </c>
      <c r="AG82" s="1944">
        <v>0</v>
      </c>
      <c r="AH82" s="1944">
        <v>0</v>
      </c>
      <c r="AI82" s="1947">
        <v>0</v>
      </c>
    </row>
    <row r="83" spans="1:36" ht="15" customHeight="1">
      <c r="A83" s="431"/>
      <c r="B83" s="130"/>
      <c r="C83" s="453"/>
      <c r="D83" s="453" t="s">
        <v>206</v>
      </c>
      <c r="E83" s="1944">
        <v>0</v>
      </c>
      <c r="F83" s="1944">
        <v>0</v>
      </c>
      <c r="G83" s="1944">
        <v>0</v>
      </c>
      <c r="H83" s="1944">
        <v>0</v>
      </c>
      <c r="I83" s="1944">
        <v>0</v>
      </c>
      <c r="J83" s="1944">
        <v>0</v>
      </c>
      <c r="K83" s="1944">
        <v>0</v>
      </c>
      <c r="L83" s="1944">
        <v>0</v>
      </c>
      <c r="M83" s="1944">
        <v>0</v>
      </c>
      <c r="N83" s="1944">
        <v>0</v>
      </c>
      <c r="O83" s="1944">
        <v>0</v>
      </c>
      <c r="P83" s="1944">
        <v>0</v>
      </c>
      <c r="Q83" s="1944">
        <v>0</v>
      </c>
      <c r="R83" s="1944">
        <v>0</v>
      </c>
      <c r="S83" s="1944">
        <v>0</v>
      </c>
      <c r="T83" s="1944">
        <v>0</v>
      </c>
      <c r="U83" s="1944">
        <v>0</v>
      </c>
      <c r="V83" s="1944">
        <v>0</v>
      </c>
      <c r="W83" s="1944">
        <v>0</v>
      </c>
      <c r="X83" s="1944">
        <v>0</v>
      </c>
      <c r="Y83" s="1944">
        <v>0</v>
      </c>
      <c r="Z83" s="1947">
        <v>0</v>
      </c>
      <c r="AA83" s="2351">
        <v>0</v>
      </c>
      <c r="AB83" s="1944">
        <v>0</v>
      </c>
      <c r="AC83" s="1944">
        <v>0</v>
      </c>
      <c r="AD83" s="1944">
        <v>0</v>
      </c>
      <c r="AE83" s="1944">
        <v>0</v>
      </c>
      <c r="AF83" s="1944">
        <v>0</v>
      </c>
      <c r="AG83" s="1944">
        <v>0</v>
      </c>
      <c r="AH83" s="1944">
        <v>0</v>
      </c>
      <c r="AI83" s="1947">
        <v>0</v>
      </c>
    </row>
    <row r="84" spans="1:36" ht="15" customHeight="1">
      <c r="A84" s="431"/>
      <c r="B84" s="130"/>
      <c r="C84" s="453"/>
      <c r="D84" s="453" t="s">
        <v>207</v>
      </c>
      <c r="E84" s="1944">
        <v>0</v>
      </c>
      <c r="F84" s="1944">
        <v>0</v>
      </c>
      <c r="G84" s="1944">
        <v>0</v>
      </c>
      <c r="H84" s="1944">
        <v>0</v>
      </c>
      <c r="I84" s="1944">
        <v>0</v>
      </c>
      <c r="J84" s="1944">
        <v>0</v>
      </c>
      <c r="K84" s="1944">
        <v>0</v>
      </c>
      <c r="L84" s="1944">
        <v>0</v>
      </c>
      <c r="M84" s="1944">
        <v>0</v>
      </c>
      <c r="N84" s="1944">
        <v>0</v>
      </c>
      <c r="O84" s="1944">
        <v>0</v>
      </c>
      <c r="P84" s="1944">
        <v>0</v>
      </c>
      <c r="Q84" s="1944">
        <v>0</v>
      </c>
      <c r="R84" s="1944">
        <v>0</v>
      </c>
      <c r="S84" s="1944">
        <v>0</v>
      </c>
      <c r="T84" s="1944">
        <v>0</v>
      </c>
      <c r="U84" s="1944">
        <v>0</v>
      </c>
      <c r="V84" s="1944">
        <v>0</v>
      </c>
      <c r="W84" s="1944">
        <v>0</v>
      </c>
      <c r="X84" s="1944">
        <v>0</v>
      </c>
      <c r="Y84" s="1944">
        <v>0</v>
      </c>
      <c r="Z84" s="1947">
        <v>0</v>
      </c>
      <c r="AA84" s="2351">
        <v>0</v>
      </c>
      <c r="AB84" s="1944">
        <v>0</v>
      </c>
      <c r="AC84" s="1944">
        <v>0</v>
      </c>
      <c r="AD84" s="1944">
        <v>0</v>
      </c>
      <c r="AE84" s="1944">
        <v>0</v>
      </c>
      <c r="AF84" s="1944">
        <v>0</v>
      </c>
      <c r="AG84" s="1944">
        <v>0</v>
      </c>
      <c r="AH84" s="1944">
        <v>0</v>
      </c>
      <c r="AI84" s="1947">
        <v>0</v>
      </c>
    </row>
    <row r="85" spans="1:36" ht="15" customHeight="1">
      <c r="A85" s="431"/>
      <c r="B85" s="130"/>
      <c r="C85" s="453"/>
      <c r="D85" s="453" t="s">
        <v>520</v>
      </c>
      <c r="E85" s="1944">
        <v>0</v>
      </c>
      <c r="F85" s="1944">
        <v>0</v>
      </c>
      <c r="G85" s="1944">
        <v>0</v>
      </c>
      <c r="H85" s="1944">
        <v>0</v>
      </c>
      <c r="I85" s="1944">
        <v>0</v>
      </c>
      <c r="J85" s="1944">
        <v>0</v>
      </c>
      <c r="K85" s="1944">
        <v>0</v>
      </c>
      <c r="L85" s="1944">
        <v>0</v>
      </c>
      <c r="M85" s="1944">
        <v>0</v>
      </c>
      <c r="N85" s="1944">
        <v>0</v>
      </c>
      <c r="O85" s="1944">
        <v>0</v>
      </c>
      <c r="P85" s="1944">
        <v>0</v>
      </c>
      <c r="Q85" s="1944">
        <v>0</v>
      </c>
      <c r="R85" s="1944">
        <v>0</v>
      </c>
      <c r="S85" s="1944">
        <v>0</v>
      </c>
      <c r="T85" s="1944">
        <v>0</v>
      </c>
      <c r="U85" s="1944">
        <v>0</v>
      </c>
      <c r="V85" s="1944">
        <v>0</v>
      </c>
      <c r="W85" s="1944">
        <v>0</v>
      </c>
      <c r="X85" s="1944">
        <v>0</v>
      </c>
      <c r="Y85" s="1944">
        <v>0</v>
      </c>
      <c r="Z85" s="1947">
        <v>0</v>
      </c>
      <c r="AA85" s="2351">
        <v>0</v>
      </c>
      <c r="AB85" s="1944">
        <v>0</v>
      </c>
      <c r="AC85" s="1944">
        <v>0</v>
      </c>
      <c r="AD85" s="1944">
        <v>0</v>
      </c>
      <c r="AE85" s="1944">
        <v>0</v>
      </c>
      <c r="AF85" s="1944">
        <v>0</v>
      </c>
      <c r="AG85" s="1944">
        <v>0</v>
      </c>
      <c r="AH85" s="1944">
        <v>0</v>
      </c>
      <c r="AI85" s="1947">
        <v>0</v>
      </c>
    </row>
    <row r="86" spans="1:36" ht="15" customHeight="1">
      <c r="A86" s="431"/>
      <c r="B86" s="130"/>
      <c r="C86" s="453"/>
      <c r="D86" s="453" t="s">
        <v>1549</v>
      </c>
      <c r="E86" s="1944">
        <v>0</v>
      </c>
      <c r="F86" s="1944">
        <f t="shared" ref="F86:AI86" si="34">F39</f>
        <v>0</v>
      </c>
      <c r="G86" s="1944">
        <f t="shared" si="34"/>
        <v>0</v>
      </c>
      <c r="H86" s="1944">
        <f t="shared" si="34"/>
        <v>0</v>
      </c>
      <c r="I86" s="1944">
        <f t="shared" si="34"/>
        <v>0</v>
      </c>
      <c r="J86" s="1944">
        <f t="shared" si="34"/>
        <v>0</v>
      </c>
      <c r="K86" s="1944">
        <f t="shared" si="34"/>
        <v>0</v>
      </c>
      <c r="L86" s="1944">
        <f t="shared" si="34"/>
        <v>0</v>
      </c>
      <c r="M86" s="1944">
        <f t="shared" si="34"/>
        <v>0</v>
      </c>
      <c r="N86" s="1944">
        <f t="shared" si="34"/>
        <v>0</v>
      </c>
      <c r="O86" s="1944">
        <f t="shared" si="34"/>
        <v>0</v>
      </c>
      <c r="P86" s="1944">
        <f t="shared" si="34"/>
        <v>0</v>
      </c>
      <c r="Q86" s="1944">
        <f t="shared" si="34"/>
        <v>0</v>
      </c>
      <c r="R86" s="1944">
        <f t="shared" si="34"/>
        <v>0</v>
      </c>
      <c r="S86" s="1944">
        <f t="shared" si="34"/>
        <v>0</v>
      </c>
      <c r="T86" s="1944">
        <f t="shared" si="34"/>
        <v>0</v>
      </c>
      <c r="U86" s="1944">
        <f t="shared" si="34"/>
        <v>0</v>
      </c>
      <c r="V86" s="1944">
        <f t="shared" si="34"/>
        <v>0</v>
      </c>
      <c r="W86" s="1944">
        <f t="shared" si="34"/>
        <v>0</v>
      </c>
      <c r="X86" s="1944">
        <f t="shared" si="34"/>
        <v>0</v>
      </c>
      <c r="Y86" s="1944">
        <f t="shared" si="34"/>
        <v>0</v>
      </c>
      <c r="Z86" s="1947">
        <f t="shared" si="34"/>
        <v>0</v>
      </c>
      <c r="AA86" s="2351">
        <f t="shared" si="34"/>
        <v>0</v>
      </c>
      <c r="AB86" s="1944">
        <f t="shared" si="34"/>
        <v>0</v>
      </c>
      <c r="AC86" s="1944">
        <f t="shared" si="34"/>
        <v>0</v>
      </c>
      <c r="AD86" s="1944">
        <f t="shared" si="34"/>
        <v>0</v>
      </c>
      <c r="AE86" s="1944">
        <f t="shared" si="34"/>
        <v>0</v>
      </c>
      <c r="AF86" s="1944">
        <f t="shared" si="34"/>
        <v>0</v>
      </c>
      <c r="AG86" s="1944">
        <f t="shared" si="34"/>
        <v>0</v>
      </c>
      <c r="AH86" s="1944">
        <f t="shared" si="34"/>
        <v>0</v>
      </c>
      <c r="AI86" s="1947">
        <f t="shared" si="34"/>
        <v>0</v>
      </c>
    </row>
    <row r="87" spans="1:36" ht="15" customHeight="1">
      <c r="A87" s="431"/>
      <c r="B87" s="130"/>
      <c r="C87" s="456"/>
      <c r="D87" s="456" t="s">
        <v>1550</v>
      </c>
      <c r="E87" s="527">
        <f t="shared" ref="E87:AI87" si="35">E27</f>
        <v>0</v>
      </c>
      <c r="F87" s="527">
        <f t="shared" si="35"/>
        <v>0</v>
      </c>
      <c r="G87" s="527">
        <f t="shared" si="35"/>
        <v>0</v>
      </c>
      <c r="H87" s="527">
        <f t="shared" si="35"/>
        <v>0</v>
      </c>
      <c r="I87" s="527">
        <f t="shared" si="35"/>
        <v>0</v>
      </c>
      <c r="J87" s="527">
        <f t="shared" si="35"/>
        <v>0</v>
      </c>
      <c r="K87" s="527">
        <f t="shared" si="35"/>
        <v>0</v>
      </c>
      <c r="L87" s="527">
        <f t="shared" si="35"/>
        <v>0</v>
      </c>
      <c r="M87" s="527">
        <f t="shared" si="35"/>
        <v>0</v>
      </c>
      <c r="N87" s="527">
        <f t="shared" si="35"/>
        <v>0</v>
      </c>
      <c r="O87" s="527">
        <f t="shared" si="35"/>
        <v>0</v>
      </c>
      <c r="P87" s="527">
        <f t="shared" si="35"/>
        <v>0</v>
      </c>
      <c r="Q87" s="527">
        <f t="shared" si="35"/>
        <v>0</v>
      </c>
      <c r="R87" s="527">
        <f t="shared" si="35"/>
        <v>0</v>
      </c>
      <c r="S87" s="527">
        <f t="shared" si="35"/>
        <v>0</v>
      </c>
      <c r="T87" s="527">
        <f t="shared" si="35"/>
        <v>0</v>
      </c>
      <c r="U87" s="527">
        <f t="shared" si="35"/>
        <v>0</v>
      </c>
      <c r="V87" s="527">
        <f t="shared" si="35"/>
        <v>0</v>
      </c>
      <c r="W87" s="527">
        <f t="shared" si="35"/>
        <v>0</v>
      </c>
      <c r="X87" s="527">
        <f t="shared" si="35"/>
        <v>0</v>
      </c>
      <c r="Y87" s="527">
        <f t="shared" si="35"/>
        <v>0</v>
      </c>
      <c r="Z87" s="2393">
        <f t="shared" si="35"/>
        <v>0</v>
      </c>
      <c r="AA87" s="2394">
        <f t="shared" si="35"/>
        <v>0</v>
      </c>
      <c r="AB87" s="527">
        <f t="shared" si="35"/>
        <v>0</v>
      </c>
      <c r="AC87" s="527">
        <f t="shared" si="35"/>
        <v>0</v>
      </c>
      <c r="AD87" s="527">
        <f t="shared" si="35"/>
        <v>0</v>
      </c>
      <c r="AE87" s="527">
        <f t="shared" si="35"/>
        <v>0</v>
      </c>
      <c r="AF87" s="527">
        <f t="shared" si="35"/>
        <v>0</v>
      </c>
      <c r="AG87" s="527">
        <f t="shared" si="35"/>
        <v>0</v>
      </c>
      <c r="AH87" s="527">
        <f t="shared" si="35"/>
        <v>0</v>
      </c>
      <c r="AI87" s="2393">
        <f t="shared" si="35"/>
        <v>0</v>
      </c>
    </row>
    <row r="88" spans="1:36" ht="13.5" customHeight="1">
      <c r="A88" s="431"/>
      <c r="B88" s="130"/>
      <c r="C88" s="456"/>
      <c r="D88" s="1525" t="s">
        <v>2072</v>
      </c>
      <c r="E88" s="528">
        <f>MIN(E58,E70+E71)</f>
        <v>0</v>
      </c>
      <c r="F88" s="528">
        <f t="shared" ref="F88:N88" si="36">MIN(F58,F70+F71)</f>
        <v>0</v>
      </c>
      <c r="G88" s="528">
        <f t="shared" si="36"/>
        <v>0</v>
      </c>
      <c r="H88" s="528">
        <f t="shared" si="36"/>
        <v>0</v>
      </c>
      <c r="I88" s="528">
        <f t="shared" si="36"/>
        <v>0</v>
      </c>
      <c r="J88" s="528">
        <f t="shared" si="36"/>
        <v>0</v>
      </c>
      <c r="K88" s="528">
        <f t="shared" si="36"/>
        <v>0</v>
      </c>
      <c r="L88" s="528">
        <f t="shared" si="36"/>
        <v>0</v>
      </c>
      <c r="M88" s="528">
        <f t="shared" si="36"/>
        <v>0</v>
      </c>
      <c r="N88" s="528">
        <f t="shared" si="36"/>
        <v>0</v>
      </c>
      <c r="O88" s="529"/>
      <c r="P88" s="529"/>
      <c r="Q88" s="529"/>
      <c r="R88" s="529"/>
      <c r="S88" s="529"/>
      <c r="T88" s="529"/>
      <c r="U88" s="529"/>
      <c r="V88" s="529"/>
      <c r="W88" s="529"/>
      <c r="X88" s="529"/>
      <c r="Y88" s="530"/>
      <c r="Z88" s="2395">
        <f>MIN(Z58,Z70+Z71)</f>
        <v>0</v>
      </c>
      <c r="AA88" s="2396">
        <f t="shared" ref="AA88:AI88" si="37">MIN(AA58,AA70+AA71)</f>
        <v>0</v>
      </c>
      <c r="AB88" s="528">
        <f t="shared" si="37"/>
        <v>0</v>
      </c>
      <c r="AC88" s="528">
        <f t="shared" si="37"/>
        <v>0</v>
      </c>
      <c r="AD88" s="528">
        <f t="shared" si="37"/>
        <v>0</v>
      </c>
      <c r="AE88" s="528">
        <f t="shared" si="37"/>
        <v>0</v>
      </c>
      <c r="AF88" s="528">
        <f t="shared" si="37"/>
        <v>0</v>
      </c>
      <c r="AG88" s="528">
        <f t="shared" si="37"/>
        <v>0</v>
      </c>
      <c r="AH88" s="528">
        <f t="shared" si="37"/>
        <v>0</v>
      </c>
      <c r="AI88" s="2395">
        <f t="shared" si="37"/>
        <v>0</v>
      </c>
    </row>
    <row r="89" spans="1:36" ht="15" customHeight="1">
      <c r="A89" s="431"/>
      <c r="B89" s="130"/>
      <c r="C89" s="453"/>
      <c r="D89" s="1519" t="s">
        <v>2225</v>
      </c>
      <c r="E89" s="1944"/>
      <c r="F89" s="1944"/>
      <c r="G89" s="1944"/>
      <c r="H89" s="1944"/>
      <c r="I89" s="1944"/>
      <c r="J89" s="1944"/>
      <c r="K89" s="1944"/>
      <c r="L89" s="1944"/>
      <c r="M89" s="1944"/>
      <c r="N89" s="1944"/>
      <c r="O89" s="1944"/>
      <c r="P89" s="1944"/>
      <c r="Q89" s="1944"/>
      <c r="R89" s="1944"/>
      <c r="S89" s="1944"/>
      <c r="T89" s="1944"/>
      <c r="U89" s="1944"/>
      <c r="V89" s="1944"/>
      <c r="W89" s="1944"/>
      <c r="X89" s="1944"/>
      <c r="Y89" s="1944"/>
      <c r="Z89" s="1947"/>
      <c r="AA89" s="2351"/>
      <c r="AB89" s="1944"/>
      <c r="AC89" s="1944"/>
      <c r="AD89" s="1944"/>
      <c r="AE89" s="1944"/>
      <c r="AF89" s="1944"/>
      <c r="AG89" s="1944"/>
      <c r="AH89" s="1944"/>
      <c r="AI89" s="1947"/>
    </row>
    <row r="90" spans="1:36" ht="15" customHeight="1">
      <c r="A90" s="431"/>
      <c r="B90" s="130"/>
      <c r="C90" s="453"/>
      <c r="D90" s="453" t="s">
        <v>1533</v>
      </c>
      <c r="E90" s="517">
        <f>E79+E80+E86+E87+E85+E89</f>
        <v>0</v>
      </c>
      <c r="F90" s="517">
        <f t="shared" ref="F90:Y90" si="38">F79+F80+F86+F87+F85</f>
        <v>0</v>
      </c>
      <c r="G90" s="517">
        <f>G79+G80+G86+G87+G85</f>
        <v>0</v>
      </c>
      <c r="H90" s="517">
        <f t="shared" si="38"/>
        <v>0</v>
      </c>
      <c r="I90" s="517">
        <f t="shared" si="38"/>
        <v>0</v>
      </c>
      <c r="J90" s="517">
        <f t="shared" si="38"/>
        <v>0</v>
      </c>
      <c r="K90" s="517">
        <f t="shared" si="38"/>
        <v>0</v>
      </c>
      <c r="L90" s="517">
        <f t="shared" si="38"/>
        <v>0</v>
      </c>
      <c r="M90" s="517">
        <f t="shared" si="38"/>
        <v>0</v>
      </c>
      <c r="N90" s="517">
        <f t="shared" si="38"/>
        <v>0</v>
      </c>
      <c r="O90" s="517">
        <f t="shared" si="38"/>
        <v>0</v>
      </c>
      <c r="P90" s="517">
        <f t="shared" si="38"/>
        <v>0</v>
      </c>
      <c r="Q90" s="517">
        <f t="shared" si="38"/>
        <v>0</v>
      </c>
      <c r="R90" s="517">
        <f t="shared" si="38"/>
        <v>0</v>
      </c>
      <c r="S90" s="517">
        <f t="shared" si="38"/>
        <v>0</v>
      </c>
      <c r="T90" s="517">
        <f t="shared" si="38"/>
        <v>0</v>
      </c>
      <c r="U90" s="517">
        <f t="shared" si="38"/>
        <v>0</v>
      </c>
      <c r="V90" s="517">
        <f t="shared" si="38"/>
        <v>0</v>
      </c>
      <c r="W90" s="517">
        <f t="shared" si="38"/>
        <v>0</v>
      </c>
      <c r="X90" s="517">
        <f t="shared" si="38"/>
        <v>0</v>
      </c>
      <c r="Y90" s="517">
        <f t="shared" si="38"/>
        <v>0</v>
      </c>
      <c r="Z90" s="2397">
        <f>Z79+Z80+Z86+Z87+Z85+Z89</f>
        <v>0</v>
      </c>
      <c r="AA90" s="2398">
        <f t="shared" ref="AA90:AI90" si="39">AA79+AA80+AA86+AA87+AA85+AA89</f>
        <v>0</v>
      </c>
      <c r="AB90" s="517">
        <f t="shared" si="39"/>
        <v>0</v>
      </c>
      <c r="AC90" s="517">
        <f t="shared" si="39"/>
        <v>0</v>
      </c>
      <c r="AD90" s="517">
        <f t="shared" si="39"/>
        <v>0</v>
      </c>
      <c r="AE90" s="517">
        <f t="shared" si="39"/>
        <v>0</v>
      </c>
      <c r="AF90" s="517">
        <f t="shared" si="39"/>
        <v>0</v>
      </c>
      <c r="AG90" s="517">
        <f t="shared" si="39"/>
        <v>0</v>
      </c>
      <c r="AH90" s="517">
        <f t="shared" si="39"/>
        <v>0</v>
      </c>
      <c r="AI90" s="2397">
        <f t="shared" si="39"/>
        <v>0</v>
      </c>
    </row>
    <row r="91" spans="1:36" ht="16.5" customHeight="1" thickBot="1">
      <c r="A91" s="466" t="s">
        <v>1551</v>
      </c>
      <c r="B91" s="1980">
        <f ca="1">SUM(E91:AI91)</f>
        <v>0</v>
      </c>
      <c r="C91" s="461"/>
      <c r="D91" s="461" t="s">
        <v>1552</v>
      </c>
      <c r="E91" s="1977">
        <f ca="1">E78-E90</f>
        <v>0</v>
      </c>
      <c r="F91" s="1977">
        <f t="shared" ref="F91:N91" ca="1" si="40">F78-F90</f>
        <v>0</v>
      </c>
      <c r="G91" s="1977">
        <f t="shared" ca="1" si="40"/>
        <v>0</v>
      </c>
      <c r="H91" s="1977">
        <f t="shared" ca="1" si="40"/>
        <v>0</v>
      </c>
      <c r="I91" s="1977">
        <f t="shared" ca="1" si="40"/>
        <v>0</v>
      </c>
      <c r="J91" s="1977">
        <f t="shared" ca="1" si="40"/>
        <v>0</v>
      </c>
      <c r="K91" s="1977">
        <f t="shared" ca="1" si="40"/>
        <v>0</v>
      </c>
      <c r="L91" s="1977">
        <f t="shared" ca="1" si="40"/>
        <v>0</v>
      </c>
      <c r="M91" s="1977">
        <f t="shared" ca="1" si="40"/>
        <v>0</v>
      </c>
      <c r="N91" s="1977">
        <f t="shared" ca="1" si="40"/>
        <v>0</v>
      </c>
      <c r="O91" s="1978">
        <f t="shared" ref="O91:AI91" si="41">O78-O90</f>
        <v>0</v>
      </c>
      <c r="P91" s="1978">
        <f t="shared" si="41"/>
        <v>0</v>
      </c>
      <c r="Q91" s="1978">
        <f t="shared" si="41"/>
        <v>0</v>
      </c>
      <c r="R91" s="1978">
        <f t="shared" si="41"/>
        <v>0</v>
      </c>
      <c r="S91" s="1978">
        <f t="shared" si="41"/>
        <v>0</v>
      </c>
      <c r="T91" s="1978">
        <f t="shared" si="41"/>
        <v>0</v>
      </c>
      <c r="U91" s="1978">
        <f t="shared" si="41"/>
        <v>0</v>
      </c>
      <c r="V91" s="1978">
        <f t="shared" si="41"/>
        <v>0</v>
      </c>
      <c r="W91" s="1978">
        <f t="shared" si="41"/>
        <v>0</v>
      </c>
      <c r="X91" s="1978">
        <f t="shared" si="41"/>
        <v>0</v>
      </c>
      <c r="Y91" s="1977">
        <f t="shared" si="41"/>
        <v>0</v>
      </c>
      <c r="Z91" s="1979">
        <f t="shared" si="41"/>
        <v>0</v>
      </c>
      <c r="AA91" s="2399">
        <f t="shared" si="41"/>
        <v>0</v>
      </c>
      <c r="AB91" s="1977">
        <f t="shared" si="41"/>
        <v>0</v>
      </c>
      <c r="AC91" s="1977">
        <f t="shared" si="41"/>
        <v>0</v>
      </c>
      <c r="AD91" s="1977">
        <f t="shared" si="41"/>
        <v>0</v>
      </c>
      <c r="AE91" s="1977">
        <f t="shared" si="41"/>
        <v>0</v>
      </c>
      <c r="AF91" s="1977">
        <f t="shared" si="41"/>
        <v>0</v>
      </c>
      <c r="AG91" s="1977">
        <f t="shared" si="41"/>
        <v>0</v>
      </c>
      <c r="AH91" s="1977">
        <f t="shared" si="41"/>
        <v>0</v>
      </c>
      <c r="AI91" s="1979">
        <f t="shared" si="41"/>
        <v>0</v>
      </c>
    </row>
    <row r="92" spans="1:36" ht="14.25" customHeight="1" thickTop="1" thickBot="1">
      <c r="A92" s="460"/>
      <c r="B92" s="429"/>
      <c r="C92" s="463"/>
      <c r="D92" s="429"/>
      <c r="E92" s="531"/>
      <c r="F92" s="531"/>
      <c r="G92" s="531"/>
      <c r="H92" s="531"/>
      <c r="I92" s="531"/>
      <c r="J92" s="531"/>
      <c r="K92" s="531"/>
      <c r="L92" s="531"/>
      <c r="M92" s="531"/>
      <c r="N92" s="531"/>
      <c r="O92" s="531"/>
      <c r="P92" s="531"/>
      <c r="Q92" s="531"/>
      <c r="R92" s="531"/>
      <c r="S92" s="531"/>
      <c r="T92" s="531"/>
      <c r="U92" s="531"/>
      <c r="V92" s="531"/>
      <c r="W92" s="531"/>
      <c r="X92" s="531"/>
      <c r="Y92" s="531"/>
      <c r="Z92" s="532"/>
      <c r="AA92" s="2400"/>
      <c r="AB92" s="1174"/>
      <c r="AC92" s="1174"/>
      <c r="AD92" s="1174"/>
      <c r="AE92" s="1174"/>
      <c r="AF92" s="1174"/>
      <c r="AG92" s="1174"/>
      <c r="AH92" s="1174"/>
      <c r="AI92" s="532"/>
      <c r="AJ92" s="130"/>
    </row>
    <row r="93" spans="1:36" ht="12.75" customHeight="1">
      <c r="A93" s="130"/>
      <c r="B93" s="130"/>
      <c r="C93" s="450"/>
      <c r="D93" s="130"/>
      <c r="E93" s="2151"/>
      <c r="F93" s="130"/>
      <c r="G93" s="130"/>
      <c r="H93" s="130"/>
      <c r="I93" s="130"/>
      <c r="J93" s="130"/>
      <c r="K93" s="130"/>
      <c r="L93" s="130"/>
      <c r="M93" s="130"/>
      <c r="N93" s="130"/>
      <c r="O93" s="130"/>
      <c r="P93" s="130"/>
      <c r="Q93" s="130"/>
      <c r="R93" s="130"/>
      <c r="S93" s="130"/>
      <c r="T93" s="130"/>
      <c r="U93" s="130"/>
      <c r="V93" s="130"/>
      <c r="W93" s="130"/>
      <c r="X93" s="130"/>
      <c r="Y93" s="130"/>
      <c r="Z93" s="465"/>
      <c r="AA93" s="2401"/>
      <c r="AB93" s="533"/>
      <c r="AC93" s="533"/>
      <c r="AD93" s="533"/>
      <c r="AE93" s="533"/>
      <c r="AF93" s="533"/>
      <c r="AG93" s="533"/>
      <c r="AH93" s="533"/>
      <c r="AI93" s="533"/>
      <c r="AJ93" s="130"/>
    </row>
    <row r="94" spans="1:36" ht="12.75" customHeight="1" thickBot="1">
      <c r="A94" s="54" t="s">
        <v>172</v>
      </c>
      <c r="B94" s="130"/>
      <c r="C94" s="450"/>
      <c r="D94" s="130"/>
      <c r="E94" s="130"/>
      <c r="F94" s="130"/>
      <c r="G94" s="130"/>
      <c r="H94" s="130"/>
      <c r="I94" s="130"/>
      <c r="J94" s="130"/>
      <c r="K94" s="130"/>
      <c r="L94" s="130"/>
      <c r="M94" s="130"/>
      <c r="N94" s="130"/>
      <c r="O94" s="130"/>
      <c r="P94" s="130"/>
      <c r="Q94" s="130"/>
      <c r="R94" s="130"/>
      <c r="S94" s="130"/>
      <c r="T94" s="130"/>
      <c r="U94" s="130"/>
      <c r="V94" s="130"/>
      <c r="W94" s="130"/>
      <c r="X94" s="130"/>
      <c r="Y94" s="130"/>
      <c r="Z94" s="465"/>
      <c r="AA94" s="465"/>
      <c r="AB94" s="465"/>
      <c r="AC94" s="465"/>
      <c r="AD94" s="465"/>
      <c r="AE94" s="465"/>
      <c r="AF94" s="465"/>
      <c r="AG94" s="465"/>
      <c r="AH94" s="465"/>
      <c r="AI94" s="465"/>
      <c r="AJ94" s="130"/>
    </row>
    <row r="95" spans="1:36" ht="26.25" customHeight="1" thickBot="1">
      <c r="A95" s="3871"/>
      <c r="B95" s="3872"/>
      <c r="C95" s="3872"/>
      <c r="D95" s="3872"/>
      <c r="E95" s="3872"/>
      <c r="F95" s="3872"/>
      <c r="G95" s="3872"/>
      <c r="H95" s="3872"/>
      <c r="I95" s="3872"/>
      <c r="J95" s="3872"/>
      <c r="K95" s="3872"/>
      <c r="L95" s="3872"/>
      <c r="M95" s="3872"/>
      <c r="N95" s="3872"/>
      <c r="O95" s="3872"/>
      <c r="P95" s="3872"/>
      <c r="Q95" s="3872"/>
      <c r="R95" s="3872"/>
      <c r="S95" s="3872"/>
      <c r="T95" s="3872"/>
      <c r="U95" s="3872"/>
      <c r="V95" s="3872"/>
      <c r="W95" s="3872"/>
      <c r="X95" s="3872"/>
      <c r="Y95" s="3872"/>
      <c r="Z95" s="3872"/>
      <c r="AA95" s="3872"/>
      <c r="AB95" s="2404"/>
      <c r="AC95" s="2404"/>
      <c r="AD95" s="2404"/>
      <c r="AE95" s="2404"/>
      <c r="AF95" s="2404"/>
      <c r="AG95" s="2404"/>
      <c r="AH95" s="2404"/>
      <c r="AI95" s="2405"/>
      <c r="AJ95" s="130"/>
    </row>
    <row r="96" spans="1:36" ht="6.75" customHeight="1">
      <c r="A96" s="431"/>
      <c r="B96" s="130"/>
      <c r="C96" s="450"/>
      <c r="D96" s="130"/>
      <c r="E96" s="130"/>
      <c r="F96" s="130"/>
      <c r="G96" s="130"/>
      <c r="H96" s="130"/>
      <c r="I96" s="130"/>
      <c r="J96" s="130"/>
      <c r="K96" s="130"/>
      <c r="L96" s="130"/>
      <c r="M96" s="130"/>
      <c r="N96" s="130"/>
      <c r="O96" s="130"/>
      <c r="P96" s="130"/>
      <c r="Q96" s="130"/>
      <c r="R96" s="130"/>
      <c r="S96" s="130"/>
      <c r="T96" s="130"/>
      <c r="U96" s="130"/>
      <c r="V96" s="130"/>
      <c r="W96" s="130"/>
      <c r="X96" s="130"/>
      <c r="Y96" s="130"/>
      <c r="Z96" s="465"/>
      <c r="AA96" s="465"/>
      <c r="AB96" s="465"/>
      <c r="AC96" s="465"/>
      <c r="AD96" s="465"/>
      <c r="AE96" s="465"/>
      <c r="AF96" s="465"/>
      <c r="AG96" s="465"/>
      <c r="AH96" s="465"/>
      <c r="AI96" s="465"/>
      <c r="AJ96" s="130"/>
    </row>
    <row r="97" spans="1:36" ht="12.75" customHeight="1">
      <c r="A97" s="431"/>
      <c r="B97" s="130"/>
      <c r="C97" s="450"/>
      <c r="D97" s="130"/>
      <c r="E97" s="130"/>
      <c r="F97" s="130"/>
      <c r="G97" s="130"/>
      <c r="H97" s="130"/>
      <c r="I97" s="130"/>
      <c r="J97" s="130"/>
      <c r="K97" s="130"/>
      <c r="L97" s="130"/>
      <c r="M97" s="130"/>
      <c r="N97" s="130"/>
      <c r="O97" s="130"/>
      <c r="P97" s="130"/>
      <c r="Q97" s="130"/>
      <c r="R97" s="130"/>
      <c r="S97" s="130"/>
      <c r="T97" s="130"/>
      <c r="U97" s="130"/>
      <c r="V97" s="130"/>
      <c r="W97" s="130"/>
      <c r="X97" s="130"/>
      <c r="Y97" s="130"/>
      <c r="Z97" s="465"/>
      <c r="AA97" s="465"/>
      <c r="AB97" s="465"/>
      <c r="AC97" s="465"/>
      <c r="AD97" s="465"/>
      <c r="AE97" s="465"/>
      <c r="AF97" s="465"/>
      <c r="AG97" s="465"/>
      <c r="AH97" s="465"/>
      <c r="AI97" s="465"/>
      <c r="AJ97" s="130"/>
    </row>
    <row r="98" spans="1:36" ht="12.75" customHeight="1">
      <c r="J98" s="130"/>
      <c r="K98" s="130"/>
      <c r="L98" s="130"/>
      <c r="M98" s="130"/>
      <c r="N98" s="130"/>
      <c r="O98" s="130"/>
      <c r="P98" s="130"/>
      <c r="Q98" s="130"/>
      <c r="R98" s="130"/>
      <c r="S98" s="130"/>
      <c r="T98" s="130"/>
      <c r="U98" s="130"/>
      <c r="V98" s="130"/>
      <c r="W98" s="130"/>
      <c r="X98" s="130"/>
      <c r="Y98" s="130"/>
      <c r="Z98" s="465"/>
      <c r="AA98" s="465"/>
      <c r="AB98" s="465"/>
      <c r="AC98" s="465"/>
      <c r="AD98" s="465"/>
      <c r="AE98" s="465"/>
      <c r="AF98" s="465"/>
      <c r="AG98" s="465"/>
      <c r="AH98" s="465"/>
      <c r="AI98" s="465"/>
      <c r="AJ98" s="130"/>
    </row>
    <row r="99" spans="1:36" ht="27" customHeight="1">
      <c r="A99" s="3739" t="str">
        <f>CONCATENATE("In preparing these calculations we have relied on source information provided to us by ",'Input Info'!$C$6,". Although this source information is likely to be based on various assumptions and forecasts made by ",'Input Info'!$C$6,", we have relied on this information as being accurate and complete and have not sought to verify or vouch for any of the information provided.")</f>
        <v>In preparing these calculations we have relied on source information provided to us by Example Trust. Although this source information is likely to be based on various assumptions and forecasts made by Example Trust, we have relied on this information as being accurate and complete and have not sought to verify or vouch for any of the information provided.</v>
      </c>
      <c r="B99" s="3739"/>
      <c r="C99" s="3739"/>
      <c r="D99" s="3739"/>
      <c r="E99" s="3739"/>
      <c r="F99" s="3739"/>
      <c r="G99" s="3739"/>
      <c r="H99" s="3739"/>
      <c r="I99" s="3739"/>
      <c r="J99" s="3739"/>
      <c r="K99" s="3739"/>
      <c r="L99" s="3739"/>
      <c r="M99" s="3739"/>
      <c r="N99" s="3739"/>
      <c r="O99" s="3739"/>
      <c r="P99" s="3739"/>
      <c r="Q99" s="3739"/>
      <c r="R99" s="3739"/>
      <c r="S99" s="3739"/>
      <c r="T99" s="3739"/>
      <c r="U99" s="3739"/>
      <c r="V99" s="3739"/>
      <c r="W99" s="3739"/>
      <c r="X99" s="3739"/>
      <c r="Y99" s="3739"/>
      <c r="Z99" s="3739"/>
      <c r="AA99" s="3739"/>
      <c r="AB99" s="1837"/>
      <c r="AC99" s="1837"/>
      <c r="AD99" s="1837"/>
      <c r="AE99" s="1837"/>
      <c r="AF99" s="1837"/>
      <c r="AG99" s="1837"/>
      <c r="AH99" s="1837"/>
      <c r="AI99" s="1837"/>
      <c r="AJ99" s="130"/>
    </row>
    <row r="100" spans="1:36" ht="27" customHeight="1">
      <c r="A100" s="3739" t="str">
        <f>CONCATENATE("Further, the estimates have been prepared at the request of and for the benefit of the above named client only, and neither ",'Input Info'!$N$5," or any member or employee of ",'Input Info'!$N$5," undertakes any responsibility in any way whatsoever to any person or company other than ",'Input Info'!$C$6," for any errors or omissions in the calculations or recommendations, however caused.")</f>
        <v>Further, the estimates have been prepared at the request of and for the benefit of the above named client only, and neither FINDEX or any member or employee of FINDEX undertakes any responsibility in any way whatsoever to any person or company other than Example Trust for any errors or omissions in the calculations or recommendations, however caused.</v>
      </c>
      <c r="B100" s="3739"/>
      <c r="C100" s="3739"/>
      <c r="D100" s="3739"/>
      <c r="E100" s="3739"/>
      <c r="F100" s="3739"/>
      <c r="G100" s="3739"/>
      <c r="H100" s="3739"/>
      <c r="I100" s="3739"/>
      <c r="J100" s="3739"/>
      <c r="K100" s="3739"/>
      <c r="L100" s="3739"/>
      <c r="M100" s="3739"/>
      <c r="N100" s="3739"/>
      <c r="O100" s="3739"/>
      <c r="P100" s="3739"/>
      <c r="Q100" s="3739"/>
      <c r="R100" s="3739"/>
      <c r="S100" s="3739"/>
      <c r="T100" s="3739"/>
      <c r="U100" s="3739"/>
      <c r="V100" s="3739"/>
      <c r="W100" s="3739"/>
      <c r="X100" s="3739"/>
      <c r="Y100" s="3739"/>
      <c r="Z100" s="3739"/>
      <c r="AA100" s="3739"/>
      <c r="AB100" s="1837"/>
      <c r="AC100" s="1837"/>
      <c r="AD100" s="1837"/>
      <c r="AE100" s="1837"/>
      <c r="AF100" s="1837"/>
      <c r="AG100" s="1837"/>
      <c r="AH100" s="1837"/>
      <c r="AI100" s="1837"/>
      <c r="AJ100" s="130"/>
    </row>
  </sheetData>
  <sheetProtection selectLockedCells="1"/>
  <customSheetViews>
    <customSheetView guid="{BCBE45D4-3C45-4659-992E-5C5D3E9FD81C}" scale="85" fitToPage="1" hiddenRows="1" hiddenColumns="1">
      <pane xSplit="4" ySplit="17" topLeftCell="E51" activePane="bottomRight" state="frozenSplit"/>
      <selection pane="bottomRight" activeCell="F91" sqref="F91"/>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80" fitToPage="1" hiddenRows="1" hiddenColumns="1">
      <pane xSplit="4" ySplit="17" topLeftCell="E18" activePane="bottomRight" state="frozenSplit"/>
      <selection pane="bottomRight" activeCell="F14" sqref="F14"/>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8">
    <mergeCell ref="AK36:AL39"/>
    <mergeCell ref="A6:AA6"/>
    <mergeCell ref="D1:Y1"/>
    <mergeCell ref="A95:AA95"/>
    <mergeCell ref="A99:AA99"/>
    <mergeCell ref="A100:AA100"/>
    <mergeCell ref="A11:D11"/>
    <mergeCell ref="D2:Y4"/>
  </mergeCells>
  <phoneticPr fontId="0" type="noConversion"/>
  <dataValidations count="4">
    <dataValidation type="list" allowBlank="1" showInputMessage="1" showErrorMessage="1" sqref="E62:N62 Z62:AI62" xr:uid="{00000000-0002-0000-0B00-000000000000}">
      <formula1>"Yes,No"</formula1>
    </dataValidation>
    <dataValidation type="list" allowBlank="1" showInputMessage="1" showErrorMessage="1" sqref="E63:N63" xr:uid="{00000000-0002-0000-0B00-000001000000}">
      <formula1>Individuals_NA</formula1>
    </dataValidation>
    <dataValidation type="list" allowBlank="1" showInputMessage="1" showErrorMessage="1" sqref="E13:AJ13" xr:uid="{00000000-0002-0000-0B00-000002000000}">
      <formula1>HideShow</formula1>
    </dataValidation>
    <dataValidation type="list" allowBlank="1" showInputMessage="1" showErrorMessage="1" sqref="E12:N12" xr:uid="{B14B9CB9-8D39-48BA-B72E-E05513AB4CA3}">
      <formula1>$AS$11:$AS$13</formula1>
    </dataValidation>
  </dataValidations>
  <hyperlinks>
    <hyperlink ref="A8" location="ClientName" display="ClientName" xr:uid="{00000000-0004-0000-0B00-000000000000}"/>
    <hyperlink ref="Z7" location="WP_Tax_Dist_Non_Averaging" display="Back to Workpaper Index" xr:uid="{00000000-0004-0000-0B00-000001000000}"/>
    <hyperlink ref="AA7" location="WP_Tax_Dist_Non_Averaging" display="Back to Workpaper Index" xr:uid="{00000000-0004-0000-0B00-000002000000}"/>
    <hyperlink ref="Z7:AA7" location="WP_Tax_Dist_Non_Averaging" display="Back to Workpaper Index" xr:uid="{00000000-0004-0000-0B00-000003000000}"/>
    <hyperlink ref="AB6" r:id="rId3" display="https://www.whkpulse.com.au/browse/folder.asp?d=59455970585F505343797C0904030905" xr:uid="{00000000-0004-0000-0B00-000004000000}"/>
    <hyperlink ref="AB7" location="WP_Tax_Dist_Non_Averaging" display="Back to Workpaper Index" xr:uid="{00000000-0004-0000-0B00-000005000000}"/>
    <hyperlink ref="AC6" r:id="rId4" display="https://www.whkpulse.com.au/browse/folder.asp?d=59455970585F505343797C0904030905" xr:uid="{00000000-0004-0000-0B00-000006000000}"/>
    <hyperlink ref="AD6" r:id="rId5" display="https://www.whkpulse.com.au/browse/folder.asp?d=59455970585F505343797C0904030905" xr:uid="{00000000-0004-0000-0B00-000008000000}"/>
    <hyperlink ref="AB6:AD6" r:id="rId6" display="https://www.whkpulse.com.au/browse/folder.asp?d=59455970585F505343797C0904030905" xr:uid="{00000000-0004-0000-0B00-00000A000000}"/>
    <hyperlink ref="AB7" location="WP_Tax_Dist_Non_Averaging" display="Back to Workpaper Index" xr:uid="{00000000-0004-0000-0B00-00000B000000}"/>
    <hyperlink ref="AE6" r:id="rId7" display="https://www.whkpulse.com.au/browse/folder.asp?d=59455970585F505343797C0904030905" xr:uid="{00000000-0004-0000-0B00-00000C000000}"/>
    <hyperlink ref="AF6" r:id="rId8" display="https://www.whkpulse.com.au/browse/folder.asp?d=59455970585F505343797C0904030905" xr:uid="{00000000-0004-0000-0B00-00000E000000}"/>
    <hyperlink ref="AG6" r:id="rId9" display="https://www.whkpulse.com.au/browse/folder.asp?d=59455970585F505343797C0904030905" xr:uid="{00000000-0004-0000-0B00-000010000000}"/>
    <hyperlink ref="AH6" r:id="rId10" display="https://www.whkpulse.com.au/browse/folder.asp?d=59455970585F505343797C0904030905" xr:uid="{00000000-0004-0000-0B00-000012000000}"/>
    <hyperlink ref="Z7:AM7" location="WP_Tax_Dist_Non_Averaging" display="Back to Workpaper Index" xr:uid="{00000000-0004-0000-0B00-000014000000}"/>
    <hyperlink ref="AM7" location="WP_Dividend_Summary" display="Back to Workpaper Index" xr:uid="{00000000-0004-0000-0B00-000015000000}"/>
  </hyperlinks>
  <printOptions horizontalCentered="1"/>
  <pageMargins left="0" right="0" top="0" bottom="0" header="0" footer="0"/>
  <pageSetup paperSize="9" scale="56" orientation="portrait" r:id="rId11"/>
  <headerFooter alignWithMargins="0"/>
  <drawing r:id="rId12"/>
  <legacyDrawing r:id="rId13"/>
  <controls>
    <mc:AlternateContent xmlns:mc="http://schemas.openxmlformats.org/markup-compatibility/2006">
      <mc:Choice Requires="x14">
        <control shapeId="103605" r:id="rId14" name="SpinButton_Individuals">
          <controlPr defaultSize="0" autoLine="0" r:id="rId15">
            <anchor moveWithCells="1">
              <from>
                <xdr:col>0</xdr:col>
                <xdr:colOff>257175</xdr:colOff>
                <xdr:row>17</xdr:row>
                <xdr:rowOff>0</xdr:rowOff>
              </from>
              <to>
                <xdr:col>0</xdr:col>
                <xdr:colOff>600075</xdr:colOff>
                <xdr:row>19</xdr:row>
                <xdr:rowOff>19050</xdr:rowOff>
              </to>
            </anchor>
          </controlPr>
        </control>
      </mc:Choice>
      <mc:Fallback>
        <control shapeId="103605" r:id="rId14" name="SpinButton_Individuals"/>
      </mc:Fallback>
    </mc:AlternateContent>
    <mc:AlternateContent xmlns:mc="http://schemas.openxmlformats.org/markup-compatibility/2006">
      <mc:Choice Requires="x14">
        <control shapeId="103606" r:id="rId16" name="SpinButton_Companies">
          <controlPr defaultSize="0" autoLine="0" r:id="rId15">
            <anchor moveWithCells="1">
              <from>
                <xdr:col>0</xdr:col>
                <xdr:colOff>247650</xdr:colOff>
                <xdr:row>19</xdr:row>
                <xdr:rowOff>180975</xdr:rowOff>
              </from>
              <to>
                <xdr:col>0</xdr:col>
                <xdr:colOff>590550</xdr:colOff>
                <xdr:row>21</xdr:row>
                <xdr:rowOff>180975</xdr:rowOff>
              </to>
            </anchor>
          </controlPr>
        </control>
      </mc:Choice>
      <mc:Fallback>
        <control shapeId="103606" r:id="rId16" name="SpinButton_Companies"/>
      </mc:Fallback>
    </mc:AlternateContent>
    <mc:AlternateContent xmlns:mc="http://schemas.openxmlformats.org/markup-compatibility/2006">
      <mc:Choice Requires="x14">
        <control shapeId="103607" r:id="rId17" name="SpinButton_SuperFunds">
          <controlPr defaultSize="0" autoLine="0" r:id="rId15">
            <anchor moveWithCells="1">
              <from>
                <xdr:col>0</xdr:col>
                <xdr:colOff>266700</xdr:colOff>
                <xdr:row>26</xdr:row>
                <xdr:rowOff>180975</xdr:rowOff>
              </from>
              <to>
                <xdr:col>0</xdr:col>
                <xdr:colOff>609600</xdr:colOff>
                <xdr:row>28</xdr:row>
                <xdr:rowOff>180975</xdr:rowOff>
              </to>
            </anchor>
          </controlPr>
        </control>
      </mc:Choice>
      <mc:Fallback>
        <control shapeId="103607" r:id="rId17" name="SpinButton_SuperFunds"/>
      </mc:Fallback>
    </mc:AlternateContent>
    <mc:AlternateContent xmlns:mc="http://schemas.openxmlformats.org/markup-compatibility/2006">
      <mc:Choice Requires="x14">
        <control shapeId="103608" r:id="rId18" name="SpinButton_ChildBeneficiaries">
          <controlPr defaultSize="0" autoLine="0" r:id="rId15">
            <anchor moveWithCells="1">
              <from>
                <xdr:col>0</xdr:col>
                <xdr:colOff>257175</xdr:colOff>
                <xdr:row>23</xdr:row>
                <xdr:rowOff>57150</xdr:rowOff>
              </from>
              <to>
                <xdr:col>0</xdr:col>
                <xdr:colOff>600075</xdr:colOff>
                <xdr:row>25</xdr:row>
                <xdr:rowOff>57150</xdr:rowOff>
              </to>
            </anchor>
          </controlPr>
        </control>
      </mc:Choice>
      <mc:Fallback>
        <control shapeId="103608" r:id="rId18" name="SpinButton_ChildBeneficiaries"/>
      </mc:Fallback>
    </mc:AlternateContent>
    <mc:AlternateContent xmlns:mc="http://schemas.openxmlformats.org/markup-compatibility/2006">
      <mc:Choice Requires="x14">
        <control shapeId="103609" r:id="rId19" name="Label_Individuals">
          <controlPr defaultSize="0" autoLine="0" r:id="rId20">
            <anchor moveWithCells="1">
              <from>
                <xdr:col>0</xdr:col>
                <xdr:colOff>704850</xdr:colOff>
                <xdr:row>17</xdr:row>
                <xdr:rowOff>9525</xdr:rowOff>
              </from>
              <to>
                <xdr:col>1</xdr:col>
                <xdr:colOff>942975</xdr:colOff>
                <xdr:row>19</xdr:row>
                <xdr:rowOff>9525</xdr:rowOff>
              </to>
            </anchor>
          </controlPr>
        </control>
      </mc:Choice>
      <mc:Fallback>
        <control shapeId="103609" r:id="rId19" name="Label_Individuals"/>
      </mc:Fallback>
    </mc:AlternateContent>
    <mc:AlternateContent xmlns:mc="http://schemas.openxmlformats.org/markup-compatibility/2006">
      <mc:Choice Requires="x14">
        <control shapeId="103610" r:id="rId21" name="Label_Companies">
          <controlPr defaultSize="0" autoLine="0" r:id="rId22">
            <anchor moveWithCells="1">
              <from>
                <xdr:col>0</xdr:col>
                <xdr:colOff>695325</xdr:colOff>
                <xdr:row>19</xdr:row>
                <xdr:rowOff>180975</xdr:rowOff>
              </from>
              <to>
                <xdr:col>1</xdr:col>
                <xdr:colOff>923925</xdr:colOff>
                <xdr:row>21</xdr:row>
                <xdr:rowOff>161925</xdr:rowOff>
              </to>
            </anchor>
          </controlPr>
        </control>
      </mc:Choice>
      <mc:Fallback>
        <control shapeId="103610" r:id="rId21" name="Label_Companies"/>
      </mc:Fallback>
    </mc:AlternateContent>
    <mc:AlternateContent xmlns:mc="http://schemas.openxmlformats.org/markup-compatibility/2006">
      <mc:Choice Requires="x14">
        <control shapeId="103611" r:id="rId23" name="Label_Superfunds">
          <controlPr defaultSize="0" autoLine="0" r:id="rId24">
            <anchor moveWithCells="1">
              <from>
                <xdr:col>0</xdr:col>
                <xdr:colOff>704850</xdr:colOff>
                <xdr:row>27</xdr:row>
                <xdr:rowOff>28575</xdr:rowOff>
              </from>
              <to>
                <xdr:col>1</xdr:col>
                <xdr:colOff>942975</xdr:colOff>
                <xdr:row>33</xdr:row>
                <xdr:rowOff>9525</xdr:rowOff>
              </to>
            </anchor>
          </controlPr>
        </control>
      </mc:Choice>
      <mc:Fallback>
        <control shapeId="103611" r:id="rId23" name="Label_Superfunds"/>
      </mc:Fallback>
    </mc:AlternateContent>
    <mc:AlternateContent xmlns:mc="http://schemas.openxmlformats.org/markup-compatibility/2006">
      <mc:Choice Requires="x14">
        <control shapeId="103612" r:id="rId25" name="Label_ChildBeneficiaries">
          <controlPr defaultSize="0" autoLine="0" r:id="rId26">
            <anchor moveWithCells="1">
              <from>
                <xdr:col>0</xdr:col>
                <xdr:colOff>723900</xdr:colOff>
                <xdr:row>23</xdr:row>
                <xdr:rowOff>66675</xdr:rowOff>
              </from>
              <to>
                <xdr:col>1</xdr:col>
                <xdr:colOff>952500</xdr:colOff>
                <xdr:row>25</xdr:row>
                <xdr:rowOff>47625</xdr:rowOff>
              </to>
            </anchor>
          </controlPr>
        </control>
      </mc:Choice>
      <mc:Fallback>
        <control shapeId="103612" r:id="rId25" name="Label_ChildBeneficiaries"/>
      </mc:Fallback>
    </mc:AlternateContent>
    <mc:AlternateContent xmlns:mc="http://schemas.openxmlformats.org/markup-compatibility/2006">
      <mc:Choice Requires="x14">
        <control shapeId="104238" r:id="rId27" name="Button 814">
          <controlPr defaultSize="0" print="0" autoFill="0" autoPict="0" macro="[0]!ShowAllNonAveraging">
            <anchor moveWithCells="1" sizeWithCells="1">
              <from>
                <xdr:col>37</xdr:col>
                <xdr:colOff>0</xdr:colOff>
                <xdr:row>12</xdr:row>
                <xdr:rowOff>0</xdr:rowOff>
              </from>
              <to>
                <xdr:col>38</xdr:col>
                <xdr:colOff>0</xdr:colOff>
                <xdr:row>13</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Dist_Averaging_Sheet">
    <pageSetUpPr fitToPage="1"/>
  </sheetPr>
  <dimension ref="A1:AW156"/>
  <sheetViews>
    <sheetView zoomScaleNormal="100" workbookViewId="0">
      <pane xSplit="4" ySplit="18" topLeftCell="E19" activePane="bottomRight" state="frozenSplit"/>
      <selection activeCell="K41" sqref="K41"/>
      <selection pane="topRight" activeCell="K41" sqref="K41"/>
      <selection pane="bottomLeft" activeCell="K41" sqref="K41"/>
      <selection pane="bottomRight" activeCell="E1" sqref="E1"/>
    </sheetView>
  </sheetViews>
  <sheetFormatPr defaultColWidth="9.140625" defaultRowHeight="12.75"/>
  <cols>
    <col min="1" max="2" width="19.85546875" style="484" customWidth="1"/>
    <col min="3" max="3" width="10.85546875" style="484" customWidth="1"/>
    <col min="4" max="4" width="27.140625" style="484" customWidth="1"/>
    <col min="5" max="5" width="15.85546875" style="508" customWidth="1"/>
    <col min="6" max="8" width="15.7109375" style="484" customWidth="1"/>
    <col min="9" max="14" width="15.7109375" style="484" hidden="1" customWidth="1"/>
    <col min="15" max="15" width="15.7109375" style="484" customWidth="1"/>
    <col min="16" max="24" width="15.7109375" style="484" hidden="1" customWidth="1"/>
    <col min="25" max="26" width="15.7109375" style="484" customWidth="1"/>
    <col min="27" max="35" width="15.7109375" style="484" hidden="1" customWidth="1"/>
    <col min="36" max="36" width="0.140625" style="484" customWidth="1"/>
    <col min="37" max="38" width="9.140625" style="484"/>
    <col min="39" max="39" width="8.28515625" style="1" customWidth="1"/>
    <col min="40" max="44" width="9.140625" style="484"/>
    <col min="45" max="45" width="14.5703125" style="484" hidden="1" customWidth="1"/>
    <col min="46" max="16384" width="9.140625" style="484"/>
  </cols>
  <sheetData>
    <row r="1" spans="1:49" ht="15.75">
      <c r="C1" s="1677" t="s">
        <v>48</v>
      </c>
      <c r="D1" s="40"/>
      <c r="E1" s="40"/>
      <c r="F1" s="40"/>
      <c r="G1" s="40"/>
      <c r="H1" s="40"/>
      <c r="I1" s="40"/>
      <c r="J1" s="1"/>
      <c r="K1" s="1"/>
      <c r="L1" s="40"/>
      <c r="M1" s="1"/>
      <c r="N1" s="40"/>
      <c r="AL1" s="45"/>
      <c r="AM1" s="45"/>
      <c r="AN1" s="1952" t="e">
        <f>'WP Index'!#REF!</f>
        <v>#REF!</v>
      </c>
      <c r="AO1" s="477"/>
    </row>
    <row r="2" spans="1:49" s="32" customFormat="1">
      <c r="A2" s="484"/>
      <c r="B2" s="484"/>
      <c r="C2" s="3877"/>
      <c r="D2" s="3877"/>
      <c r="E2" s="3877"/>
      <c r="F2" s="3877"/>
      <c r="G2" s="3877"/>
      <c r="H2" s="3877"/>
      <c r="I2" s="3877"/>
      <c r="J2" s="3877"/>
      <c r="K2" s="3877"/>
      <c r="L2" s="3877"/>
      <c r="M2" s="3877"/>
      <c r="N2" s="3877"/>
      <c r="O2" s="3877"/>
      <c r="P2" s="3877"/>
      <c r="Q2" s="3877"/>
      <c r="R2" s="3877"/>
      <c r="S2" s="3877"/>
      <c r="T2" s="3877"/>
      <c r="U2" s="3877"/>
      <c r="V2" s="3877"/>
      <c r="W2" s="3877"/>
      <c r="X2" s="3877"/>
      <c r="Y2" s="3877"/>
      <c r="AL2" s="11"/>
      <c r="AM2" s="11" t="s">
        <v>331</v>
      </c>
      <c r="AN2" s="709" t="s">
        <v>1262</v>
      </c>
      <c r="AO2" s="709"/>
    </row>
    <row r="3" spans="1:49" s="32" customFormat="1" ht="17.25" customHeight="1">
      <c r="A3" s="484"/>
      <c r="B3" s="484"/>
      <c r="C3" s="3877"/>
      <c r="D3" s="3877"/>
      <c r="E3" s="3877"/>
      <c r="F3" s="3877"/>
      <c r="G3" s="3877"/>
      <c r="H3" s="3877"/>
      <c r="I3" s="3877"/>
      <c r="J3" s="3877"/>
      <c r="K3" s="3877"/>
      <c r="L3" s="3877"/>
      <c r="M3" s="3877"/>
      <c r="N3" s="3877"/>
      <c r="O3" s="3877"/>
      <c r="P3" s="3877"/>
      <c r="Q3" s="3877"/>
      <c r="R3" s="3877"/>
      <c r="S3" s="3877"/>
      <c r="T3" s="3877"/>
      <c r="U3" s="3877"/>
      <c r="V3" s="3877"/>
      <c r="W3" s="3877"/>
      <c r="X3" s="3877"/>
      <c r="Y3" s="3877"/>
      <c r="AL3" s="71" t="s">
        <v>332</v>
      </c>
      <c r="AM3" s="1948" t="str">
        <f>IF(PreparedBy="","",PreparedBy)</f>
        <v/>
      </c>
      <c r="AN3" s="1949" t="str">
        <f>IF(DatePrepared="","",DatePrepared)</f>
        <v/>
      </c>
      <c r="AO3" s="477"/>
    </row>
    <row r="4" spans="1:49" s="32" customFormat="1" ht="17.25" customHeight="1">
      <c r="A4" s="484"/>
      <c r="B4" s="484"/>
      <c r="C4" s="3877"/>
      <c r="D4" s="3877"/>
      <c r="E4" s="3877"/>
      <c r="F4" s="3877"/>
      <c r="G4" s="3877"/>
      <c r="H4" s="3877"/>
      <c r="I4" s="3877"/>
      <c r="J4" s="3877"/>
      <c r="K4" s="3877"/>
      <c r="L4" s="3877"/>
      <c r="M4" s="3877"/>
      <c r="N4" s="3877"/>
      <c r="O4" s="3877"/>
      <c r="P4" s="3877"/>
      <c r="Q4" s="3877"/>
      <c r="R4" s="3877"/>
      <c r="S4" s="3877"/>
      <c r="T4" s="3877"/>
      <c r="U4" s="3877"/>
      <c r="V4" s="3877"/>
      <c r="W4" s="3877"/>
      <c r="X4" s="3877"/>
      <c r="Y4" s="3877"/>
      <c r="AL4" s="71" t="s">
        <v>333</v>
      </c>
      <c r="AM4" s="1950"/>
      <c r="AN4" s="1951"/>
      <c r="AO4" s="477"/>
    </row>
    <row r="5" spans="1:49" s="32" customFormat="1" ht="3.95" customHeight="1">
      <c r="A5" s="484"/>
      <c r="B5" s="484"/>
      <c r="C5" s="43"/>
      <c r="D5" s="43"/>
      <c r="E5" s="43"/>
    </row>
    <row r="6" spans="1:49" ht="15.75">
      <c r="A6" s="3704" t="e">
        <f>'WP Index'!#REF!</f>
        <v>#REF!</v>
      </c>
      <c r="B6" s="3705"/>
      <c r="C6" s="3705"/>
      <c r="D6" s="3705"/>
      <c r="E6" s="3705"/>
      <c r="F6" s="3705"/>
      <c r="G6" s="3705"/>
      <c r="H6" s="3705"/>
      <c r="I6" s="3705"/>
      <c r="J6" s="3705"/>
      <c r="K6" s="3705"/>
      <c r="L6" s="3705"/>
      <c r="M6" s="3705"/>
      <c r="N6" s="3705"/>
      <c r="O6" s="3705"/>
      <c r="P6" s="3705"/>
      <c r="Q6" s="3705"/>
      <c r="R6" s="3705"/>
      <c r="S6" s="3705"/>
      <c r="T6" s="3705"/>
      <c r="U6" s="3705"/>
      <c r="V6" s="3705"/>
      <c r="W6" s="3705"/>
      <c r="X6" s="3705"/>
      <c r="Y6" s="3705"/>
      <c r="Z6" s="3705"/>
      <c r="AA6" s="3705"/>
      <c r="AB6" s="3705"/>
      <c r="AC6" s="3705"/>
      <c r="AD6" s="3705"/>
      <c r="AE6" s="3705"/>
      <c r="AF6" s="3705"/>
      <c r="AG6" s="3705"/>
      <c r="AH6" s="3705"/>
      <c r="AI6" s="3706"/>
      <c r="AL6" s="477"/>
      <c r="AM6" s="8"/>
      <c r="AN6" s="477"/>
      <c r="AO6" s="477"/>
      <c r="AP6" s="477"/>
      <c r="AQ6" s="477"/>
      <c r="AR6" s="477"/>
      <c r="AS6" s="477"/>
      <c r="AT6" s="477"/>
      <c r="AU6" s="477"/>
      <c r="AV6" s="477"/>
      <c r="AW6" s="477"/>
    </row>
    <row r="7" spans="1:49">
      <c r="A7" s="8"/>
      <c r="B7" s="8"/>
      <c r="C7" s="8"/>
      <c r="D7" s="8"/>
      <c r="E7" s="8"/>
      <c r="F7" s="8"/>
      <c r="G7" s="8"/>
      <c r="H7" s="8"/>
      <c r="I7" s="8"/>
      <c r="J7" s="1"/>
      <c r="K7" s="1"/>
      <c r="L7" s="45"/>
      <c r="M7" s="1"/>
      <c r="N7" s="45"/>
      <c r="O7" s="45"/>
      <c r="P7" s="45"/>
      <c r="Q7" s="45"/>
      <c r="R7" s="45"/>
      <c r="S7" s="45"/>
      <c r="T7" s="45"/>
      <c r="U7" s="45"/>
      <c r="V7" s="45"/>
      <c r="W7" s="45"/>
      <c r="X7" s="45"/>
      <c r="AM7" s="2330" t="s">
        <v>1039</v>
      </c>
      <c r="AN7" s="2330"/>
      <c r="AO7" s="2330"/>
      <c r="AP7" s="2330"/>
      <c r="AQ7" s="2330"/>
      <c r="AR7" s="2330"/>
      <c r="AS7" s="2330"/>
      <c r="AT7" s="2330"/>
      <c r="AU7" s="2330"/>
      <c r="AV7" s="2330"/>
      <c r="AW7" s="2330"/>
    </row>
    <row r="8" spans="1:49" ht="15.75">
      <c r="A8" s="221" t="str">
        <f>"CLIENT NAME:   "&amp;IF(ClientName="[ENTER CLIENT NAME]","",ClientName)</f>
        <v>CLIENT NAME:   Example Trust</v>
      </c>
      <c r="B8" s="227"/>
      <c r="C8" s="624"/>
      <c r="D8" s="624"/>
      <c r="E8" s="8"/>
      <c r="F8" s="8"/>
      <c r="G8" s="8"/>
      <c r="H8" s="8"/>
      <c r="I8" s="8"/>
      <c r="J8" s="1"/>
      <c r="K8" s="1"/>
      <c r="L8" s="45"/>
      <c r="M8" s="1"/>
      <c r="N8" s="45"/>
      <c r="O8" s="45"/>
      <c r="P8" s="45"/>
      <c r="Q8" s="45"/>
      <c r="R8" s="45"/>
      <c r="S8" s="45"/>
      <c r="T8" s="45"/>
      <c r="U8" s="45"/>
      <c r="V8" s="45"/>
      <c r="W8" s="45"/>
      <c r="X8" s="45"/>
      <c r="Y8" s="8"/>
      <c r="Z8" s="8"/>
      <c r="AA8" s="8"/>
      <c r="AB8" s="8"/>
      <c r="AC8" s="8"/>
      <c r="AD8" s="8"/>
      <c r="AE8" s="8"/>
      <c r="AF8" s="8"/>
      <c r="AG8" s="8"/>
      <c r="AH8" s="8"/>
      <c r="AI8" s="8"/>
    </row>
    <row r="9" spans="1:49" hidden="1">
      <c r="A9" s="9" t="str">
        <f>"CLIENT CODE:   "&amp;'WP Index'!E4</f>
        <v>CLIENT CODE:   99999</v>
      </c>
      <c r="B9" s="227"/>
      <c r="C9" s="8"/>
      <c r="D9" s="8"/>
      <c r="E9" s="8"/>
      <c r="F9" s="8"/>
      <c r="G9" s="8"/>
      <c r="H9" s="8"/>
      <c r="I9" s="8"/>
      <c r="J9" s="1"/>
      <c r="K9" s="1"/>
      <c r="L9" s="45"/>
      <c r="M9" s="1"/>
      <c r="N9" s="45"/>
      <c r="O9" s="45"/>
      <c r="P9" s="45"/>
      <c r="Q9" s="45"/>
      <c r="R9" s="45"/>
      <c r="S9" s="45"/>
      <c r="T9" s="45"/>
      <c r="U9" s="45"/>
      <c r="V9" s="45"/>
      <c r="W9" s="45"/>
      <c r="X9" s="45"/>
      <c r="Y9" s="47"/>
      <c r="Z9" s="591"/>
      <c r="AA9" s="591"/>
      <c r="AB9" s="591"/>
      <c r="AC9" s="591"/>
      <c r="AD9" s="591"/>
      <c r="AE9" s="591"/>
      <c r="AF9" s="591"/>
      <c r="AG9" s="591"/>
      <c r="AH9" s="591" t="str">
        <f>'WP Index'!F5</f>
        <v xml:space="preserve">PERIOD END: </v>
      </c>
      <c r="AI9" s="591">
        <f>'WP Index'!G5</f>
        <v>45473</v>
      </c>
      <c r="AS9" s="484" t="str">
        <f>'Standard Thresholds'!A6</f>
        <v>Resident</v>
      </c>
    </row>
    <row r="10" spans="1:49" ht="13.5" thickBot="1">
      <c r="A10" s="45"/>
      <c r="B10" s="45"/>
      <c r="C10" s="440"/>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S10" s="484" t="str">
        <f>'Standard Thresholds'!A18</f>
        <v>2023 FBT Rates</v>
      </c>
    </row>
    <row r="11" spans="1:49" ht="18" customHeight="1">
      <c r="A11" s="2406"/>
      <c r="B11" s="2407" t="s">
        <v>1553</v>
      </c>
      <c r="C11" s="2408"/>
      <c r="D11" s="2408"/>
      <c r="E11" s="2409"/>
      <c r="F11" s="2408"/>
      <c r="G11" s="2408"/>
      <c r="H11" s="2410"/>
      <c r="I11" s="2410"/>
      <c r="J11" s="2410"/>
      <c r="K11" s="2410"/>
      <c r="L11" s="2410"/>
      <c r="M11" s="2410"/>
      <c r="N11" s="2410"/>
      <c r="O11" s="2410"/>
      <c r="P11" s="2410"/>
      <c r="Q11" s="2410"/>
      <c r="R11" s="2410"/>
      <c r="S11" s="2410"/>
      <c r="T11" s="2410"/>
      <c r="U11" s="2410"/>
      <c r="V11" s="2410"/>
      <c r="W11" s="2410"/>
      <c r="X11" s="2410"/>
      <c r="Y11" s="2410"/>
      <c r="Z11" s="478"/>
      <c r="AA11" s="2410"/>
      <c r="AB11" s="2410"/>
      <c r="AC11" s="2410"/>
      <c r="AD11" s="2410"/>
      <c r="AE11" s="2410"/>
      <c r="AF11" s="2410"/>
      <c r="AG11" s="2410"/>
      <c r="AH11" s="2410"/>
      <c r="AI11" s="478"/>
      <c r="AS11" s="484" t="e">
        <f>'Standard Thresholds'!#REF!</f>
        <v>#REF!</v>
      </c>
    </row>
    <row r="12" spans="1:49" ht="18" customHeight="1">
      <c r="A12" s="480"/>
      <c r="B12" s="481"/>
      <c r="C12" s="482" t="s">
        <v>1466</v>
      </c>
      <c r="D12" s="1999">
        <f ca="1">SUM(E130:AI130)</f>
        <v>0</v>
      </c>
      <c r="E12" s="479"/>
      <c r="F12" s="477"/>
      <c r="G12" s="477"/>
      <c r="H12" s="477"/>
      <c r="I12" s="1222"/>
      <c r="J12" s="464"/>
      <c r="K12" s="464"/>
      <c r="L12" s="464"/>
      <c r="M12" s="464"/>
      <c r="N12" s="464"/>
      <c r="O12" s="477"/>
      <c r="P12" s="477"/>
      <c r="Q12" s="477"/>
      <c r="R12" s="477"/>
      <c r="S12" s="477"/>
      <c r="T12" s="477"/>
      <c r="U12" s="477"/>
      <c r="V12" s="477"/>
      <c r="W12" s="477"/>
      <c r="X12" s="477"/>
      <c r="Y12" s="477"/>
      <c r="Z12" s="474"/>
      <c r="AA12" s="464"/>
      <c r="AB12" s="464"/>
      <c r="AC12" s="464"/>
      <c r="AD12" s="464"/>
      <c r="AE12" s="464"/>
      <c r="AF12" s="464"/>
      <c r="AG12" s="464"/>
      <c r="AH12" s="464"/>
      <c r="AI12" s="474"/>
    </row>
    <row r="13" spans="1:49" ht="18" customHeight="1">
      <c r="A13" s="480"/>
      <c r="B13" s="481"/>
      <c r="C13" s="482" t="s">
        <v>11</v>
      </c>
      <c r="D13" s="1999">
        <f ca="1">SUM(E145:AI145)</f>
        <v>0</v>
      </c>
      <c r="E13" s="2060" t="s">
        <v>2037</v>
      </c>
      <c r="F13" s="2060" t="s">
        <v>2037</v>
      </c>
      <c r="G13" s="2060" t="s">
        <v>2037</v>
      </c>
      <c r="H13" s="2060" t="s">
        <v>2037</v>
      </c>
      <c r="I13" s="2060" t="s">
        <v>2037</v>
      </c>
      <c r="J13" s="2060" t="s">
        <v>2037</v>
      </c>
      <c r="K13" s="2060" t="s">
        <v>2037</v>
      </c>
      <c r="L13" s="2060" t="s">
        <v>2037</v>
      </c>
      <c r="M13" s="2060" t="s">
        <v>2037</v>
      </c>
      <c r="N13" s="2060" t="s">
        <v>2037</v>
      </c>
      <c r="O13" s="449"/>
      <c r="P13" s="449"/>
      <c r="Q13" s="449"/>
      <c r="R13" s="449"/>
      <c r="S13" s="449"/>
      <c r="T13" s="449"/>
      <c r="U13" s="449"/>
      <c r="V13" s="449"/>
      <c r="W13" s="449"/>
      <c r="X13" s="449"/>
      <c r="Y13" s="449"/>
      <c r="Z13" s="1515"/>
      <c r="AA13" s="449"/>
      <c r="AB13" s="449"/>
      <c r="AC13" s="449"/>
      <c r="AD13" s="449"/>
      <c r="AE13" s="449"/>
      <c r="AF13" s="449"/>
      <c r="AG13" s="449"/>
      <c r="AH13" s="449"/>
      <c r="AI13" s="1515"/>
    </row>
    <row r="14" spans="1:49" ht="18.75" customHeight="1" thickBot="1">
      <c r="A14" s="483"/>
      <c r="B14" s="464"/>
      <c r="C14" s="482" t="s">
        <v>1467</v>
      </c>
      <c r="D14" s="2000">
        <f ca="1">B83+B84+B145</f>
        <v>0</v>
      </c>
      <c r="E14" s="2336" t="s">
        <v>1795</v>
      </c>
      <c r="F14" s="2336" t="s">
        <v>1795</v>
      </c>
      <c r="G14" s="2336" t="s">
        <v>1795</v>
      </c>
      <c r="H14" s="2336" t="s">
        <v>1795</v>
      </c>
      <c r="I14" s="2336" t="s">
        <v>1795</v>
      </c>
      <c r="J14" s="2336" t="s">
        <v>1795</v>
      </c>
      <c r="K14" s="2336" t="s">
        <v>1795</v>
      </c>
      <c r="L14" s="2336" t="s">
        <v>1795</v>
      </c>
      <c r="M14" s="2336" t="s">
        <v>1795</v>
      </c>
      <c r="N14" s="2336" t="s">
        <v>1795</v>
      </c>
      <c r="O14" s="2336" t="s">
        <v>1795</v>
      </c>
      <c r="P14" s="2336" t="s">
        <v>1795</v>
      </c>
      <c r="Q14" s="2336" t="s">
        <v>1795</v>
      </c>
      <c r="R14" s="2336" t="s">
        <v>1795</v>
      </c>
      <c r="S14" s="2336" t="s">
        <v>1795</v>
      </c>
      <c r="T14" s="2336" t="s">
        <v>1795</v>
      </c>
      <c r="U14" s="2336" t="s">
        <v>1795</v>
      </c>
      <c r="V14" s="2336" t="s">
        <v>1795</v>
      </c>
      <c r="W14" s="2336" t="s">
        <v>1795</v>
      </c>
      <c r="X14" s="2336" t="s">
        <v>1795</v>
      </c>
      <c r="Y14" s="2336" t="s">
        <v>1795</v>
      </c>
      <c r="Z14" s="2337" t="s">
        <v>1795</v>
      </c>
      <c r="AA14" s="2411" t="s">
        <v>1795</v>
      </c>
      <c r="AB14" s="2336" t="s">
        <v>1795</v>
      </c>
      <c r="AC14" s="2336" t="s">
        <v>1795</v>
      </c>
      <c r="AD14" s="2336" t="s">
        <v>1795</v>
      </c>
      <c r="AE14" s="2336" t="s">
        <v>1795</v>
      </c>
      <c r="AF14" s="2336" t="s">
        <v>1795</v>
      </c>
      <c r="AG14" s="2336" t="s">
        <v>1795</v>
      </c>
      <c r="AH14" s="2336" t="s">
        <v>1795</v>
      </c>
      <c r="AI14" s="2337" t="s">
        <v>1795</v>
      </c>
    </row>
    <row r="15" spans="1:49" ht="32.25" customHeight="1">
      <c r="A15" s="903"/>
      <c r="B15" s="904"/>
      <c r="C15" s="904"/>
      <c r="D15" s="482" t="s">
        <v>1554</v>
      </c>
      <c r="E15" s="1941" t="s">
        <v>9</v>
      </c>
      <c r="F15" s="1941" t="s">
        <v>1469</v>
      </c>
      <c r="G15" s="1941" t="s">
        <v>1470</v>
      </c>
      <c r="H15" s="1941" t="s">
        <v>1471</v>
      </c>
      <c r="I15" s="1941" t="s">
        <v>1472</v>
      </c>
      <c r="J15" s="1941" t="s">
        <v>1473</v>
      </c>
      <c r="K15" s="1941" t="s">
        <v>1474</v>
      </c>
      <c r="L15" s="1941" t="s">
        <v>1475</v>
      </c>
      <c r="M15" s="1941" t="s">
        <v>100</v>
      </c>
      <c r="N15" s="1941" t="s">
        <v>101</v>
      </c>
      <c r="O15" s="1939" t="s">
        <v>90</v>
      </c>
      <c r="P15" s="1939" t="s">
        <v>91</v>
      </c>
      <c r="Q15" s="1939" t="s">
        <v>92</v>
      </c>
      <c r="R15" s="1939" t="s">
        <v>93</v>
      </c>
      <c r="S15" s="1939" t="s">
        <v>94</v>
      </c>
      <c r="T15" s="1939" t="s">
        <v>95</v>
      </c>
      <c r="U15" s="1939" t="s">
        <v>96</v>
      </c>
      <c r="V15" s="1939" t="s">
        <v>97</v>
      </c>
      <c r="W15" s="1939" t="s">
        <v>98</v>
      </c>
      <c r="X15" s="1939" t="s">
        <v>99</v>
      </c>
      <c r="Y15" s="2313" t="s">
        <v>10</v>
      </c>
      <c r="Z15" s="2412" t="s">
        <v>2062</v>
      </c>
      <c r="AA15" s="2413" t="s">
        <v>2063</v>
      </c>
      <c r="AB15" s="2001" t="s">
        <v>2064</v>
      </c>
      <c r="AC15" s="2001" t="s">
        <v>2065</v>
      </c>
      <c r="AD15" s="2001" t="s">
        <v>2066</v>
      </c>
      <c r="AE15" s="2001" t="s">
        <v>2067</v>
      </c>
      <c r="AF15" s="2001" t="s">
        <v>2068</v>
      </c>
      <c r="AG15" s="2001" t="s">
        <v>2069</v>
      </c>
      <c r="AH15" s="2001" t="s">
        <v>2070</v>
      </c>
      <c r="AI15" s="2412" t="s">
        <v>2071</v>
      </c>
      <c r="AS15" s="931" t="s">
        <v>1286</v>
      </c>
    </row>
    <row r="16" spans="1:49" ht="15.75" customHeight="1" thickBot="1">
      <c r="A16" s="903"/>
      <c r="B16" s="904"/>
      <c r="C16" s="904"/>
      <c r="D16" s="462" t="s">
        <v>1780</v>
      </c>
      <c r="E16" s="1998"/>
      <c r="F16" s="1998"/>
      <c r="G16" s="1998"/>
      <c r="H16" s="1998"/>
      <c r="I16" s="1998"/>
      <c r="J16" s="1998"/>
      <c r="K16" s="1998"/>
      <c r="L16" s="1998"/>
      <c r="M16" s="1998"/>
      <c r="N16" s="1998"/>
      <c r="O16" s="2308"/>
      <c r="P16" s="2308"/>
      <c r="Q16" s="2308"/>
      <c r="R16" s="2308"/>
      <c r="S16" s="2308"/>
      <c r="T16" s="2308"/>
      <c r="U16" s="2308"/>
      <c r="V16" s="2308"/>
      <c r="W16" s="2308"/>
      <c r="X16" s="2308"/>
      <c r="Y16" s="2308"/>
      <c r="Z16" s="2414"/>
      <c r="AA16" s="2415"/>
      <c r="AB16" s="1193"/>
      <c r="AC16" s="1193"/>
      <c r="AD16" s="1193"/>
      <c r="AE16" s="1193"/>
      <c r="AF16" s="1193"/>
      <c r="AG16" s="1193"/>
      <c r="AH16" s="1193"/>
      <c r="AI16" s="1180"/>
    </row>
    <row r="17" spans="1:35" ht="15" customHeight="1" thickBot="1">
      <c r="A17" s="903"/>
      <c r="B17" s="904"/>
      <c r="C17" s="904"/>
      <c r="D17" s="462" t="s">
        <v>1782</v>
      </c>
      <c r="E17" s="1943" t="str">
        <f t="shared" ref="E17:N17" si="0">IF(E16="","",IF(MONTH(Period_End)&gt;MONTH(E16),YEAR(Period_End)-YEAR(E16),IF(AND(MONTH(Period_End)=MONTH(E16),DAY(Period_End)&gt;=DAY(E16)),YEAR(Period_End)-YEAR(E16),(YEAR(Period_End)-YEAR(E16)-1))))</f>
        <v/>
      </c>
      <c r="F17" s="1943" t="str">
        <f t="shared" si="0"/>
        <v/>
      </c>
      <c r="G17" s="1943" t="str">
        <f t="shared" si="0"/>
        <v/>
      </c>
      <c r="H17" s="1943" t="str">
        <f t="shared" si="0"/>
        <v/>
      </c>
      <c r="I17" s="1943" t="str">
        <f t="shared" si="0"/>
        <v/>
      </c>
      <c r="J17" s="1943" t="str">
        <f t="shared" si="0"/>
        <v/>
      </c>
      <c r="K17" s="1943" t="str">
        <f t="shared" si="0"/>
        <v/>
      </c>
      <c r="L17" s="1943" t="str">
        <f t="shared" si="0"/>
        <v/>
      </c>
      <c r="M17" s="1943" t="str">
        <f t="shared" si="0"/>
        <v/>
      </c>
      <c r="N17" s="2312" t="str">
        <f t="shared" si="0"/>
        <v/>
      </c>
      <c r="O17" s="2308"/>
      <c r="P17" s="2308"/>
      <c r="Q17" s="2308"/>
      <c r="R17" s="2308"/>
      <c r="S17" s="2308"/>
      <c r="T17" s="2308"/>
      <c r="U17" s="2308"/>
      <c r="V17" s="2308"/>
      <c r="W17" s="2308"/>
      <c r="X17" s="2308"/>
      <c r="Y17" s="2308"/>
      <c r="Z17" s="2414"/>
      <c r="AA17" s="2415"/>
      <c r="AB17" s="1193"/>
      <c r="AC17" s="1193"/>
      <c r="AD17" s="1193"/>
      <c r="AE17" s="1193"/>
      <c r="AF17" s="1193"/>
      <c r="AG17" s="1193"/>
      <c r="AH17" s="1193"/>
      <c r="AI17" s="1180"/>
    </row>
    <row r="18" spans="1:35" ht="15" hidden="1" customHeight="1" thickBot="1">
      <c r="A18" s="485"/>
      <c r="B18" s="486"/>
      <c r="C18" s="477"/>
      <c r="D18" s="477"/>
      <c r="E18" s="1914">
        <f ca="1">IF(CELL("width",E18)=0,"",MAX($D$18:D18)+1)</f>
        <v>1</v>
      </c>
      <c r="F18" s="1914">
        <f ca="1">IF(CELL("width",F18)=0,"",MAX($D$18:E18)+1)</f>
        <v>2</v>
      </c>
      <c r="G18" s="1914">
        <f ca="1">IF(CELL("width",G18)=0,"",MAX($D$18:F18)+1)</f>
        <v>3</v>
      </c>
      <c r="H18" s="1914">
        <f ca="1">IF(CELL("width",H18)=0,"",MAX($D$18:G18)+1)</f>
        <v>4</v>
      </c>
      <c r="I18" s="1914" t="str">
        <f ca="1">IF(CELL("width",I18)=0,"",MAX($D$18:H18)+1)</f>
        <v/>
      </c>
      <c r="J18" s="1914" t="str">
        <f ca="1">IF(CELL("width",J18)=0,"",MAX($D$18:I18)+1)</f>
        <v/>
      </c>
      <c r="K18" s="1914" t="str">
        <f ca="1">IF(CELL("width",K18)=0,"",MAX($D$18:J18)+1)</f>
        <v/>
      </c>
      <c r="L18" s="1914" t="str">
        <f ca="1">IF(CELL("width",L18)=0,"",MAX($D$18:K18)+1)</f>
        <v/>
      </c>
      <c r="M18" s="1914" t="str">
        <f ca="1">IF(CELL("width",M18)=0,"",MAX($D$18:L18)+1)</f>
        <v/>
      </c>
      <c r="N18" s="1914" t="str">
        <f ca="1">IF(CELL("width",N18)=0,"",MAX($D$18:M18)+1)</f>
        <v/>
      </c>
      <c r="O18" s="2309"/>
      <c r="P18" s="2309"/>
      <c r="Q18" s="2309"/>
      <c r="R18" s="2309"/>
      <c r="S18" s="2309"/>
      <c r="T18" s="2309"/>
      <c r="U18" s="2309"/>
      <c r="V18" s="2309"/>
      <c r="W18" s="2309"/>
      <c r="X18" s="2309"/>
      <c r="Y18" s="2309"/>
      <c r="Z18" s="2416">
        <f ca="1">IF(CELL("width",Z18)=0,"",MAX($D$18:Y18)+1)</f>
        <v>5</v>
      </c>
      <c r="AA18" s="2417" t="str">
        <f ca="1">IF(CELL("width",AA18)=0,"",MAX($D$18:Z18)+1)</f>
        <v/>
      </c>
      <c r="AB18" s="1194" t="str">
        <f ca="1">IF(CELL("width",AB18)=0,"",MAX($D$18:AA18)+1)</f>
        <v/>
      </c>
      <c r="AC18" s="1194" t="str">
        <f ca="1">IF(CELL("width",AC18)=0,"",MAX($D$18:AB18)+1)</f>
        <v/>
      </c>
      <c r="AD18" s="1194" t="str">
        <f ca="1">IF(CELL("width",AD18)=0,"",MAX($D$18:AC18)+1)</f>
        <v/>
      </c>
      <c r="AE18" s="1194" t="str">
        <f ca="1">IF(CELL("width",AE18)=0,"",MAX($D$18:AD18)+1)</f>
        <v/>
      </c>
      <c r="AF18" s="1194" t="str">
        <f ca="1">IF(CELL("width",AF18)=0,"",MAX($D$18:AE18)+1)</f>
        <v/>
      </c>
      <c r="AG18" s="1194" t="str">
        <f ca="1">IF(CELL("width",AG18)=0,"",MAX($D$18:AF18)+1)</f>
        <v/>
      </c>
      <c r="AH18" s="1194" t="str">
        <f ca="1">IF(CELL("width",AH18)=0,"",MAX($D$18:AG18)+1)</f>
        <v/>
      </c>
      <c r="AI18" s="1181" t="str">
        <f ca="1">IF(CELL("width",AI18)=0,"",MAX($D$18:AH18)+1)</f>
        <v/>
      </c>
    </row>
    <row r="19" spans="1:35" ht="15" customHeight="1">
      <c r="A19" s="485" t="s">
        <v>1555</v>
      </c>
      <c r="B19" s="486"/>
      <c r="C19" s="464"/>
      <c r="D19" s="488" t="s">
        <v>1556</v>
      </c>
      <c r="E19" s="1944"/>
      <c r="F19" s="1944">
        <v>0</v>
      </c>
      <c r="G19" s="1944">
        <v>0</v>
      </c>
      <c r="H19" s="1944">
        <v>0</v>
      </c>
      <c r="I19" s="1944">
        <v>0</v>
      </c>
      <c r="J19" s="1944">
        <v>0</v>
      </c>
      <c r="K19" s="1944">
        <v>0</v>
      </c>
      <c r="L19" s="1944">
        <v>0</v>
      </c>
      <c r="M19" s="1944">
        <v>0</v>
      </c>
      <c r="N19" s="1944">
        <v>0</v>
      </c>
      <c r="O19" s="2305"/>
      <c r="P19" s="2305"/>
      <c r="Q19" s="2305"/>
      <c r="R19" s="2305"/>
      <c r="S19" s="2305"/>
      <c r="T19" s="2305"/>
      <c r="U19" s="2305"/>
      <c r="V19" s="2305"/>
      <c r="W19" s="2305"/>
      <c r="X19" s="2305"/>
      <c r="Y19" s="2305"/>
      <c r="Z19" s="2418">
        <v>0</v>
      </c>
      <c r="AA19" s="2419">
        <v>0</v>
      </c>
      <c r="AB19" s="2003">
        <v>0</v>
      </c>
      <c r="AC19" s="2003">
        <v>0</v>
      </c>
      <c r="AD19" s="2003">
        <v>0</v>
      </c>
      <c r="AE19" s="2003">
        <v>0</v>
      </c>
      <c r="AF19" s="2003">
        <v>0</v>
      </c>
      <c r="AG19" s="2003">
        <v>0</v>
      </c>
      <c r="AH19" s="2003">
        <v>0</v>
      </c>
      <c r="AI19" s="2004">
        <v>0</v>
      </c>
    </row>
    <row r="20" spans="1:35" ht="15" customHeight="1">
      <c r="A20" s="487"/>
      <c r="B20" s="477"/>
      <c r="C20" s="464"/>
      <c r="D20" s="488" t="s">
        <v>1476</v>
      </c>
      <c r="E20" s="1944">
        <v>0</v>
      </c>
      <c r="F20" s="1944">
        <v>0</v>
      </c>
      <c r="G20" s="1944">
        <v>0</v>
      </c>
      <c r="H20" s="1944">
        <v>0</v>
      </c>
      <c r="I20" s="1944">
        <v>0</v>
      </c>
      <c r="J20" s="1944">
        <v>0</v>
      </c>
      <c r="K20" s="1944">
        <v>0</v>
      </c>
      <c r="L20" s="1944">
        <v>0</v>
      </c>
      <c r="M20" s="1944">
        <v>0</v>
      </c>
      <c r="N20" s="1944">
        <v>0</v>
      </c>
      <c r="O20" s="2305"/>
      <c r="P20" s="2305"/>
      <c r="Q20" s="2305"/>
      <c r="R20" s="2305"/>
      <c r="S20" s="2305"/>
      <c r="T20" s="2305"/>
      <c r="U20" s="2305"/>
      <c r="V20" s="2305"/>
      <c r="W20" s="2305"/>
      <c r="X20" s="2305"/>
      <c r="Y20" s="2305"/>
      <c r="Z20" s="2420"/>
      <c r="AA20" s="1555"/>
      <c r="AB20" s="1555"/>
      <c r="AC20" s="1555"/>
      <c r="AD20" s="1555"/>
      <c r="AE20" s="1555"/>
      <c r="AF20" s="1555"/>
      <c r="AG20" s="1555"/>
      <c r="AH20" s="1555"/>
      <c r="AI20" s="1556"/>
    </row>
    <row r="21" spans="1:35" ht="15" customHeight="1">
      <c r="A21" s="487"/>
      <c r="B21" s="477"/>
      <c r="C21" s="464"/>
      <c r="D21" s="488" t="s">
        <v>1790</v>
      </c>
      <c r="E21" s="1944"/>
      <c r="F21" s="1944"/>
      <c r="G21" s="1944"/>
      <c r="H21" s="1944"/>
      <c r="I21" s="1944"/>
      <c r="J21" s="1944"/>
      <c r="K21" s="1944"/>
      <c r="L21" s="1944"/>
      <c r="M21" s="1944"/>
      <c r="N21" s="1944"/>
      <c r="O21" s="2310"/>
      <c r="P21" s="2310"/>
      <c r="Q21" s="2310"/>
      <c r="R21" s="2310"/>
      <c r="S21" s="2310"/>
      <c r="T21" s="2310"/>
      <c r="U21" s="2310"/>
      <c r="V21" s="2310"/>
      <c r="W21" s="2310"/>
      <c r="X21" s="2310"/>
      <c r="Y21" s="2310"/>
      <c r="Z21" s="2421">
        <v>0</v>
      </c>
      <c r="AA21" s="2306">
        <v>0</v>
      </c>
      <c r="AB21" s="2006">
        <v>0</v>
      </c>
      <c r="AC21" s="2006">
        <v>0</v>
      </c>
      <c r="AD21" s="2006">
        <v>0</v>
      </c>
      <c r="AE21" s="2006">
        <v>0</v>
      </c>
      <c r="AF21" s="2006">
        <v>0</v>
      </c>
      <c r="AG21" s="2006">
        <v>0</v>
      </c>
      <c r="AH21" s="2006">
        <v>0</v>
      </c>
      <c r="AI21" s="2007">
        <v>0</v>
      </c>
    </row>
    <row r="22" spans="1:35" ht="15" customHeight="1">
      <c r="A22" s="487"/>
      <c r="B22" s="477"/>
      <c r="C22" s="464"/>
      <c r="D22" s="488" t="s">
        <v>1272</v>
      </c>
      <c r="E22" s="1944">
        <v>0</v>
      </c>
      <c r="F22" s="1944">
        <v>0</v>
      </c>
      <c r="G22" s="1944">
        <v>0</v>
      </c>
      <c r="H22" s="1944">
        <v>0</v>
      </c>
      <c r="I22" s="1944">
        <v>0</v>
      </c>
      <c r="J22" s="1944">
        <v>0</v>
      </c>
      <c r="K22" s="1944">
        <v>0</v>
      </c>
      <c r="L22" s="1944">
        <v>0</v>
      </c>
      <c r="M22" s="1944">
        <v>0</v>
      </c>
      <c r="N22" s="1944">
        <v>0</v>
      </c>
      <c r="O22" s="2311">
        <v>0</v>
      </c>
      <c r="P22" s="2307">
        <v>0</v>
      </c>
      <c r="Q22" s="2307">
        <v>0</v>
      </c>
      <c r="R22" s="2307">
        <v>0</v>
      </c>
      <c r="S22" s="2307">
        <v>0</v>
      </c>
      <c r="T22" s="2307">
        <v>0</v>
      </c>
      <c r="U22" s="2307">
        <v>0</v>
      </c>
      <c r="V22" s="2307">
        <v>0</v>
      </c>
      <c r="W22" s="2307">
        <v>0</v>
      </c>
      <c r="X22" s="2307">
        <v>0</v>
      </c>
      <c r="Y22" s="2314">
        <v>0</v>
      </c>
      <c r="Z22" s="2421">
        <v>0</v>
      </c>
      <c r="AA22" s="2306">
        <v>0</v>
      </c>
      <c r="AB22" s="2006">
        <v>0</v>
      </c>
      <c r="AC22" s="2006">
        <v>0</v>
      </c>
      <c r="AD22" s="2006">
        <v>0</v>
      </c>
      <c r="AE22" s="2006">
        <v>0</v>
      </c>
      <c r="AF22" s="2006">
        <v>0</v>
      </c>
      <c r="AG22" s="2006">
        <v>0</v>
      </c>
      <c r="AH22" s="2006">
        <v>0</v>
      </c>
      <c r="AI22" s="2007">
        <v>0</v>
      </c>
    </row>
    <row r="23" spans="1:35" ht="15" customHeight="1">
      <c r="A23" s="487"/>
      <c r="B23" s="477"/>
      <c r="C23" s="464"/>
      <c r="D23" s="488" t="s">
        <v>1158</v>
      </c>
      <c r="E23" s="1944">
        <v>0</v>
      </c>
      <c r="F23" s="1944">
        <v>0</v>
      </c>
      <c r="G23" s="1944">
        <v>0</v>
      </c>
      <c r="H23" s="1944">
        <v>0</v>
      </c>
      <c r="I23" s="1944">
        <v>0</v>
      </c>
      <c r="J23" s="1944">
        <v>0</v>
      </c>
      <c r="K23" s="1944">
        <v>0</v>
      </c>
      <c r="L23" s="1944">
        <v>0</v>
      </c>
      <c r="M23" s="1944">
        <v>0</v>
      </c>
      <c r="N23" s="1944">
        <v>0</v>
      </c>
      <c r="O23" s="2306">
        <v>0</v>
      </c>
      <c r="P23" s="2005">
        <v>0</v>
      </c>
      <c r="Q23" s="2005">
        <v>0</v>
      </c>
      <c r="R23" s="2005">
        <v>0</v>
      </c>
      <c r="S23" s="2005">
        <v>0</v>
      </c>
      <c r="T23" s="2005">
        <v>0</v>
      </c>
      <c r="U23" s="2005">
        <v>0</v>
      </c>
      <c r="V23" s="2005">
        <v>0</v>
      </c>
      <c r="W23" s="2005">
        <v>0</v>
      </c>
      <c r="X23" s="2005">
        <v>0</v>
      </c>
      <c r="Y23" s="2015">
        <v>0</v>
      </c>
      <c r="Z23" s="2421">
        <v>0</v>
      </c>
      <c r="AA23" s="2306">
        <v>0</v>
      </c>
      <c r="AB23" s="2006">
        <v>0</v>
      </c>
      <c r="AC23" s="2006">
        <v>0</v>
      </c>
      <c r="AD23" s="2006">
        <v>0</v>
      </c>
      <c r="AE23" s="2006">
        <v>0</v>
      </c>
      <c r="AF23" s="2006">
        <v>0</v>
      </c>
      <c r="AG23" s="2006">
        <v>0</v>
      </c>
      <c r="AH23" s="2006">
        <v>0</v>
      </c>
      <c r="AI23" s="2007">
        <v>0</v>
      </c>
    </row>
    <row r="24" spans="1:35" ht="15" customHeight="1">
      <c r="A24" s="487"/>
      <c r="B24" s="477"/>
      <c r="C24" s="464"/>
      <c r="D24" s="488" t="s">
        <v>112</v>
      </c>
      <c r="E24" s="1944">
        <v>0</v>
      </c>
      <c r="F24" s="1944">
        <v>0</v>
      </c>
      <c r="G24" s="1944">
        <v>0</v>
      </c>
      <c r="H24" s="1944">
        <v>0</v>
      </c>
      <c r="I24" s="1944">
        <v>0</v>
      </c>
      <c r="J24" s="1944">
        <v>0</v>
      </c>
      <c r="K24" s="1944">
        <v>0</v>
      </c>
      <c r="L24" s="1944">
        <v>0</v>
      </c>
      <c r="M24" s="1944">
        <v>0</v>
      </c>
      <c r="N24" s="1944">
        <v>0</v>
      </c>
      <c r="O24" s="2306">
        <v>0</v>
      </c>
      <c r="P24" s="2005">
        <v>0</v>
      </c>
      <c r="Q24" s="2005">
        <v>0</v>
      </c>
      <c r="R24" s="2005">
        <v>0</v>
      </c>
      <c r="S24" s="2005">
        <v>0</v>
      </c>
      <c r="T24" s="2005">
        <v>0</v>
      </c>
      <c r="U24" s="2005">
        <v>0</v>
      </c>
      <c r="V24" s="2005">
        <v>0</v>
      </c>
      <c r="W24" s="2005">
        <v>0</v>
      </c>
      <c r="X24" s="2005">
        <v>0</v>
      </c>
      <c r="Y24" s="2015">
        <v>0</v>
      </c>
      <c r="Z24" s="2421">
        <v>0</v>
      </c>
      <c r="AA24" s="2306">
        <v>0</v>
      </c>
      <c r="AB24" s="2006">
        <v>0</v>
      </c>
      <c r="AC24" s="2006">
        <v>0</v>
      </c>
      <c r="AD24" s="2006">
        <v>0</v>
      </c>
      <c r="AE24" s="2006">
        <v>0</v>
      </c>
      <c r="AF24" s="2006">
        <v>0</v>
      </c>
      <c r="AG24" s="2006">
        <v>0</v>
      </c>
      <c r="AH24" s="2006">
        <v>0</v>
      </c>
      <c r="AI24" s="2007">
        <v>0</v>
      </c>
    </row>
    <row r="25" spans="1:35" ht="15" customHeight="1">
      <c r="A25" s="487"/>
      <c r="B25" s="477"/>
      <c r="C25" s="464"/>
      <c r="D25" s="488" t="s">
        <v>113</v>
      </c>
      <c r="E25" s="2304">
        <f>(E24/0.7)*0.3</f>
        <v>0</v>
      </c>
      <c r="F25" s="2304">
        <f t="shared" ref="F25:AF25" si="1">(F24/0.7)*0.3</f>
        <v>0</v>
      </c>
      <c r="G25" s="2304">
        <f t="shared" si="1"/>
        <v>0</v>
      </c>
      <c r="H25" s="2304">
        <f t="shared" si="1"/>
        <v>0</v>
      </c>
      <c r="I25" s="2304">
        <f t="shared" si="1"/>
        <v>0</v>
      </c>
      <c r="J25" s="2304">
        <f t="shared" si="1"/>
        <v>0</v>
      </c>
      <c r="K25" s="2304">
        <f t="shared" si="1"/>
        <v>0</v>
      </c>
      <c r="L25" s="2304">
        <f t="shared" si="1"/>
        <v>0</v>
      </c>
      <c r="M25" s="2304">
        <f t="shared" si="1"/>
        <v>0</v>
      </c>
      <c r="N25" s="2304">
        <f t="shared" si="1"/>
        <v>0</v>
      </c>
      <c r="O25" s="2304">
        <f t="shared" si="1"/>
        <v>0</v>
      </c>
      <c r="P25" s="2304">
        <f t="shared" si="1"/>
        <v>0</v>
      </c>
      <c r="Q25" s="2304">
        <f t="shared" si="1"/>
        <v>0</v>
      </c>
      <c r="R25" s="2304">
        <f t="shared" si="1"/>
        <v>0</v>
      </c>
      <c r="S25" s="2304">
        <f>(S24/0.7)*0.3</f>
        <v>0</v>
      </c>
      <c r="T25" s="2304">
        <f t="shared" si="1"/>
        <v>0</v>
      </c>
      <c r="U25" s="2304">
        <f t="shared" si="1"/>
        <v>0</v>
      </c>
      <c r="V25" s="2304">
        <f t="shared" si="1"/>
        <v>0</v>
      </c>
      <c r="W25" s="2304">
        <f t="shared" si="1"/>
        <v>0</v>
      </c>
      <c r="X25" s="2304">
        <f t="shared" si="1"/>
        <v>0</v>
      </c>
      <c r="Y25" s="2315">
        <f t="shared" si="1"/>
        <v>0</v>
      </c>
      <c r="Z25" s="2422">
        <f>(Z24/0.7)*0.3</f>
        <v>0</v>
      </c>
      <c r="AA25" s="2423">
        <f t="shared" si="1"/>
        <v>0</v>
      </c>
      <c r="AB25" s="2304">
        <f t="shared" si="1"/>
        <v>0</v>
      </c>
      <c r="AC25" s="2304">
        <f t="shared" si="1"/>
        <v>0</v>
      </c>
      <c r="AD25" s="2304">
        <f t="shared" si="1"/>
        <v>0</v>
      </c>
      <c r="AE25" s="2304">
        <f t="shared" si="1"/>
        <v>0</v>
      </c>
      <c r="AF25" s="2304">
        <f t="shared" si="1"/>
        <v>0</v>
      </c>
      <c r="AG25" s="2304">
        <f>(AG24/0.7)*0.3</f>
        <v>0</v>
      </c>
      <c r="AH25" s="2304">
        <f>(AH24/0.7)*0.3</f>
        <v>0</v>
      </c>
      <c r="AI25" s="2422">
        <f>(AI24/0.7)*0.3</f>
        <v>0</v>
      </c>
    </row>
    <row r="26" spans="1:35" ht="15" customHeight="1">
      <c r="A26" s="487"/>
      <c r="B26" s="477"/>
      <c r="C26" s="464"/>
      <c r="D26" s="488" t="s">
        <v>1274</v>
      </c>
      <c r="E26" s="1944">
        <v>0</v>
      </c>
      <c r="F26" s="1944">
        <v>0</v>
      </c>
      <c r="G26" s="1944">
        <v>0</v>
      </c>
      <c r="H26" s="1944">
        <v>0</v>
      </c>
      <c r="I26" s="1944">
        <v>0</v>
      </c>
      <c r="J26" s="1944">
        <v>0</v>
      </c>
      <c r="K26" s="1944">
        <v>0</v>
      </c>
      <c r="L26" s="1944">
        <v>0</v>
      </c>
      <c r="M26" s="1944">
        <v>0</v>
      </c>
      <c r="N26" s="1944">
        <v>0</v>
      </c>
      <c r="O26" s="1944"/>
      <c r="P26" s="1944"/>
      <c r="Q26" s="1944"/>
      <c r="R26" s="1944"/>
      <c r="S26" s="1944"/>
      <c r="T26" s="1944"/>
      <c r="U26" s="1944"/>
      <c r="V26" s="1944"/>
      <c r="W26" s="1944"/>
      <c r="X26" s="1944"/>
      <c r="Y26" s="1956"/>
      <c r="Z26" s="1947"/>
      <c r="AA26" s="1969"/>
      <c r="AB26" s="1944"/>
      <c r="AC26" s="1944"/>
      <c r="AD26" s="1944"/>
      <c r="AE26" s="1944"/>
      <c r="AF26" s="1944"/>
      <c r="AG26" s="1944"/>
      <c r="AH26" s="1944"/>
      <c r="AI26" s="1947"/>
    </row>
    <row r="27" spans="1:35" ht="15" hidden="1" customHeight="1">
      <c r="A27" s="487"/>
      <c r="B27" s="477"/>
      <c r="C27" s="464"/>
      <c r="D27" s="488" t="s">
        <v>1274</v>
      </c>
      <c r="E27" s="1944">
        <v>0</v>
      </c>
      <c r="F27" s="1944">
        <v>0</v>
      </c>
      <c r="G27" s="1944">
        <v>0</v>
      </c>
      <c r="H27" s="1944">
        <v>0</v>
      </c>
      <c r="I27" s="1944">
        <v>0</v>
      </c>
      <c r="J27" s="1944">
        <v>0</v>
      </c>
      <c r="K27" s="1944">
        <v>0</v>
      </c>
      <c r="L27" s="1944">
        <v>0</v>
      </c>
      <c r="M27" s="1944">
        <v>0</v>
      </c>
      <c r="N27" s="1944">
        <v>0</v>
      </c>
      <c r="O27" s="1944"/>
      <c r="P27" s="1944"/>
      <c r="Q27" s="1944"/>
      <c r="R27" s="1944"/>
      <c r="S27" s="1944"/>
      <c r="T27" s="1944"/>
      <c r="U27" s="1944"/>
      <c r="V27" s="1944"/>
      <c r="W27" s="1944"/>
      <c r="X27" s="1944"/>
      <c r="Y27" s="1944"/>
      <c r="Z27" s="1947"/>
      <c r="AA27" s="1969"/>
      <c r="AB27" s="1944"/>
      <c r="AC27" s="1944"/>
      <c r="AD27" s="1944"/>
      <c r="AE27" s="1944"/>
      <c r="AF27" s="1944"/>
      <c r="AG27" s="1944"/>
      <c r="AH27" s="1944"/>
      <c r="AI27" s="1947"/>
    </row>
    <row r="28" spans="1:35" ht="15" hidden="1" customHeight="1">
      <c r="A28" s="487"/>
      <c r="B28" s="477"/>
      <c r="C28" s="464"/>
      <c r="D28" s="488" t="s">
        <v>1274</v>
      </c>
      <c r="E28" s="1944">
        <v>0</v>
      </c>
      <c r="F28" s="1944">
        <v>0</v>
      </c>
      <c r="G28" s="1944">
        <v>0</v>
      </c>
      <c r="H28" s="1944">
        <v>0</v>
      </c>
      <c r="I28" s="1944">
        <v>0</v>
      </c>
      <c r="J28" s="1944">
        <v>0</v>
      </c>
      <c r="K28" s="1944">
        <v>0</v>
      </c>
      <c r="L28" s="1944">
        <v>0</v>
      </c>
      <c r="M28" s="1944">
        <v>0</v>
      </c>
      <c r="N28" s="1944">
        <v>0</v>
      </c>
      <c r="O28" s="1944"/>
      <c r="P28" s="1944"/>
      <c r="Q28" s="1944"/>
      <c r="R28" s="1944"/>
      <c r="S28" s="1944"/>
      <c r="T28" s="1944"/>
      <c r="U28" s="1944"/>
      <c r="V28" s="1944"/>
      <c r="W28" s="1944"/>
      <c r="X28" s="1944"/>
      <c r="Y28" s="1944"/>
      <c r="Z28" s="1947"/>
      <c r="AA28" s="1969"/>
      <c r="AB28" s="1944"/>
      <c r="AC28" s="1944"/>
      <c r="AD28" s="1944"/>
      <c r="AE28" s="1944"/>
      <c r="AF28" s="1944"/>
      <c r="AG28" s="1944"/>
      <c r="AH28" s="1944"/>
      <c r="AI28" s="1947"/>
    </row>
    <row r="29" spans="1:35" ht="15" hidden="1" customHeight="1">
      <c r="A29" s="487"/>
      <c r="B29" s="477"/>
      <c r="C29" s="464"/>
      <c r="D29" s="488" t="s">
        <v>1274</v>
      </c>
      <c r="E29" s="1944">
        <v>0</v>
      </c>
      <c r="F29" s="1944">
        <v>0</v>
      </c>
      <c r="G29" s="1944">
        <v>0</v>
      </c>
      <c r="H29" s="1944">
        <v>0</v>
      </c>
      <c r="I29" s="1944">
        <v>0</v>
      </c>
      <c r="J29" s="1944">
        <v>0</v>
      </c>
      <c r="K29" s="1944">
        <v>0</v>
      </c>
      <c r="L29" s="1944">
        <v>0</v>
      </c>
      <c r="M29" s="1944">
        <v>0</v>
      </c>
      <c r="N29" s="1944">
        <v>0</v>
      </c>
      <c r="O29" s="2005">
        <v>0</v>
      </c>
      <c r="P29" s="2005">
        <v>0</v>
      </c>
      <c r="Q29" s="2005">
        <v>0</v>
      </c>
      <c r="R29" s="2005">
        <v>0</v>
      </c>
      <c r="S29" s="2005">
        <v>0</v>
      </c>
      <c r="T29" s="2005">
        <v>0</v>
      </c>
      <c r="U29" s="2005">
        <v>0</v>
      </c>
      <c r="V29" s="2005">
        <v>0</v>
      </c>
      <c r="W29" s="2005">
        <v>0</v>
      </c>
      <c r="X29" s="2005">
        <v>0</v>
      </c>
      <c r="Y29" s="2005">
        <v>0</v>
      </c>
      <c r="Z29" s="1947">
        <v>0</v>
      </c>
      <c r="AA29" s="1969">
        <v>0</v>
      </c>
      <c r="AB29" s="1944">
        <v>0</v>
      </c>
      <c r="AC29" s="1944">
        <v>0</v>
      </c>
      <c r="AD29" s="1944">
        <v>0</v>
      </c>
      <c r="AE29" s="1944">
        <v>0</v>
      </c>
      <c r="AF29" s="1944">
        <v>0</v>
      </c>
      <c r="AG29" s="1944">
        <v>0</v>
      </c>
      <c r="AH29" s="1944">
        <v>0</v>
      </c>
      <c r="AI29" s="1947">
        <v>0</v>
      </c>
    </row>
    <row r="30" spans="1:35" ht="15" hidden="1" customHeight="1">
      <c r="A30" s="487"/>
      <c r="B30" s="477"/>
      <c r="C30" s="464"/>
      <c r="D30" s="488" t="s">
        <v>1274</v>
      </c>
      <c r="E30" s="1944">
        <v>0</v>
      </c>
      <c r="F30" s="1944">
        <v>0</v>
      </c>
      <c r="G30" s="1944">
        <v>0</v>
      </c>
      <c r="H30" s="1944">
        <v>0</v>
      </c>
      <c r="I30" s="1944">
        <v>0</v>
      </c>
      <c r="J30" s="1944">
        <v>0</v>
      </c>
      <c r="K30" s="1944">
        <v>0</v>
      </c>
      <c r="L30" s="1944">
        <v>0</v>
      </c>
      <c r="M30" s="1944">
        <v>0</v>
      </c>
      <c r="N30" s="1944">
        <v>0</v>
      </c>
      <c r="O30" s="2005">
        <v>0</v>
      </c>
      <c r="P30" s="2005">
        <v>0</v>
      </c>
      <c r="Q30" s="2005">
        <v>0</v>
      </c>
      <c r="R30" s="2005">
        <v>0</v>
      </c>
      <c r="S30" s="2005">
        <v>0</v>
      </c>
      <c r="T30" s="2005">
        <v>0</v>
      </c>
      <c r="U30" s="2005">
        <v>0</v>
      </c>
      <c r="V30" s="2005">
        <v>0</v>
      </c>
      <c r="W30" s="2005">
        <v>0</v>
      </c>
      <c r="X30" s="2005">
        <v>0</v>
      </c>
      <c r="Y30" s="2005">
        <v>0</v>
      </c>
      <c r="Z30" s="1947">
        <v>0</v>
      </c>
      <c r="AA30" s="1969">
        <v>0</v>
      </c>
      <c r="AB30" s="1944">
        <v>0</v>
      </c>
      <c r="AC30" s="1944">
        <v>0</v>
      </c>
      <c r="AD30" s="1944">
        <v>0</v>
      </c>
      <c r="AE30" s="1944">
        <v>0</v>
      </c>
      <c r="AF30" s="1944">
        <v>0</v>
      </c>
      <c r="AG30" s="1944">
        <v>0</v>
      </c>
      <c r="AH30" s="1944">
        <v>0</v>
      </c>
      <c r="AI30" s="1947">
        <v>0</v>
      </c>
    </row>
    <row r="31" spans="1:35" ht="15" hidden="1" customHeight="1">
      <c r="A31" s="487"/>
      <c r="B31" s="477"/>
      <c r="C31" s="464"/>
      <c r="D31" s="2317" t="s">
        <v>1557</v>
      </c>
      <c r="E31" s="1944">
        <f t="shared" ref="E31:Y31" si="2">SUBTOTAL(9,E20:E30)</f>
        <v>0</v>
      </c>
      <c r="F31" s="1944">
        <f t="shared" si="2"/>
        <v>0</v>
      </c>
      <c r="G31" s="1944">
        <f t="shared" si="2"/>
        <v>0</v>
      </c>
      <c r="H31" s="1944">
        <f t="shared" si="2"/>
        <v>0</v>
      </c>
      <c r="I31" s="1944">
        <f t="shared" si="2"/>
        <v>0</v>
      </c>
      <c r="J31" s="1944">
        <f t="shared" si="2"/>
        <v>0</v>
      </c>
      <c r="K31" s="1944">
        <f t="shared" si="2"/>
        <v>0</v>
      </c>
      <c r="L31" s="1944">
        <f t="shared" si="2"/>
        <v>0</v>
      </c>
      <c r="M31" s="1944">
        <f t="shared" si="2"/>
        <v>0</v>
      </c>
      <c r="N31" s="1944">
        <f t="shared" si="2"/>
        <v>0</v>
      </c>
      <c r="O31" s="906">
        <f t="shared" si="2"/>
        <v>0</v>
      </c>
      <c r="P31" s="906">
        <f t="shared" si="2"/>
        <v>0</v>
      </c>
      <c r="Q31" s="906">
        <f t="shared" si="2"/>
        <v>0</v>
      </c>
      <c r="R31" s="906">
        <f t="shared" si="2"/>
        <v>0</v>
      </c>
      <c r="S31" s="906">
        <f t="shared" si="2"/>
        <v>0</v>
      </c>
      <c r="T31" s="906">
        <f t="shared" si="2"/>
        <v>0</v>
      </c>
      <c r="U31" s="906">
        <f t="shared" si="2"/>
        <v>0</v>
      </c>
      <c r="V31" s="906">
        <f t="shared" si="2"/>
        <v>0</v>
      </c>
      <c r="W31" s="906">
        <f t="shared" si="2"/>
        <v>0</v>
      </c>
      <c r="X31" s="906">
        <f t="shared" si="2"/>
        <v>0</v>
      </c>
      <c r="Y31" s="906">
        <f t="shared" si="2"/>
        <v>0</v>
      </c>
      <c r="Z31" s="1560">
        <v>0</v>
      </c>
      <c r="AA31" s="2424">
        <f t="shared" ref="AA31:AI31" si="3">SUBTOTAL(9,AA20:AA30)</f>
        <v>0</v>
      </c>
      <c r="AB31" s="906">
        <f t="shared" si="3"/>
        <v>0</v>
      </c>
      <c r="AC31" s="906">
        <f t="shared" si="3"/>
        <v>0</v>
      </c>
      <c r="AD31" s="906">
        <f t="shared" si="3"/>
        <v>0</v>
      </c>
      <c r="AE31" s="906">
        <f t="shared" si="3"/>
        <v>0</v>
      </c>
      <c r="AF31" s="906">
        <f t="shared" si="3"/>
        <v>0</v>
      </c>
      <c r="AG31" s="906">
        <f t="shared" si="3"/>
        <v>0</v>
      </c>
      <c r="AH31" s="906">
        <f t="shared" si="3"/>
        <v>0</v>
      </c>
      <c r="AI31" s="1560">
        <f t="shared" si="3"/>
        <v>0</v>
      </c>
    </row>
    <row r="32" spans="1:35" ht="15" hidden="1" customHeight="1">
      <c r="A32" s="487"/>
      <c r="B32" s="477"/>
      <c r="C32" s="477"/>
      <c r="D32" s="2425"/>
      <c r="E32" s="1944">
        <f t="shared" ref="E32:AA32" si="4">SUBTOTAL(9,E19:E31)</f>
        <v>0</v>
      </c>
      <c r="F32" s="1944">
        <f t="shared" si="4"/>
        <v>0</v>
      </c>
      <c r="G32" s="1944">
        <f t="shared" si="4"/>
        <v>0</v>
      </c>
      <c r="H32" s="1944">
        <f t="shared" si="4"/>
        <v>0</v>
      </c>
      <c r="I32" s="1944">
        <f t="shared" si="4"/>
        <v>0</v>
      </c>
      <c r="J32" s="1944">
        <f t="shared" si="4"/>
        <v>0</v>
      </c>
      <c r="K32" s="1944">
        <f t="shared" si="4"/>
        <v>0</v>
      </c>
      <c r="L32" s="1944">
        <f t="shared" si="4"/>
        <v>0</v>
      </c>
      <c r="M32" s="1944">
        <f t="shared" si="4"/>
        <v>0</v>
      </c>
      <c r="N32" s="1944">
        <f t="shared" si="4"/>
        <v>0</v>
      </c>
      <c r="O32" s="534">
        <f t="shared" si="4"/>
        <v>0</v>
      </c>
      <c r="P32" s="534">
        <f t="shared" si="4"/>
        <v>0</v>
      </c>
      <c r="Q32" s="534">
        <f t="shared" si="4"/>
        <v>0</v>
      </c>
      <c r="R32" s="534">
        <f t="shared" si="4"/>
        <v>0</v>
      </c>
      <c r="S32" s="534">
        <f t="shared" si="4"/>
        <v>0</v>
      </c>
      <c r="T32" s="534">
        <f t="shared" si="4"/>
        <v>0</v>
      </c>
      <c r="U32" s="534">
        <f t="shared" si="4"/>
        <v>0</v>
      </c>
      <c r="V32" s="534">
        <f t="shared" si="4"/>
        <v>0</v>
      </c>
      <c r="W32" s="534">
        <f t="shared" si="4"/>
        <v>0</v>
      </c>
      <c r="X32" s="534">
        <f t="shared" si="4"/>
        <v>0</v>
      </c>
      <c r="Y32" s="534">
        <f t="shared" si="4"/>
        <v>0</v>
      </c>
      <c r="Z32" s="2426">
        <f t="shared" si="4"/>
        <v>0</v>
      </c>
      <c r="AA32" s="2427">
        <f t="shared" si="4"/>
        <v>0</v>
      </c>
      <c r="AB32" s="1178">
        <f t="shared" ref="AB32:AI32" si="5">SUM(AB19:AB31)</f>
        <v>0</v>
      </c>
      <c r="AC32" s="1178">
        <f t="shared" si="5"/>
        <v>0</v>
      </c>
      <c r="AD32" s="1178">
        <f t="shared" si="5"/>
        <v>0</v>
      </c>
      <c r="AE32" s="1178">
        <f t="shared" si="5"/>
        <v>0</v>
      </c>
      <c r="AF32" s="1178">
        <f t="shared" si="5"/>
        <v>0</v>
      </c>
      <c r="AG32" s="1178">
        <f t="shared" si="5"/>
        <v>0</v>
      </c>
      <c r="AH32" s="1178">
        <f t="shared" si="5"/>
        <v>0</v>
      </c>
      <c r="AI32" s="1182">
        <f t="shared" si="5"/>
        <v>0</v>
      </c>
    </row>
    <row r="33" spans="1:39" ht="15.75" hidden="1" customHeight="1">
      <c r="A33" s="487"/>
      <c r="B33" s="477"/>
      <c r="C33" s="464"/>
      <c r="D33" s="2317" t="s">
        <v>1558</v>
      </c>
      <c r="E33" s="1944" t="str">
        <f>IF(E$34&lt;0.001,"             0",E$34)</f>
        <v xml:space="preserve">             0</v>
      </c>
      <c r="F33" s="1944" t="str">
        <f t="shared" ref="F33:N33" si="6">IF(F$34&lt;0.001,"             0",F$34)</f>
        <v xml:space="preserve">             0</v>
      </c>
      <c r="G33" s="1944" t="str">
        <f t="shared" si="6"/>
        <v xml:space="preserve">             0</v>
      </c>
      <c r="H33" s="1944" t="str">
        <f t="shared" si="6"/>
        <v xml:space="preserve">             0</v>
      </c>
      <c r="I33" s="1944" t="str">
        <f t="shared" si="6"/>
        <v xml:space="preserve">             0</v>
      </c>
      <c r="J33" s="1944" t="str">
        <f t="shared" si="6"/>
        <v xml:space="preserve">             0</v>
      </c>
      <c r="K33" s="1944" t="str">
        <f t="shared" si="6"/>
        <v xml:space="preserve">             0</v>
      </c>
      <c r="L33" s="1944" t="str">
        <f t="shared" si="6"/>
        <v xml:space="preserve">             0</v>
      </c>
      <c r="M33" s="1944" t="str">
        <f t="shared" si="6"/>
        <v xml:space="preserve">             0</v>
      </c>
      <c r="N33" s="1944" t="str">
        <f t="shared" si="6"/>
        <v xml:space="preserve">             0</v>
      </c>
      <c r="O33" s="535"/>
      <c r="P33" s="535"/>
      <c r="Q33" s="535"/>
      <c r="R33" s="535"/>
      <c r="S33" s="535"/>
      <c r="T33" s="535"/>
      <c r="U33" s="535"/>
      <c r="V33" s="535"/>
      <c r="W33" s="535"/>
      <c r="X33" s="535"/>
      <c r="Y33" s="536"/>
      <c r="Z33" s="537">
        <f>IF(Z$34&lt;0,"             0",Z$34)</f>
        <v>0</v>
      </c>
      <c r="AA33" s="1191">
        <f t="shared" ref="AA33:AI33" si="7">IF(AA$34&lt;0,"             0",AA$34)</f>
        <v>0</v>
      </c>
      <c r="AB33" s="1191">
        <f t="shared" si="7"/>
        <v>0</v>
      </c>
      <c r="AC33" s="1191">
        <f t="shared" si="7"/>
        <v>0</v>
      </c>
      <c r="AD33" s="1191">
        <f t="shared" si="7"/>
        <v>0</v>
      </c>
      <c r="AE33" s="1191">
        <f t="shared" si="7"/>
        <v>0</v>
      </c>
      <c r="AF33" s="1191">
        <f t="shared" si="7"/>
        <v>0</v>
      </c>
      <c r="AG33" s="1191">
        <f t="shared" si="7"/>
        <v>0</v>
      </c>
      <c r="AH33" s="1191">
        <f t="shared" si="7"/>
        <v>0</v>
      </c>
      <c r="AI33" s="537">
        <f t="shared" si="7"/>
        <v>0</v>
      </c>
    </row>
    <row r="34" spans="1:39" ht="15.75" hidden="1" customHeight="1">
      <c r="A34" s="487"/>
      <c r="B34" s="477"/>
      <c r="C34" s="486"/>
      <c r="D34" s="2317"/>
      <c r="E34" s="1944">
        <f t="shared" ref="E34:AI34" si="8">IF(E$31&lt;5000,(E$31+E$19),IF(E$31&lt;10000,(10000-E$31+E$19),IF(E$31&gt;10000,(E$19),0)))</f>
        <v>0</v>
      </c>
      <c r="F34" s="1944">
        <f t="shared" si="8"/>
        <v>0</v>
      </c>
      <c r="G34" s="1944">
        <f t="shared" si="8"/>
        <v>0</v>
      </c>
      <c r="H34" s="1944">
        <f t="shared" si="8"/>
        <v>0</v>
      </c>
      <c r="I34" s="1944">
        <f t="shared" si="8"/>
        <v>0</v>
      </c>
      <c r="J34" s="1944">
        <f t="shared" si="8"/>
        <v>0</v>
      </c>
      <c r="K34" s="1944">
        <f t="shared" si="8"/>
        <v>0</v>
      </c>
      <c r="L34" s="1944">
        <f t="shared" si="8"/>
        <v>0</v>
      </c>
      <c r="M34" s="1944">
        <f t="shared" si="8"/>
        <v>0</v>
      </c>
      <c r="N34" s="1944">
        <f t="shared" si="8"/>
        <v>0</v>
      </c>
      <c r="O34" s="538">
        <f t="shared" si="8"/>
        <v>0</v>
      </c>
      <c r="P34" s="538">
        <f t="shared" si="8"/>
        <v>0</v>
      </c>
      <c r="Q34" s="538">
        <f t="shared" si="8"/>
        <v>0</v>
      </c>
      <c r="R34" s="538">
        <f t="shared" si="8"/>
        <v>0</v>
      </c>
      <c r="S34" s="538">
        <f t="shared" si="8"/>
        <v>0</v>
      </c>
      <c r="T34" s="538">
        <f t="shared" si="8"/>
        <v>0</v>
      </c>
      <c r="U34" s="538">
        <f t="shared" si="8"/>
        <v>0</v>
      </c>
      <c r="V34" s="538">
        <f t="shared" si="8"/>
        <v>0</v>
      </c>
      <c r="W34" s="538">
        <f t="shared" si="8"/>
        <v>0</v>
      </c>
      <c r="X34" s="538">
        <f t="shared" si="8"/>
        <v>0</v>
      </c>
      <c r="Y34" s="538">
        <f t="shared" si="8"/>
        <v>0</v>
      </c>
      <c r="Z34" s="539">
        <f t="shared" si="8"/>
        <v>0</v>
      </c>
      <c r="AA34" s="1179">
        <f t="shared" si="8"/>
        <v>0</v>
      </c>
      <c r="AB34" s="1179">
        <f t="shared" si="8"/>
        <v>0</v>
      </c>
      <c r="AC34" s="1179">
        <f t="shared" si="8"/>
        <v>0</v>
      </c>
      <c r="AD34" s="1179">
        <f t="shared" si="8"/>
        <v>0</v>
      </c>
      <c r="AE34" s="1179">
        <f t="shared" si="8"/>
        <v>0</v>
      </c>
      <c r="AF34" s="1179">
        <f t="shared" si="8"/>
        <v>0</v>
      </c>
      <c r="AG34" s="1179">
        <f t="shared" si="8"/>
        <v>0</v>
      </c>
      <c r="AH34" s="1179">
        <f t="shared" si="8"/>
        <v>0</v>
      </c>
      <c r="AI34" s="539">
        <f t="shared" si="8"/>
        <v>0</v>
      </c>
    </row>
    <row r="35" spans="1:39" ht="15.75" customHeight="1">
      <c r="A35" s="487"/>
      <c r="B35" s="477"/>
      <c r="C35" s="486"/>
      <c r="D35" s="488" t="s">
        <v>1559</v>
      </c>
      <c r="E35" s="1944">
        <v>0</v>
      </c>
      <c r="F35" s="1944">
        <v>0</v>
      </c>
      <c r="G35" s="1944">
        <v>0</v>
      </c>
      <c r="H35" s="1944">
        <v>0</v>
      </c>
      <c r="I35" s="1944">
        <v>0</v>
      </c>
      <c r="J35" s="1944">
        <v>0</v>
      </c>
      <c r="K35" s="1944">
        <v>0</v>
      </c>
      <c r="L35" s="1944">
        <v>0</v>
      </c>
      <c r="M35" s="1944">
        <v>0</v>
      </c>
      <c r="N35" s="1944">
        <v>0</v>
      </c>
      <c r="O35" s="540"/>
      <c r="P35" s="540"/>
      <c r="Q35" s="540"/>
      <c r="R35" s="540"/>
      <c r="S35" s="540"/>
      <c r="T35" s="540"/>
      <c r="U35" s="540"/>
      <c r="V35" s="540"/>
      <c r="W35" s="540"/>
      <c r="X35" s="540"/>
      <c r="Y35" s="540"/>
      <c r="Z35" s="541"/>
      <c r="AA35" s="540"/>
      <c r="AB35" s="540"/>
      <c r="AC35" s="540"/>
      <c r="AD35" s="540"/>
      <c r="AE35" s="540"/>
      <c r="AF35" s="540"/>
      <c r="AG35" s="540"/>
      <c r="AH35" s="540"/>
      <c r="AI35" s="541"/>
    </row>
    <row r="36" spans="1:39" ht="15.75" customHeight="1">
      <c r="A36" s="487"/>
      <c r="B36" s="477"/>
      <c r="C36" s="486"/>
      <c r="D36" s="488" t="s">
        <v>1560</v>
      </c>
      <c r="E36" s="1944">
        <v>0</v>
      </c>
      <c r="F36" s="1944">
        <v>0</v>
      </c>
      <c r="G36" s="1944">
        <v>0</v>
      </c>
      <c r="H36" s="1944">
        <v>0</v>
      </c>
      <c r="I36" s="1944">
        <v>0</v>
      </c>
      <c r="J36" s="1944">
        <v>0</v>
      </c>
      <c r="K36" s="1944">
        <v>0</v>
      </c>
      <c r="L36" s="1944">
        <v>0</v>
      </c>
      <c r="M36" s="1944">
        <v>0</v>
      </c>
      <c r="N36" s="1944">
        <v>0</v>
      </c>
      <c r="O36" s="540"/>
      <c r="P36" s="540"/>
      <c r="Q36" s="540"/>
      <c r="R36" s="540"/>
      <c r="S36" s="540"/>
      <c r="T36" s="540"/>
      <c r="U36" s="540"/>
      <c r="V36" s="540"/>
      <c r="W36" s="540"/>
      <c r="X36" s="540"/>
      <c r="Y36" s="540"/>
      <c r="Z36" s="2421">
        <v>0</v>
      </c>
      <c r="AA36" s="2306">
        <v>0</v>
      </c>
      <c r="AB36" s="2006">
        <v>0</v>
      </c>
      <c r="AC36" s="2006">
        <v>0</v>
      </c>
      <c r="AD36" s="2006">
        <v>0</v>
      </c>
      <c r="AE36" s="2006">
        <v>0</v>
      </c>
      <c r="AF36" s="2006">
        <v>0</v>
      </c>
      <c r="AG36" s="2006">
        <v>0</v>
      </c>
      <c r="AH36" s="2006">
        <v>0</v>
      </c>
      <c r="AI36" s="2007">
        <v>0</v>
      </c>
    </row>
    <row r="37" spans="1:39" ht="15.75" customHeight="1">
      <c r="A37" s="487"/>
      <c r="B37" s="477"/>
      <c r="C37" s="486"/>
      <c r="D37" s="488" t="s">
        <v>1775</v>
      </c>
      <c r="E37" s="1944">
        <v>0</v>
      </c>
      <c r="F37" s="1944">
        <v>0</v>
      </c>
      <c r="G37" s="1944">
        <v>0</v>
      </c>
      <c r="H37" s="1944">
        <v>0</v>
      </c>
      <c r="I37" s="1944">
        <v>0</v>
      </c>
      <c r="J37" s="1944">
        <v>0</v>
      </c>
      <c r="K37" s="1944">
        <v>0</v>
      </c>
      <c r="L37" s="1944">
        <v>0</v>
      </c>
      <c r="M37" s="1944">
        <v>0</v>
      </c>
      <c r="N37" s="1944">
        <v>0</v>
      </c>
      <c r="O37" s="540"/>
      <c r="P37" s="540"/>
      <c r="Q37" s="540"/>
      <c r="R37" s="540"/>
      <c r="S37" s="540"/>
      <c r="T37" s="540"/>
      <c r="U37" s="540"/>
      <c r="V37" s="540"/>
      <c r="W37" s="540"/>
      <c r="X37" s="540"/>
      <c r="Y37" s="540"/>
      <c r="Z37" s="2421">
        <v>0</v>
      </c>
      <c r="AA37" s="2306">
        <v>0</v>
      </c>
      <c r="AB37" s="2006">
        <v>0</v>
      </c>
      <c r="AC37" s="2006">
        <v>0</v>
      </c>
      <c r="AD37" s="2006">
        <v>0</v>
      </c>
      <c r="AE37" s="2006">
        <v>0</v>
      </c>
      <c r="AF37" s="2006">
        <v>0</v>
      </c>
      <c r="AG37" s="2006">
        <v>0</v>
      </c>
      <c r="AH37" s="2006">
        <v>0</v>
      </c>
      <c r="AI37" s="2007">
        <v>0</v>
      </c>
    </row>
    <row r="38" spans="1:39" ht="15.75" customHeight="1">
      <c r="A38" s="487"/>
      <c r="B38" s="477"/>
      <c r="C38" s="486"/>
      <c r="D38" s="488" t="s">
        <v>202</v>
      </c>
      <c r="E38" s="1944">
        <v>0</v>
      </c>
      <c r="F38" s="1944">
        <v>0</v>
      </c>
      <c r="G38" s="1944">
        <v>0</v>
      </c>
      <c r="H38" s="1944">
        <v>0</v>
      </c>
      <c r="I38" s="1944">
        <v>0</v>
      </c>
      <c r="J38" s="1944">
        <v>0</v>
      </c>
      <c r="K38" s="1944">
        <v>0</v>
      </c>
      <c r="L38" s="1944">
        <v>0</v>
      </c>
      <c r="M38" s="1944">
        <v>0</v>
      </c>
      <c r="N38" s="1944">
        <v>0</v>
      </c>
      <c r="O38" s="540"/>
      <c r="P38" s="540"/>
      <c r="Q38" s="540"/>
      <c r="R38" s="540"/>
      <c r="S38" s="540"/>
      <c r="T38" s="540"/>
      <c r="U38" s="540"/>
      <c r="V38" s="540"/>
      <c r="W38" s="540"/>
      <c r="X38" s="540"/>
      <c r="Y38" s="540"/>
      <c r="Z38" s="542"/>
      <c r="AA38" s="1192"/>
      <c r="AB38" s="1192"/>
      <c r="AC38" s="1192"/>
      <c r="AD38" s="1192"/>
      <c r="AE38" s="1192"/>
      <c r="AF38" s="1192"/>
      <c r="AG38" s="1192"/>
      <c r="AH38" s="1192"/>
      <c r="AI38" s="542"/>
    </row>
    <row r="39" spans="1:39" s="45" customFormat="1" ht="15" customHeight="1">
      <c r="A39" s="467" t="s">
        <v>1481</v>
      </c>
      <c r="B39" s="2329"/>
      <c r="C39" s="452"/>
      <c r="D39" s="430"/>
      <c r="E39" s="513">
        <f t="shared" ref="E39:AA39" si="9">SUM(E19:E30)+E35</f>
        <v>0</v>
      </c>
      <c r="F39" s="513">
        <f t="shared" si="9"/>
        <v>0</v>
      </c>
      <c r="G39" s="513">
        <f t="shared" si="9"/>
        <v>0</v>
      </c>
      <c r="H39" s="513">
        <f t="shared" si="9"/>
        <v>0</v>
      </c>
      <c r="I39" s="513">
        <f t="shared" si="9"/>
        <v>0</v>
      </c>
      <c r="J39" s="513">
        <f t="shared" si="9"/>
        <v>0</v>
      </c>
      <c r="K39" s="513">
        <f t="shared" si="9"/>
        <v>0</v>
      </c>
      <c r="L39" s="513">
        <f t="shared" si="9"/>
        <v>0</v>
      </c>
      <c r="M39" s="513">
        <f t="shared" si="9"/>
        <v>0</v>
      </c>
      <c r="N39" s="513">
        <f t="shared" si="9"/>
        <v>0</v>
      </c>
      <c r="O39" s="513">
        <f t="shared" si="9"/>
        <v>0</v>
      </c>
      <c r="P39" s="513">
        <f t="shared" si="9"/>
        <v>0</v>
      </c>
      <c r="Q39" s="513">
        <f t="shared" si="9"/>
        <v>0</v>
      </c>
      <c r="R39" s="513">
        <f t="shared" si="9"/>
        <v>0</v>
      </c>
      <c r="S39" s="513">
        <f t="shared" si="9"/>
        <v>0</v>
      </c>
      <c r="T39" s="513">
        <f t="shared" si="9"/>
        <v>0</v>
      </c>
      <c r="U39" s="513">
        <f t="shared" si="9"/>
        <v>0</v>
      </c>
      <c r="V39" s="513">
        <f t="shared" si="9"/>
        <v>0</v>
      </c>
      <c r="W39" s="513">
        <f t="shared" si="9"/>
        <v>0</v>
      </c>
      <c r="X39" s="513">
        <f t="shared" si="9"/>
        <v>0</v>
      </c>
      <c r="Y39" s="513">
        <f t="shared" si="9"/>
        <v>0</v>
      </c>
      <c r="Z39" s="1542">
        <f t="shared" si="9"/>
        <v>0</v>
      </c>
      <c r="AA39" s="516">
        <f t="shared" si="9"/>
        <v>0</v>
      </c>
      <c r="AB39" s="513">
        <f t="shared" ref="AB39:AI39" si="10">SUM(AB34:AB37)+AB30</f>
        <v>0</v>
      </c>
      <c r="AC39" s="513">
        <f t="shared" si="10"/>
        <v>0</v>
      </c>
      <c r="AD39" s="513">
        <f t="shared" si="10"/>
        <v>0</v>
      </c>
      <c r="AE39" s="513">
        <f t="shared" si="10"/>
        <v>0</v>
      </c>
      <c r="AF39" s="513">
        <f t="shared" si="10"/>
        <v>0</v>
      </c>
      <c r="AG39" s="513">
        <f t="shared" si="10"/>
        <v>0</v>
      </c>
      <c r="AH39" s="513">
        <f t="shared" si="10"/>
        <v>0</v>
      </c>
      <c r="AI39" s="1542">
        <f t="shared" si="10"/>
        <v>0</v>
      </c>
      <c r="AJ39" s="441"/>
      <c r="AK39" s="441"/>
      <c r="AL39" s="441"/>
      <c r="AM39" s="1"/>
    </row>
    <row r="40" spans="1:39" ht="15.75" customHeight="1">
      <c r="A40" s="487"/>
      <c r="B40" s="477" t="s">
        <v>1468</v>
      </c>
      <c r="C40" s="477"/>
      <c r="D40" s="489" t="s">
        <v>1561</v>
      </c>
      <c r="E40" s="543"/>
      <c r="F40" s="543"/>
      <c r="G40" s="543"/>
      <c r="H40" s="543"/>
      <c r="I40" s="543"/>
      <c r="J40" s="543"/>
      <c r="K40" s="543"/>
      <c r="L40" s="543"/>
      <c r="M40" s="543"/>
      <c r="N40" s="543"/>
      <c r="O40" s="540"/>
      <c r="P40" s="540"/>
      <c r="Q40" s="540"/>
      <c r="R40" s="540"/>
      <c r="S40" s="540"/>
      <c r="T40" s="540"/>
      <c r="U40" s="540"/>
      <c r="V40" s="540"/>
      <c r="W40" s="540"/>
      <c r="X40" s="540"/>
      <c r="Y40" s="540"/>
      <c r="Z40" s="541"/>
      <c r="AA40" s="540"/>
      <c r="AB40" s="540"/>
      <c r="AC40" s="540"/>
      <c r="AD40" s="540"/>
      <c r="AE40" s="540"/>
      <c r="AF40" s="540"/>
      <c r="AG40" s="540"/>
      <c r="AH40" s="540"/>
      <c r="AI40" s="541"/>
    </row>
    <row r="41" spans="1:39" ht="15" customHeight="1">
      <c r="A41" s="487"/>
      <c r="B41" s="477"/>
      <c r="C41" s="477"/>
      <c r="D41" s="490" t="str">
        <f>YEAR(Period_End)-5 &amp; "/"&amp;RIGHT(YEAR(Period_End)-4,2)</f>
        <v>2019/20</v>
      </c>
      <c r="E41" s="2008" t="s">
        <v>114</v>
      </c>
      <c r="F41" s="2008" t="s">
        <v>114</v>
      </c>
      <c r="G41" s="2008" t="s">
        <v>114</v>
      </c>
      <c r="H41" s="2008" t="s">
        <v>114</v>
      </c>
      <c r="I41" s="2008" t="s">
        <v>114</v>
      </c>
      <c r="J41" s="2008" t="s">
        <v>114</v>
      </c>
      <c r="K41" s="2008" t="s">
        <v>114</v>
      </c>
      <c r="L41" s="2008" t="s">
        <v>114</v>
      </c>
      <c r="M41" s="2008" t="s">
        <v>114</v>
      </c>
      <c r="N41" s="2008" t="s">
        <v>114</v>
      </c>
      <c r="O41" s="540"/>
      <c r="P41" s="540"/>
      <c r="Q41" s="540"/>
      <c r="R41" s="540"/>
      <c r="S41" s="540"/>
      <c r="T41" s="540"/>
      <c r="U41" s="540"/>
      <c r="V41" s="540"/>
      <c r="W41" s="540"/>
      <c r="X41" s="540"/>
      <c r="Y41" s="540"/>
      <c r="Z41" s="541"/>
      <c r="AA41" s="540"/>
      <c r="AB41" s="540"/>
      <c r="AC41" s="540"/>
      <c r="AD41" s="540"/>
      <c r="AE41" s="540"/>
      <c r="AF41" s="540"/>
      <c r="AG41" s="540"/>
      <c r="AH41" s="540"/>
      <c r="AI41" s="541"/>
    </row>
    <row r="42" spans="1:39" ht="15" customHeight="1">
      <c r="A42" s="487"/>
      <c r="B42" s="477"/>
      <c r="C42" s="477"/>
      <c r="D42" s="490" t="str">
        <f>YEAR(Period_End)-4 &amp; "/"&amp;RIGHT(YEAR(Period_End)-3,2)</f>
        <v>2020/21</v>
      </c>
      <c r="E42" s="2009" t="s">
        <v>114</v>
      </c>
      <c r="F42" s="2009" t="s">
        <v>114</v>
      </c>
      <c r="G42" s="2009" t="s">
        <v>114</v>
      </c>
      <c r="H42" s="2009" t="s">
        <v>114</v>
      </c>
      <c r="I42" s="2009" t="s">
        <v>114</v>
      </c>
      <c r="J42" s="2009" t="s">
        <v>114</v>
      </c>
      <c r="K42" s="2009" t="s">
        <v>114</v>
      </c>
      <c r="L42" s="2009" t="s">
        <v>114</v>
      </c>
      <c r="M42" s="2009" t="s">
        <v>114</v>
      </c>
      <c r="N42" s="2009" t="s">
        <v>114</v>
      </c>
      <c r="O42" s="540"/>
      <c r="P42" s="540"/>
      <c r="Q42" s="540"/>
      <c r="R42" s="540"/>
      <c r="S42" s="540"/>
      <c r="T42" s="540"/>
      <c r="U42" s="540"/>
      <c r="V42" s="540"/>
      <c r="W42" s="540"/>
      <c r="X42" s="540"/>
      <c r="Y42" s="540"/>
      <c r="Z42" s="541"/>
      <c r="AA42" s="540"/>
      <c r="AB42" s="540"/>
      <c r="AC42" s="540"/>
      <c r="AD42" s="540"/>
      <c r="AE42" s="540"/>
      <c r="AF42" s="540"/>
      <c r="AG42" s="540"/>
      <c r="AH42" s="540"/>
      <c r="AI42" s="541"/>
    </row>
    <row r="43" spans="1:39" ht="15" customHeight="1">
      <c r="A43" s="487"/>
      <c r="B43" s="477"/>
      <c r="C43" s="477"/>
      <c r="D43" s="490" t="str">
        <f>YEAR(Period_End)-3 &amp; "/"&amp;RIGHT(YEAR(Period_End)-2,2)</f>
        <v>2021/22</v>
      </c>
      <c r="E43" s="2009" t="s">
        <v>114</v>
      </c>
      <c r="F43" s="2009" t="s">
        <v>114</v>
      </c>
      <c r="G43" s="2009" t="s">
        <v>114</v>
      </c>
      <c r="H43" s="2009" t="s">
        <v>114</v>
      </c>
      <c r="I43" s="2009" t="s">
        <v>114</v>
      </c>
      <c r="J43" s="2009" t="s">
        <v>114</v>
      </c>
      <c r="K43" s="2009" t="s">
        <v>114</v>
      </c>
      <c r="L43" s="2009" t="s">
        <v>114</v>
      </c>
      <c r="M43" s="2009" t="s">
        <v>114</v>
      </c>
      <c r="N43" s="2009" t="s">
        <v>114</v>
      </c>
      <c r="O43" s="540"/>
      <c r="P43" s="540"/>
      <c r="Q43" s="540"/>
      <c r="R43" s="540"/>
      <c r="S43" s="540"/>
      <c r="T43" s="540"/>
      <c r="U43" s="540"/>
      <c r="V43" s="540"/>
      <c r="W43" s="540"/>
      <c r="X43" s="540"/>
      <c r="Y43" s="540"/>
      <c r="Z43" s="541"/>
      <c r="AA43" s="540"/>
      <c r="AB43" s="540"/>
      <c r="AC43" s="540"/>
      <c r="AD43" s="540"/>
      <c r="AE43" s="540"/>
      <c r="AF43" s="540"/>
      <c r="AG43" s="540"/>
      <c r="AH43" s="540"/>
      <c r="AI43" s="541"/>
    </row>
    <row r="44" spans="1:39" ht="15" customHeight="1">
      <c r="A44" s="487"/>
      <c r="B44" s="477"/>
      <c r="C44" s="477"/>
      <c r="D44" s="490" t="str">
        <f>YEAR(Period_End)-2 &amp; "/"&amp;RIGHT(YEAR(Period_End)-1,2)</f>
        <v>2022/23</v>
      </c>
      <c r="E44" s="2010" t="s">
        <v>114</v>
      </c>
      <c r="F44" s="2010" t="s">
        <v>114</v>
      </c>
      <c r="G44" s="2010" t="s">
        <v>114</v>
      </c>
      <c r="H44" s="2010" t="s">
        <v>114</v>
      </c>
      <c r="I44" s="2010" t="s">
        <v>114</v>
      </c>
      <c r="J44" s="2010" t="s">
        <v>114</v>
      </c>
      <c r="K44" s="2010" t="s">
        <v>114</v>
      </c>
      <c r="L44" s="2010" t="s">
        <v>114</v>
      </c>
      <c r="M44" s="2010" t="s">
        <v>114</v>
      </c>
      <c r="N44" s="2010" t="s">
        <v>114</v>
      </c>
      <c r="O44" s="540"/>
      <c r="P44" s="540"/>
      <c r="Q44" s="540"/>
      <c r="R44" s="540"/>
      <c r="S44" s="540"/>
      <c r="T44" s="540"/>
      <c r="U44" s="540"/>
      <c r="V44" s="540"/>
      <c r="W44" s="540"/>
      <c r="X44" s="540"/>
      <c r="Y44" s="540"/>
      <c r="Z44" s="541"/>
      <c r="AA44" s="540"/>
      <c r="AB44" s="540"/>
      <c r="AC44" s="540"/>
      <c r="AD44" s="540"/>
      <c r="AE44" s="540"/>
      <c r="AF44" s="540"/>
      <c r="AG44" s="540"/>
      <c r="AH44" s="540"/>
      <c r="AI44" s="541"/>
    </row>
    <row r="45" spans="1:39" ht="15.75" customHeight="1">
      <c r="A45" s="2044" t="s">
        <v>1562</v>
      </c>
      <c r="B45" s="2045"/>
      <c r="C45" s="2046"/>
      <c r="D45" s="2047"/>
      <c r="E45" s="659"/>
      <c r="F45" s="660"/>
      <c r="G45" s="660"/>
      <c r="H45" s="660"/>
      <c r="I45" s="660"/>
      <c r="J45" s="660"/>
      <c r="K45" s="660"/>
      <c r="L45" s="660"/>
      <c r="M45" s="660"/>
      <c r="N45" s="660"/>
      <c r="O45" s="544"/>
      <c r="P45" s="544"/>
      <c r="Q45" s="544"/>
      <c r="R45" s="544"/>
      <c r="S45" s="544"/>
      <c r="T45" s="544"/>
      <c r="U45" s="544"/>
      <c r="V45" s="544"/>
      <c r="W45" s="544"/>
      <c r="X45" s="544"/>
      <c r="Y45" s="544"/>
      <c r="Z45" s="545"/>
      <c r="AA45" s="544"/>
      <c r="AB45" s="544"/>
      <c r="AC45" s="544"/>
      <c r="AD45" s="544"/>
      <c r="AE45" s="544"/>
      <c r="AF45" s="544"/>
      <c r="AG45" s="544"/>
      <c r="AH45" s="544"/>
      <c r="AI45" s="545"/>
    </row>
    <row r="46" spans="1:39" ht="15" hidden="1" customHeight="1">
      <c r="A46" s="435"/>
      <c r="B46" s="433"/>
      <c r="C46" s="433"/>
      <c r="D46" s="2318"/>
      <c r="E46" s="546">
        <f>IF(E41="n",0,1)</f>
        <v>0</v>
      </c>
      <c r="F46" s="546">
        <f t="shared" ref="F46:N49" si="11">IF(F41="n",0,1)</f>
        <v>0</v>
      </c>
      <c r="G46" s="546">
        <f t="shared" si="11"/>
        <v>0</v>
      </c>
      <c r="H46" s="546">
        <f t="shared" si="11"/>
        <v>0</v>
      </c>
      <c r="I46" s="546">
        <f t="shared" si="11"/>
        <v>0</v>
      </c>
      <c r="J46" s="546">
        <f t="shared" si="11"/>
        <v>0</v>
      </c>
      <c r="K46" s="546">
        <f t="shared" ref="K46:L49" si="12">IF(K41="n",0,1)</f>
        <v>0</v>
      </c>
      <c r="L46" s="546">
        <f t="shared" si="12"/>
        <v>0</v>
      </c>
      <c r="M46" s="546">
        <f t="shared" si="11"/>
        <v>0</v>
      </c>
      <c r="N46" s="546">
        <f t="shared" si="11"/>
        <v>0</v>
      </c>
      <c r="O46" s="544"/>
      <c r="P46" s="544"/>
      <c r="Q46" s="544"/>
      <c r="R46" s="544"/>
      <c r="S46" s="544"/>
      <c r="T46" s="544"/>
      <c r="U46" s="544"/>
      <c r="V46" s="544"/>
      <c r="W46" s="544"/>
      <c r="X46" s="544"/>
      <c r="Y46" s="544"/>
      <c r="Z46" s="545"/>
      <c r="AA46" s="544"/>
      <c r="AB46" s="544"/>
      <c r="AC46" s="544"/>
      <c r="AD46" s="544"/>
      <c r="AE46" s="544"/>
      <c r="AF46" s="544"/>
      <c r="AG46" s="544"/>
      <c r="AH46" s="544"/>
      <c r="AI46" s="545"/>
    </row>
    <row r="47" spans="1:39" ht="15" hidden="1" customHeight="1">
      <c r="A47" s="435"/>
      <c r="B47" s="433"/>
      <c r="C47" s="433"/>
      <c r="D47" s="2318"/>
      <c r="E47" s="546">
        <f>IF(E42="n",0,1)</f>
        <v>0</v>
      </c>
      <c r="F47" s="546">
        <f t="shared" si="11"/>
        <v>0</v>
      </c>
      <c r="G47" s="546">
        <f t="shared" si="11"/>
        <v>0</v>
      </c>
      <c r="H47" s="546">
        <f t="shared" si="11"/>
        <v>0</v>
      </c>
      <c r="I47" s="546">
        <f t="shared" si="11"/>
        <v>0</v>
      </c>
      <c r="J47" s="546">
        <f t="shared" si="11"/>
        <v>0</v>
      </c>
      <c r="K47" s="546">
        <f t="shared" si="12"/>
        <v>0</v>
      </c>
      <c r="L47" s="546">
        <f t="shared" si="12"/>
        <v>0</v>
      </c>
      <c r="M47" s="546">
        <f t="shared" si="11"/>
        <v>0</v>
      </c>
      <c r="N47" s="546">
        <f t="shared" si="11"/>
        <v>0</v>
      </c>
      <c r="O47" s="544"/>
      <c r="P47" s="544"/>
      <c r="Q47" s="544"/>
      <c r="R47" s="544"/>
      <c r="S47" s="544"/>
      <c r="T47" s="544"/>
      <c r="U47" s="544"/>
      <c r="V47" s="544"/>
      <c r="W47" s="544"/>
      <c r="X47" s="544"/>
      <c r="Y47" s="544"/>
      <c r="Z47" s="545"/>
      <c r="AA47" s="544"/>
      <c r="AB47" s="544"/>
      <c r="AC47" s="544"/>
      <c r="AD47" s="544"/>
      <c r="AE47" s="544"/>
      <c r="AF47" s="544"/>
      <c r="AG47" s="544"/>
      <c r="AH47" s="544"/>
      <c r="AI47" s="545"/>
    </row>
    <row r="48" spans="1:39" ht="15" hidden="1" customHeight="1">
      <c r="A48" s="435"/>
      <c r="B48" s="433"/>
      <c r="C48" s="433"/>
      <c r="D48" s="2318"/>
      <c r="E48" s="546">
        <f>IF(E43="n",0,1)</f>
        <v>0</v>
      </c>
      <c r="F48" s="546">
        <f t="shared" si="11"/>
        <v>0</v>
      </c>
      <c r="G48" s="546">
        <f t="shared" si="11"/>
        <v>0</v>
      </c>
      <c r="H48" s="546">
        <f t="shared" si="11"/>
        <v>0</v>
      </c>
      <c r="I48" s="546">
        <f t="shared" si="11"/>
        <v>0</v>
      </c>
      <c r="J48" s="546">
        <f t="shared" si="11"/>
        <v>0</v>
      </c>
      <c r="K48" s="546">
        <f t="shared" si="12"/>
        <v>0</v>
      </c>
      <c r="L48" s="546">
        <f t="shared" si="12"/>
        <v>0</v>
      </c>
      <c r="M48" s="546">
        <f t="shared" si="11"/>
        <v>0</v>
      </c>
      <c r="N48" s="546">
        <f t="shared" si="11"/>
        <v>0</v>
      </c>
      <c r="O48" s="544"/>
      <c r="P48" s="544"/>
      <c r="Q48" s="544"/>
      <c r="R48" s="544"/>
      <c r="S48" s="544"/>
      <c r="T48" s="544"/>
      <c r="U48" s="544"/>
      <c r="V48" s="544"/>
      <c r="W48" s="544"/>
      <c r="X48" s="544"/>
      <c r="Y48" s="544"/>
      <c r="Z48" s="545"/>
      <c r="AA48" s="544"/>
      <c r="AB48" s="544"/>
      <c r="AC48" s="544"/>
      <c r="AD48" s="544"/>
      <c r="AE48" s="544"/>
      <c r="AF48" s="544"/>
      <c r="AG48" s="544"/>
      <c r="AH48" s="544"/>
      <c r="AI48" s="545"/>
    </row>
    <row r="49" spans="1:38" ht="15" hidden="1" customHeight="1">
      <c r="A49" s="435"/>
      <c r="B49" s="433"/>
      <c r="C49" s="433"/>
      <c r="D49" s="2318"/>
      <c r="E49" s="546">
        <f>IF(E44="n",0,1)</f>
        <v>0</v>
      </c>
      <c r="F49" s="546">
        <f t="shared" si="11"/>
        <v>0</v>
      </c>
      <c r="G49" s="546">
        <f t="shared" si="11"/>
        <v>0</v>
      </c>
      <c r="H49" s="546">
        <f t="shared" si="11"/>
        <v>0</v>
      </c>
      <c r="I49" s="546">
        <f t="shared" si="11"/>
        <v>0</v>
      </c>
      <c r="J49" s="546">
        <f t="shared" si="11"/>
        <v>0</v>
      </c>
      <c r="K49" s="546">
        <f t="shared" si="12"/>
        <v>0</v>
      </c>
      <c r="L49" s="546">
        <f t="shared" si="12"/>
        <v>0</v>
      </c>
      <c r="M49" s="546">
        <f t="shared" si="11"/>
        <v>0</v>
      </c>
      <c r="N49" s="546">
        <f t="shared" si="11"/>
        <v>0</v>
      </c>
      <c r="O49" s="544"/>
      <c r="P49" s="544"/>
      <c r="Q49" s="544"/>
      <c r="R49" s="544"/>
      <c r="S49" s="544"/>
      <c r="T49" s="544"/>
      <c r="U49" s="544"/>
      <c r="V49" s="544"/>
      <c r="W49" s="544"/>
      <c r="X49" s="544"/>
      <c r="Y49" s="544"/>
      <c r="Z49" s="545"/>
      <c r="AA49" s="544"/>
      <c r="AB49" s="544"/>
      <c r="AC49" s="544"/>
      <c r="AD49" s="544"/>
      <c r="AE49" s="544"/>
      <c r="AF49" s="544"/>
      <c r="AG49" s="544"/>
      <c r="AH49" s="544"/>
      <c r="AI49" s="545"/>
    </row>
    <row r="50" spans="1:38" ht="15" hidden="1" customHeight="1">
      <c r="A50" s="435"/>
      <c r="B50" s="433"/>
      <c r="C50" s="433"/>
      <c r="D50" s="2318"/>
      <c r="E50" s="526">
        <f t="shared" ref="E50:N50" si="13">SUM(E46:E49)</f>
        <v>0</v>
      </c>
      <c r="F50" s="526">
        <f t="shared" si="13"/>
        <v>0</v>
      </c>
      <c r="G50" s="526">
        <f t="shared" si="13"/>
        <v>0</v>
      </c>
      <c r="H50" s="526">
        <f t="shared" si="13"/>
        <v>0</v>
      </c>
      <c r="I50" s="526">
        <f t="shared" si="13"/>
        <v>0</v>
      </c>
      <c r="J50" s="526">
        <f t="shared" si="13"/>
        <v>0</v>
      </c>
      <c r="K50" s="526">
        <f>SUM(K46:K49)</f>
        <v>0</v>
      </c>
      <c r="L50" s="526">
        <f>SUM(L46:L49)</f>
        <v>0</v>
      </c>
      <c r="M50" s="526">
        <f t="shared" si="13"/>
        <v>0</v>
      </c>
      <c r="N50" s="526">
        <f t="shared" si="13"/>
        <v>0</v>
      </c>
      <c r="O50" s="544"/>
      <c r="P50" s="544"/>
      <c r="Q50" s="544"/>
      <c r="R50" s="544"/>
      <c r="S50" s="544"/>
      <c r="T50" s="544"/>
      <c r="U50" s="544"/>
      <c r="V50" s="544"/>
      <c r="W50" s="544"/>
      <c r="X50" s="544"/>
      <c r="Y50" s="544"/>
      <c r="Z50" s="545"/>
      <c r="AA50" s="544"/>
      <c r="AB50" s="544"/>
      <c r="AC50" s="544"/>
      <c r="AD50" s="544"/>
      <c r="AE50" s="544"/>
      <c r="AF50" s="544"/>
      <c r="AG50" s="544"/>
      <c r="AH50" s="544"/>
      <c r="AI50" s="545"/>
    </row>
    <row r="51" spans="1:38" ht="15" hidden="1" customHeight="1">
      <c r="A51" s="435"/>
      <c r="B51" s="433"/>
      <c r="C51" s="433"/>
      <c r="D51" s="2318"/>
      <c r="E51" s="546"/>
      <c r="F51" s="546"/>
      <c r="G51" s="546"/>
      <c r="H51" s="546"/>
      <c r="I51" s="546"/>
      <c r="J51" s="546"/>
      <c r="K51" s="546"/>
      <c r="L51" s="546"/>
      <c r="M51" s="546"/>
      <c r="N51" s="546"/>
      <c r="O51" s="544"/>
      <c r="P51" s="544"/>
      <c r="Q51" s="544"/>
      <c r="R51" s="544"/>
      <c r="S51" s="544"/>
      <c r="T51" s="544"/>
      <c r="U51" s="544"/>
      <c r="V51" s="544"/>
      <c r="W51" s="544"/>
      <c r="X51" s="544"/>
      <c r="Y51" s="544"/>
      <c r="Z51" s="545"/>
      <c r="AA51" s="544"/>
      <c r="AB51" s="544"/>
      <c r="AC51" s="544"/>
      <c r="AD51" s="544"/>
      <c r="AE51" s="544"/>
      <c r="AF51" s="544"/>
      <c r="AG51" s="544"/>
      <c r="AH51" s="544"/>
      <c r="AI51" s="545"/>
    </row>
    <row r="52" spans="1:38" ht="15.75" hidden="1" customHeight="1">
      <c r="A52" s="435"/>
      <c r="B52" s="433"/>
      <c r="C52" s="433"/>
      <c r="D52" s="2318"/>
      <c r="E52" s="546"/>
      <c r="F52" s="546"/>
      <c r="G52" s="546"/>
      <c r="H52" s="546"/>
      <c r="I52" s="546"/>
      <c r="J52" s="546"/>
      <c r="K52" s="546"/>
      <c r="L52" s="546"/>
      <c r="M52" s="546"/>
      <c r="N52" s="546"/>
      <c r="O52" s="544"/>
      <c r="P52" s="544"/>
      <c r="Q52" s="544"/>
      <c r="R52" s="544"/>
      <c r="S52" s="544"/>
      <c r="T52" s="544"/>
      <c r="U52" s="544"/>
      <c r="V52" s="544"/>
      <c r="W52" s="544"/>
      <c r="X52" s="544"/>
      <c r="Y52" s="544"/>
      <c r="Z52" s="545"/>
      <c r="AA52" s="544"/>
      <c r="AB52" s="544"/>
      <c r="AC52" s="544"/>
      <c r="AD52" s="544"/>
      <c r="AE52" s="544"/>
      <c r="AF52" s="544"/>
      <c r="AG52" s="544"/>
      <c r="AH52" s="544"/>
      <c r="AI52" s="545"/>
    </row>
    <row r="53" spans="1:38" ht="15" hidden="1" customHeight="1">
      <c r="A53" s="436"/>
      <c r="B53" s="434"/>
      <c r="C53" s="434"/>
      <c r="D53" s="2319" t="s">
        <v>1563</v>
      </c>
      <c r="E53" s="547">
        <f t="shared" ref="E53:N53" si="14">IF(E50=0,0,E54/E55)</f>
        <v>0</v>
      </c>
      <c r="F53" s="547">
        <f t="shared" si="14"/>
        <v>0</v>
      </c>
      <c r="G53" s="547">
        <f t="shared" si="14"/>
        <v>0</v>
      </c>
      <c r="H53" s="547">
        <f t="shared" si="14"/>
        <v>0</v>
      </c>
      <c r="I53" s="547">
        <f t="shared" si="14"/>
        <v>0</v>
      </c>
      <c r="J53" s="547">
        <f t="shared" si="14"/>
        <v>0</v>
      </c>
      <c r="K53" s="547">
        <f>IF(K50=0,0,K54/K55)</f>
        <v>0</v>
      </c>
      <c r="L53" s="547">
        <f>IF(L50=0,0,L54/L55)</f>
        <v>0</v>
      </c>
      <c r="M53" s="547">
        <f t="shared" si="14"/>
        <v>0</v>
      </c>
      <c r="N53" s="547">
        <f t="shared" si="14"/>
        <v>0</v>
      </c>
      <c r="O53" s="548">
        <v>0.3</v>
      </c>
      <c r="P53" s="548">
        <v>0.3</v>
      </c>
      <c r="Q53" s="548">
        <v>0.3</v>
      </c>
      <c r="R53" s="548">
        <v>0.3</v>
      </c>
      <c r="S53" s="548">
        <v>0.3</v>
      </c>
      <c r="T53" s="548">
        <v>0.3</v>
      </c>
      <c r="U53" s="548">
        <v>0.3</v>
      </c>
      <c r="V53" s="548">
        <v>0.3</v>
      </c>
      <c r="W53" s="548">
        <v>0.3</v>
      </c>
      <c r="X53" s="548">
        <v>0.3</v>
      </c>
      <c r="Y53" s="548">
        <v>0.15</v>
      </c>
      <c r="Z53" s="549">
        <v>0</v>
      </c>
      <c r="AA53" s="548">
        <v>0</v>
      </c>
      <c r="AB53" s="548">
        <v>0</v>
      </c>
      <c r="AC53" s="548">
        <v>0</v>
      </c>
      <c r="AD53" s="548">
        <v>0</v>
      </c>
      <c r="AE53" s="548">
        <v>0</v>
      </c>
      <c r="AF53" s="548">
        <v>0</v>
      </c>
      <c r="AG53" s="548">
        <v>0</v>
      </c>
      <c r="AH53" s="548">
        <v>0</v>
      </c>
      <c r="AI53" s="549">
        <v>0</v>
      </c>
    </row>
    <row r="54" spans="1:38" ht="15" hidden="1" customHeight="1">
      <c r="A54" s="435"/>
      <c r="B54" s="433"/>
      <c r="C54" s="433"/>
      <c r="D54" s="2320"/>
      <c r="E54" s="525">
        <f>IF(E52&lt;'Standard Thresholds'!$A$9,0,IF(E52&lt;('Standard Thresholds'!$A$10+1),((E52-'Standard Thresholds'!$A$9)*'Standard Thresholds'!$D$9),IF(E52&lt;('Standard Thresholds'!$A$11+1),((E52-'Standard Thresholds'!$A$10)*'Standard Thresholds'!$D$10+'Standard Thresholds'!$C$10),IF(E52&lt;('Standard Thresholds'!$A$12+1),((E52-'Standard Thresholds'!$A$11)*'Standard Thresholds'!$D$11+'Standard Thresholds'!$C$11),IF(E52&gt;'Standard Thresholds'!$A$12,((E52-'Standard Thresholds'!$A$12)*'Standard Thresholds'!$D$12+'Standard Thresholds'!$C$12))))))</f>
        <v>0</v>
      </c>
      <c r="F54" s="525">
        <f>IF(F52&lt;'Standard Thresholds'!$A$9,0,IF(F52&lt;('Standard Thresholds'!$A$10+1),((F52-'Standard Thresholds'!$A$9)*'Standard Thresholds'!$D$9),IF(F52&lt;('Standard Thresholds'!$A$11+1),((F52-'Standard Thresholds'!$A$10)*'Standard Thresholds'!$D$10+'Standard Thresholds'!$C$10),IF(F52&lt;('Standard Thresholds'!$A$12+1),((F52-'Standard Thresholds'!$A$11)*'Standard Thresholds'!$D$11+'Standard Thresholds'!$C$11),IF(F52&gt;'Standard Thresholds'!$A$12,((F52-'Standard Thresholds'!$A$12)*'Standard Thresholds'!$D$12+'Standard Thresholds'!$C$12))))))</f>
        <v>0</v>
      </c>
      <c r="G54" s="525">
        <f>IF(G52&lt;'Standard Thresholds'!$A$9,0,IF(G52&lt;('Standard Thresholds'!$A$10+1),((G52-'Standard Thresholds'!$A$9)*'Standard Thresholds'!$D$9),IF(G52&lt;('Standard Thresholds'!$A$11+1),((G52-'Standard Thresholds'!$A$10)*'Standard Thresholds'!$D$10+'Standard Thresholds'!$C$10),IF(G52&lt;('Standard Thresholds'!$A$12+1),((G52-'Standard Thresholds'!$A$11)*'Standard Thresholds'!$D$11+'Standard Thresholds'!$C$11),IF(G52&gt;'Standard Thresholds'!$A$12,((G52-'Standard Thresholds'!$A$12)*'Standard Thresholds'!$D$12+'Standard Thresholds'!$C$12))))))</f>
        <v>0</v>
      </c>
      <c r="H54" s="525">
        <f>IF(H52&lt;'Standard Thresholds'!$A$9,0,IF(H52&lt;('Standard Thresholds'!$A$10+1),((H52-'Standard Thresholds'!$A$9)*'Standard Thresholds'!$D$9),IF(H52&lt;('Standard Thresholds'!$A$11+1),((H52-'Standard Thresholds'!$A$10)*'Standard Thresholds'!$D$10+'Standard Thresholds'!$C$10),IF(H52&lt;('Standard Thresholds'!$A$12+1),((H52-'Standard Thresholds'!$A$11)*'Standard Thresholds'!$D$11+'Standard Thresholds'!$C$11),IF(H52&gt;'Standard Thresholds'!$A$12,((H52-'Standard Thresholds'!$A$12)*'Standard Thresholds'!$D$12+'Standard Thresholds'!$C$12))))))</f>
        <v>0</v>
      </c>
      <c r="I54" s="525">
        <f>IF(I52&lt;'Standard Thresholds'!$A$9,0,IF(I52&lt;('Standard Thresholds'!$A$10+1),((I52-'Standard Thresholds'!$A$9)*'Standard Thresholds'!$D$9),IF(I52&lt;('Standard Thresholds'!$A$11+1),((I52-'Standard Thresholds'!$A$10)*'Standard Thresholds'!$D$10+'Standard Thresholds'!$C$10),IF(I52&lt;('Standard Thresholds'!$A$12+1),((I52-'Standard Thresholds'!$A$11)*'Standard Thresholds'!$D$11+'Standard Thresholds'!$C$11),IF(I52&gt;'Standard Thresholds'!$A$12,((I52-'Standard Thresholds'!$A$12)*'Standard Thresholds'!$D$12+'Standard Thresholds'!$C$12))))))</f>
        <v>0</v>
      </c>
      <c r="J54" s="525">
        <f>IF(J52&lt;'Standard Thresholds'!$A$9,0,IF(J52&lt;('Standard Thresholds'!$A$10+1),((J52-'Standard Thresholds'!$A$9)*'Standard Thresholds'!$D$9),IF(J52&lt;('Standard Thresholds'!$A$11+1),((J52-'Standard Thresholds'!$A$10)*'Standard Thresholds'!$D$10+'Standard Thresholds'!$C$10),IF(J52&lt;('Standard Thresholds'!$A$12+1),((J52-'Standard Thresholds'!$A$11)*'Standard Thresholds'!$D$11+'Standard Thresholds'!$C$11),IF(J52&gt;'Standard Thresholds'!$A$12,((J52-'Standard Thresholds'!$A$12)*'Standard Thresholds'!$D$12+'Standard Thresholds'!$C$12))))))</f>
        <v>0</v>
      </c>
      <c r="K54" s="525">
        <f>IF(K52&lt;'Standard Thresholds'!$A$9,0,IF(K52&lt;('Standard Thresholds'!$A$10+1),((K52-'Standard Thresholds'!$A$9)*'Standard Thresholds'!$D$9),IF(K52&lt;('Standard Thresholds'!$A$11+1),((K52-'Standard Thresholds'!$A$10)*'Standard Thresholds'!$D$10+'Standard Thresholds'!$C$10),IF(K52&lt;('Standard Thresholds'!$A$12+1),((K52-'Standard Thresholds'!$A$11)*'Standard Thresholds'!$D$11+'Standard Thresholds'!$C$11),IF(K52&gt;'Standard Thresholds'!$A$12,((K52-'Standard Thresholds'!$A$12)*'Standard Thresholds'!$D$12+'Standard Thresholds'!$C$12))))))</f>
        <v>0</v>
      </c>
      <c r="L54" s="525">
        <f>IF(L52&lt;'Standard Thresholds'!$A$9,0,IF(L52&lt;('Standard Thresholds'!$A$10+1),((L52-'Standard Thresholds'!$A$9)*'Standard Thresholds'!$D$9),IF(L52&lt;('Standard Thresholds'!$A$11+1),((L52-'Standard Thresholds'!$A$10)*'Standard Thresholds'!$D$10+'Standard Thresholds'!$C$10),IF(L52&lt;('Standard Thresholds'!$A$12+1),((L52-'Standard Thresholds'!$A$11)*'Standard Thresholds'!$D$11+'Standard Thresholds'!$C$11),IF(L52&gt;'Standard Thresholds'!$A$12,((L52-'Standard Thresholds'!$A$12)*'Standard Thresholds'!$D$12+'Standard Thresholds'!$C$12))))))</f>
        <v>0</v>
      </c>
      <c r="M54" s="525">
        <f>IF(M52&lt;'Standard Thresholds'!$A$9,0,IF(M52&lt;('Standard Thresholds'!$A$10+1),((M52-'Standard Thresholds'!$A$9)*'Standard Thresholds'!$D$9),IF(M52&lt;('Standard Thresholds'!$A$11+1),((M52-'Standard Thresholds'!$A$10)*'Standard Thresholds'!$D$10+'Standard Thresholds'!$C$10),IF(M52&lt;('Standard Thresholds'!$A$12+1),((M52-'Standard Thresholds'!$A$11)*'Standard Thresholds'!$D$11+'Standard Thresholds'!$C$11),IF(M52&gt;'Standard Thresholds'!$A$12,((M52-'Standard Thresholds'!$A$12)*'Standard Thresholds'!$D$12+'Standard Thresholds'!$C$12))))))</f>
        <v>0</v>
      </c>
      <c r="N54" s="525">
        <f>IF(N52&lt;'Standard Thresholds'!$A$9,0,IF(N52&lt;('Standard Thresholds'!$A$10+1),((N52-'Standard Thresholds'!$A$9)*'Standard Thresholds'!$D$9),IF(N52&lt;('Standard Thresholds'!$A$11+1),((N52-'Standard Thresholds'!$A$10)*'Standard Thresholds'!$D$10+'Standard Thresholds'!$C$10),IF(N52&lt;('Standard Thresholds'!$A$12+1),((N52-'Standard Thresholds'!$A$11)*'Standard Thresholds'!$D$11+'Standard Thresholds'!$C$11),IF(N52&gt;'Standard Thresholds'!$A$12,((N52-'Standard Thresholds'!$A$12)*'Standard Thresholds'!$D$12+'Standard Thresholds'!$C$12))))))</f>
        <v>0</v>
      </c>
      <c r="O54" s="540"/>
      <c r="P54" s="540"/>
      <c r="Q54" s="540"/>
      <c r="R54" s="540"/>
      <c r="S54" s="540"/>
      <c r="T54" s="540"/>
      <c r="U54" s="540"/>
      <c r="V54" s="540"/>
      <c r="W54" s="540"/>
      <c r="X54" s="540"/>
      <c r="Y54" s="540"/>
      <c r="Z54" s="541"/>
      <c r="AA54" s="540"/>
      <c r="AB54" s="540"/>
      <c r="AC54" s="540"/>
      <c r="AD54" s="540"/>
      <c r="AE54" s="540"/>
      <c r="AF54" s="540"/>
      <c r="AG54" s="540"/>
      <c r="AH54" s="540"/>
      <c r="AI54" s="541"/>
    </row>
    <row r="55" spans="1:38" ht="15" hidden="1" customHeight="1">
      <c r="A55" s="435"/>
      <c r="B55" s="433"/>
      <c r="C55" s="433"/>
      <c r="D55" s="2321"/>
      <c r="E55" s="526">
        <f t="shared" ref="E55:N55" si="15">IF(E$44="n",0,IF(E$43="n",(E$44+E$32)/(1+E$50),IF(E$42="n",(E$43+E$44+E$32)/(1+E$50),IF(E$41="n",(E$42+E$43+E$44+E$32)/(1+E$50),(E$41+E$42+E$43+E$44+E$32)/(1+E$50)))))</f>
        <v>0</v>
      </c>
      <c r="F55" s="526">
        <f t="shared" si="15"/>
        <v>0</v>
      </c>
      <c r="G55" s="526">
        <f t="shared" si="15"/>
        <v>0</v>
      </c>
      <c r="H55" s="526">
        <f t="shared" si="15"/>
        <v>0</v>
      </c>
      <c r="I55" s="526">
        <f t="shared" si="15"/>
        <v>0</v>
      </c>
      <c r="J55" s="526">
        <f t="shared" si="15"/>
        <v>0</v>
      </c>
      <c r="K55" s="526">
        <f t="shared" si="15"/>
        <v>0</v>
      </c>
      <c r="L55" s="526">
        <f t="shared" si="15"/>
        <v>0</v>
      </c>
      <c r="M55" s="526">
        <f t="shared" si="15"/>
        <v>0</v>
      </c>
      <c r="N55" s="526">
        <f t="shared" si="15"/>
        <v>0</v>
      </c>
      <c r="O55" s="544"/>
      <c r="P55" s="544"/>
      <c r="Q55" s="544"/>
      <c r="R55" s="544"/>
      <c r="S55" s="544"/>
      <c r="T55" s="544"/>
      <c r="U55" s="544"/>
      <c r="V55" s="544"/>
      <c r="W55" s="544"/>
      <c r="X55" s="544"/>
      <c r="Y55" s="544"/>
      <c r="Z55" s="545"/>
      <c r="AA55" s="544"/>
      <c r="AB55" s="544"/>
      <c r="AC55" s="544"/>
      <c r="AD55" s="544"/>
      <c r="AE55" s="544"/>
      <c r="AF55" s="544"/>
      <c r="AG55" s="544"/>
      <c r="AH55" s="544"/>
      <c r="AI55" s="545"/>
    </row>
    <row r="56" spans="1:38" ht="15.75" hidden="1" customHeight="1">
      <c r="A56" s="435"/>
      <c r="B56" s="433"/>
      <c r="C56" s="433"/>
      <c r="D56" s="2318"/>
      <c r="E56" s="546"/>
      <c r="F56" s="546"/>
      <c r="G56" s="546"/>
      <c r="H56" s="546"/>
      <c r="I56" s="546"/>
      <c r="J56" s="546"/>
      <c r="K56" s="546"/>
      <c r="L56" s="546"/>
      <c r="M56" s="546"/>
      <c r="N56" s="546"/>
      <c r="O56" s="544"/>
      <c r="P56" s="544"/>
      <c r="Q56" s="544"/>
      <c r="R56" s="544"/>
      <c r="S56" s="544"/>
      <c r="T56" s="544"/>
      <c r="U56" s="544"/>
      <c r="V56" s="544"/>
      <c r="W56" s="544"/>
      <c r="X56" s="544"/>
      <c r="Y56" s="544"/>
      <c r="Z56" s="545"/>
      <c r="AA56" s="544"/>
      <c r="AB56" s="544"/>
      <c r="AC56" s="544"/>
      <c r="AD56" s="544"/>
      <c r="AE56" s="544"/>
      <c r="AF56" s="544"/>
      <c r="AG56" s="544"/>
      <c r="AH56" s="544"/>
      <c r="AI56" s="545"/>
      <c r="AJ56" s="477"/>
      <c r="AK56" s="477"/>
      <c r="AL56" s="477"/>
    </row>
    <row r="57" spans="1:38" ht="15.75" customHeight="1">
      <c r="A57" s="491" t="s">
        <v>1173</v>
      </c>
      <c r="B57" s="489"/>
      <c r="C57" s="490"/>
      <c r="D57" s="486" t="s">
        <v>1564</v>
      </c>
      <c r="E57" s="526">
        <f>E80</f>
        <v>0</v>
      </c>
      <c r="F57" s="526">
        <f>F80</f>
        <v>0</v>
      </c>
      <c r="G57" s="526">
        <f t="shared" ref="G57:N57" si="16">G80</f>
        <v>0</v>
      </c>
      <c r="H57" s="526">
        <f t="shared" si="16"/>
        <v>0</v>
      </c>
      <c r="I57" s="526">
        <f t="shared" si="16"/>
        <v>0</v>
      </c>
      <c r="J57" s="526">
        <f t="shared" si="16"/>
        <v>0</v>
      </c>
      <c r="K57" s="526">
        <f>K80</f>
        <v>0</v>
      </c>
      <c r="L57" s="526">
        <f>L80</f>
        <v>0</v>
      </c>
      <c r="M57" s="526">
        <f t="shared" si="16"/>
        <v>0</v>
      </c>
      <c r="N57" s="526">
        <f t="shared" si="16"/>
        <v>0</v>
      </c>
      <c r="O57" s="544"/>
      <c r="P57" s="544"/>
      <c r="Q57" s="544"/>
      <c r="R57" s="544"/>
      <c r="S57" s="544"/>
      <c r="T57" s="544"/>
      <c r="U57" s="544"/>
      <c r="V57" s="544"/>
      <c r="W57" s="544"/>
      <c r="X57" s="544"/>
      <c r="Y57" s="544"/>
      <c r="Z57" s="545"/>
      <c r="AA57" s="544"/>
      <c r="AB57" s="544"/>
      <c r="AC57" s="544"/>
      <c r="AD57" s="544"/>
      <c r="AE57" s="544"/>
      <c r="AF57" s="544"/>
      <c r="AG57" s="544"/>
      <c r="AH57" s="544"/>
      <c r="AI57" s="545"/>
    </row>
    <row r="58" spans="1:38" ht="15.75" customHeight="1">
      <c r="A58" s="492" t="s">
        <v>1519</v>
      </c>
      <c r="B58" s="489" t="s">
        <v>1520</v>
      </c>
      <c r="C58" s="493"/>
      <c r="D58" s="477"/>
      <c r="E58" s="1894"/>
      <c r="F58" s="550"/>
      <c r="G58" s="550"/>
      <c r="H58" s="550"/>
      <c r="I58" s="550"/>
      <c r="J58" s="550"/>
      <c r="K58" s="550"/>
      <c r="L58" s="550"/>
      <c r="M58" s="550"/>
      <c r="N58" s="550"/>
      <c r="O58" s="550"/>
      <c r="P58" s="550"/>
      <c r="Q58" s="550"/>
      <c r="R58" s="550"/>
      <c r="S58" s="550"/>
      <c r="T58" s="550"/>
      <c r="U58" s="550"/>
      <c r="V58" s="550"/>
      <c r="W58" s="550"/>
      <c r="X58" s="550"/>
      <c r="Y58" s="550"/>
      <c r="Z58" s="551"/>
      <c r="AA58" s="550"/>
      <c r="AB58" s="550"/>
      <c r="AC58" s="550"/>
      <c r="AD58" s="550"/>
      <c r="AE58" s="550"/>
      <c r="AF58" s="550"/>
      <c r="AG58" s="550"/>
      <c r="AH58" s="550"/>
      <c r="AI58" s="551"/>
    </row>
    <row r="59" spans="1:38" ht="15" customHeight="1">
      <c r="A59" s="907">
        <f>IF(OR(LEFT('Input Info'!Entity_Type,1)="T",LEFT('Input Info'!Entity_Type,1)="P"),'Tax Rec'!J90,0)</f>
        <v>0</v>
      </c>
      <c r="B59" s="908">
        <f t="shared" ref="B59:B68" si="17">A59-SUM(E59:AI59)</f>
        <v>0</v>
      </c>
      <c r="C59" s="503"/>
      <c r="D59" s="488" t="s">
        <v>1565</v>
      </c>
      <c r="E59" s="2011">
        <v>0</v>
      </c>
      <c r="F59" s="2011">
        <v>0</v>
      </c>
      <c r="G59" s="2011">
        <v>0</v>
      </c>
      <c r="H59" s="2011">
        <v>0</v>
      </c>
      <c r="I59" s="2011">
        <v>0</v>
      </c>
      <c r="J59" s="2011">
        <v>0</v>
      </c>
      <c r="K59" s="2011">
        <v>0</v>
      </c>
      <c r="L59" s="2011">
        <v>0</v>
      </c>
      <c r="M59" s="2011">
        <v>0</v>
      </c>
      <c r="N59" s="2011">
        <v>0</v>
      </c>
      <c r="O59" s="2012">
        <v>0</v>
      </c>
      <c r="P59" s="2012">
        <v>0</v>
      </c>
      <c r="Q59" s="2012">
        <v>0</v>
      </c>
      <c r="R59" s="2012">
        <v>0</v>
      </c>
      <c r="S59" s="2012">
        <v>0</v>
      </c>
      <c r="T59" s="2012">
        <v>0</v>
      </c>
      <c r="U59" s="2012">
        <v>0</v>
      </c>
      <c r="V59" s="2012">
        <v>0</v>
      </c>
      <c r="W59" s="2012">
        <v>0</v>
      </c>
      <c r="X59" s="2012">
        <v>0</v>
      </c>
      <c r="Y59" s="2012">
        <v>0</v>
      </c>
      <c r="Z59" s="2428">
        <v>0</v>
      </c>
      <c r="AA59" s="2429">
        <v>0</v>
      </c>
      <c r="AB59" s="2013">
        <v>0</v>
      </c>
      <c r="AC59" s="2013">
        <v>0</v>
      </c>
      <c r="AD59" s="2013">
        <v>0</v>
      </c>
      <c r="AE59" s="2013">
        <v>0</v>
      </c>
      <c r="AF59" s="2013">
        <v>0</v>
      </c>
      <c r="AG59" s="2013">
        <v>0</v>
      </c>
      <c r="AH59" s="2013">
        <v>0</v>
      </c>
      <c r="AI59" s="2014">
        <v>0</v>
      </c>
    </row>
    <row r="60" spans="1:38" ht="15" customHeight="1">
      <c r="A60" s="909">
        <f>IF(OR(LEFT('Input Info'!Entity_Type,1)="T",LEFT('Input Info'!Entity_Type,1)="P"),'Tax Rec'!I90,0)</f>
        <v>50000</v>
      </c>
      <c r="B60" s="908">
        <f t="shared" si="17"/>
        <v>50000</v>
      </c>
      <c r="C60" s="503"/>
      <c r="D60" s="488" t="s">
        <v>1566</v>
      </c>
      <c r="E60" s="2005">
        <v>0</v>
      </c>
      <c r="F60" s="2005">
        <v>0</v>
      </c>
      <c r="G60" s="2005">
        <v>0</v>
      </c>
      <c r="H60" s="2005">
        <v>0</v>
      </c>
      <c r="I60" s="2005">
        <v>0</v>
      </c>
      <c r="J60" s="2005">
        <v>0</v>
      </c>
      <c r="K60" s="2005">
        <v>0</v>
      </c>
      <c r="L60" s="2005">
        <v>0</v>
      </c>
      <c r="M60" s="2005">
        <v>0</v>
      </c>
      <c r="N60" s="2005">
        <v>0</v>
      </c>
      <c r="O60" s="2015">
        <v>0</v>
      </c>
      <c r="P60" s="2015">
        <v>0</v>
      </c>
      <c r="Q60" s="2015">
        <v>0</v>
      </c>
      <c r="R60" s="2015">
        <v>0</v>
      </c>
      <c r="S60" s="2015">
        <v>0</v>
      </c>
      <c r="T60" s="2015">
        <v>0</v>
      </c>
      <c r="U60" s="2015">
        <v>0</v>
      </c>
      <c r="V60" s="2015">
        <v>0</v>
      </c>
      <c r="W60" s="2015">
        <v>0</v>
      </c>
      <c r="X60" s="2015">
        <v>0</v>
      </c>
      <c r="Y60" s="2015">
        <v>0</v>
      </c>
      <c r="Z60" s="2421">
        <v>0</v>
      </c>
      <c r="AA60" s="2306">
        <v>0</v>
      </c>
      <c r="AB60" s="2006">
        <v>0</v>
      </c>
      <c r="AC60" s="2006">
        <v>0</v>
      </c>
      <c r="AD60" s="2006">
        <v>0</v>
      </c>
      <c r="AE60" s="2006">
        <v>0</v>
      </c>
      <c r="AF60" s="2006">
        <v>0</v>
      </c>
      <c r="AG60" s="2006">
        <v>0</v>
      </c>
      <c r="AH60" s="2006">
        <v>0</v>
      </c>
      <c r="AI60" s="2016">
        <v>0</v>
      </c>
    </row>
    <row r="61" spans="1:38" ht="15" customHeight="1">
      <c r="A61" s="909">
        <v>0</v>
      </c>
      <c r="B61" s="908">
        <f t="shared" si="17"/>
        <v>0</v>
      </c>
      <c r="C61" s="503"/>
      <c r="D61" s="488" t="s">
        <v>1522</v>
      </c>
      <c r="E61" s="1944">
        <v>0</v>
      </c>
      <c r="F61" s="1944">
        <v>0</v>
      </c>
      <c r="G61" s="1944">
        <v>0</v>
      </c>
      <c r="H61" s="1944">
        <v>0</v>
      </c>
      <c r="I61" s="1944">
        <v>0</v>
      </c>
      <c r="J61" s="1944">
        <v>0</v>
      </c>
      <c r="K61" s="1944">
        <v>0</v>
      </c>
      <c r="L61" s="1944">
        <v>0</v>
      </c>
      <c r="M61" s="1944">
        <v>0</v>
      </c>
      <c r="N61" s="1944">
        <v>0</v>
      </c>
      <c r="O61" s="1944">
        <v>0</v>
      </c>
      <c r="P61" s="1944">
        <v>0</v>
      </c>
      <c r="Q61" s="1944">
        <v>0</v>
      </c>
      <c r="R61" s="1944">
        <v>0</v>
      </c>
      <c r="S61" s="1944">
        <v>0</v>
      </c>
      <c r="T61" s="1944">
        <v>0</v>
      </c>
      <c r="U61" s="1944">
        <v>0</v>
      </c>
      <c r="V61" s="1944">
        <v>0</v>
      </c>
      <c r="W61" s="1944">
        <v>0</v>
      </c>
      <c r="X61" s="1944">
        <v>0</v>
      </c>
      <c r="Y61" s="1944">
        <v>0</v>
      </c>
      <c r="Z61" s="1947">
        <v>0</v>
      </c>
      <c r="AA61" s="1969">
        <v>0</v>
      </c>
      <c r="AB61" s="2006">
        <v>0</v>
      </c>
      <c r="AC61" s="2006">
        <v>0</v>
      </c>
      <c r="AD61" s="2006">
        <v>0</v>
      </c>
      <c r="AE61" s="2006">
        <v>0</v>
      </c>
      <c r="AF61" s="2006">
        <v>0</v>
      </c>
      <c r="AG61" s="2006">
        <v>0</v>
      </c>
      <c r="AH61" s="2006">
        <v>0</v>
      </c>
      <c r="AI61" s="2016">
        <v>0</v>
      </c>
    </row>
    <row r="62" spans="1:38" ht="15" customHeight="1">
      <c r="A62" s="909">
        <v>0</v>
      </c>
      <c r="B62" s="908">
        <f t="shared" si="17"/>
        <v>0</v>
      </c>
      <c r="C62" s="503"/>
      <c r="D62" s="488" t="s">
        <v>1523</v>
      </c>
      <c r="E62" s="2005">
        <v>0</v>
      </c>
      <c r="F62" s="2005">
        <v>0</v>
      </c>
      <c r="G62" s="2005">
        <v>0</v>
      </c>
      <c r="H62" s="2005">
        <v>0</v>
      </c>
      <c r="I62" s="2005">
        <v>0</v>
      </c>
      <c r="J62" s="2005">
        <v>0</v>
      </c>
      <c r="K62" s="2005">
        <v>0</v>
      </c>
      <c r="L62" s="2005">
        <v>0</v>
      </c>
      <c r="M62" s="2005">
        <v>0</v>
      </c>
      <c r="N62" s="2005">
        <v>0</v>
      </c>
      <c r="O62" s="2015">
        <v>0</v>
      </c>
      <c r="P62" s="2015">
        <v>0</v>
      </c>
      <c r="Q62" s="2015">
        <v>0</v>
      </c>
      <c r="R62" s="2015">
        <v>0</v>
      </c>
      <c r="S62" s="2015">
        <v>0</v>
      </c>
      <c r="T62" s="2015">
        <v>0</v>
      </c>
      <c r="U62" s="2015">
        <v>0</v>
      </c>
      <c r="V62" s="2015">
        <v>0</v>
      </c>
      <c r="W62" s="2015">
        <v>0</v>
      </c>
      <c r="X62" s="2015">
        <v>0</v>
      </c>
      <c r="Y62" s="2015">
        <v>0</v>
      </c>
      <c r="Z62" s="2421">
        <v>0</v>
      </c>
      <c r="AA62" s="2306">
        <v>0</v>
      </c>
      <c r="AB62" s="2006">
        <v>0</v>
      </c>
      <c r="AC62" s="2006">
        <v>0</v>
      </c>
      <c r="AD62" s="2006">
        <v>0</v>
      </c>
      <c r="AE62" s="2006">
        <v>0</v>
      </c>
      <c r="AF62" s="2006">
        <v>0</v>
      </c>
      <c r="AG62" s="2006">
        <v>0</v>
      </c>
      <c r="AH62" s="2006">
        <v>0</v>
      </c>
      <c r="AI62" s="2016">
        <v>0</v>
      </c>
    </row>
    <row r="63" spans="1:38" ht="15" customHeight="1">
      <c r="A63" s="910">
        <f>(A62/0.7)*0.3</f>
        <v>0</v>
      </c>
      <c r="B63" s="908">
        <f t="shared" si="17"/>
        <v>0</v>
      </c>
      <c r="C63" s="503"/>
      <c r="D63" s="488" t="s">
        <v>1524</v>
      </c>
      <c r="E63" s="552">
        <f>IF(E62&gt;0,(E62/0.7)*0.3,0)</f>
        <v>0</v>
      </c>
      <c r="F63" s="552">
        <f t="shared" ref="F63:AI63" si="18">IF(F62&gt;0,(F62/0.7)*0.3,0)</f>
        <v>0</v>
      </c>
      <c r="G63" s="552">
        <f t="shared" si="18"/>
        <v>0</v>
      </c>
      <c r="H63" s="552">
        <f t="shared" si="18"/>
        <v>0</v>
      </c>
      <c r="I63" s="552">
        <f t="shared" si="18"/>
        <v>0</v>
      </c>
      <c r="J63" s="552">
        <f t="shared" si="18"/>
        <v>0</v>
      </c>
      <c r="K63" s="552">
        <f>IF(K62&gt;0,(K62/0.7)*0.3,0)</f>
        <v>0</v>
      </c>
      <c r="L63" s="552">
        <f>IF(L62&gt;0,(L62/0.7)*0.3,0)</f>
        <v>0</v>
      </c>
      <c r="M63" s="552">
        <f t="shared" si="18"/>
        <v>0</v>
      </c>
      <c r="N63" s="552">
        <f t="shared" si="18"/>
        <v>0</v>
      </c>
      <c r="O63" s="552">
        <f t="shared" si="18"/>
        <v>0</v>
      </c>
      <c r="P63" s="552">
        <f t="shared" si="18"/>
        <v>0</v>
      </c>
      <c r="Q63" s="552">
        <f t="shared" si="18"/>
        <v>0</v>
      </c>
      <c r="R63" s="552">
        <f t="shared" si="18"/>
        <v>0</v>
      </c>
      <c r="S63" s="552">
        <f t="shared" si="18"/>
        <v>0</v>
      </c>
      <c r="T63" s="552">
        <f t="shared" si="18"/>
        <v>0</v>
      </c>
      <c r="U63" s="552">
        <f t="shared" si="18"/>
        <v>0</v>
      </c>
      <c r="V63" s="552">
        <f t="shared" si="18"/>
        <v>0</v>
      </c>
      <c r="W63" s="552">
        <f t="shared" si="18"/>
        <v>0</v>
      </c>
      <c r="X63" s="552">
        <f t="shared" si="18"/>
        <v>0</v>
      </c>
      <c r="Y63" s="552">
        <f t="shared" si="18"/>
        <v>0</v>
      </c>
      <c r="Z63" s="1548">
        <f t="shared" si="18"/>
        <v>0</v>
      </c>
      <c r="AA63" s="2430">
        <f t="shared" si="18"/>
        <v>0</v>
      </c>
      <c r="AB63" s="552">
        <f t="shared" si="18"/>
        <v>0</v>
      </c>
      <c r="AC63" s="552">
        <f t="shared" si="18"/>
        <v>0</v>
      </c>
      <c r="AD63" s="552">
        <f t="shared" si="18"/>
        <v>0</v>
      </c>
      <c r="AE63" s="552">
        <f t="shared" si="18"/>
        <v>0</v>
      </c>
      <c r="AF63" s="552">
        <f t="shared" si="18"/>
        <v>0</v>
      </c>
      <c r="AG63" s="552">
        <f t="shared" si="18"/>
        <v>0</v>
      </c>
      <c r="AH63" s="552">
        <f t="shared" si="18"/>
        <v>0</v>
      </c>
      <c r="AI63" s="1548">
        <f t="shared" si="18"/>
        <v>0</v>
      </c>
    </row>
    <row r="64" spans="1:38" ht="15" customHeight="1">
      <c r="A64" s="909">
        <v>0</v>
      </c>
      <c r="B64" s="908">
        <f t="shared" si="17"/>
        <v>0</v>
      </c>
      <c r="C64" s="503"/>
      <c r="D64" s="488" t="s">
        <v>1567</v>
      </c>
      <c r="E64" s="2005">
        <v>0</v>
      </c>
      <c r="F64" s="2005">
        <v>0</v>
      </c>
      <c r="G64" s="2005">
        <v>0</v>
      </c>
      <c r="H64" s="2005">
        <v>0</v>
      </c>
      <c r="I64" s="2005">
        <v>0</v>
      </c>
      <c r="J64" s="2005">
        <v>0</v>
      </c>
      <c r="K64" s="2005">
        <v>0</v>
      </c>
      <c r="L64" s="2005">
        <v>0</v>
      </c>
      <c r="M64" s="2005">
        <v>0</v>
      </c>
      <c r="N64" s="2005">
        <v>0</v>
      </c>
      <c r="O64" s="553"/>
      <c r="P64" s="553"/>
      <c r="Q64" s="553"/>
      <c r="R64" s="553"/>
      <c r="S64" s="553"/>
      <c r="T64" s="553"/>
      <c r="U64" s="553"/>
      <c r="V64" s="553"/>
      <c r="W64" s="553"/>
      <c r="X64" s="553"/>
      <c r="Y64" s="2015">
        <v>0</v>
      </c>
      <c r="Z64" s="2421">
        <v>0</v>
      </c>
      <c r="AA64" s="2306">
        <v>0</v>
      </c>
      <c r="AB64" s="2006">
        <v>0</v>
      </c>
      <c r="AC64" s="2006">
        <v>0</v>
      </c>
      <c r="AD64" s="2006">
        <v>0</v>
      </c>
      <c r="AE64" s="2006">
        <v>0</v>
      </c>
      <c r="AF64" s="2006">
        <v>0</v>
      </c>
      <c r="AG64" s="2006">
        <v>0</v>
      </c>
      <c r="AH64" s="2006">
        <v>0</v>
      </c>
      <c r="AI64" s="2016">
        <v>0</v>
      </c>
    </row>
    <row r="65" spans="1:35" ht="15" customHeight="1">
      <c r="A65" s="909">
        <v>0</v>
      </c>
      <c r="B65" s="908">
        <f t="shared" si="17"/>
        <v>0</v>
      </c>
      <c r="C65" s="503"/>
      <c r="D65" s="488" t="s">
        <v>1525</v>
      </c>
      <c r="E65" s="2005">
        <v>0</v>
      </c>
      <c r="F65" s="2005">
        <v>0</v>
      </c>
      <c r="G65" s="2005">
        <v>0</v>
      </c>
      <c r="H65" s="2005">
        <v>0</v>
      </c>
      <c r="I65" s="2005">
        <v>0</v>
      </c>
      <c r="J65" s="2005">
        <v>0</v>
      </c>
      <c r="K65" s="2005">
        <v>0</v>
      </c>
      <c r="L65" s="2005">
        <v>0</v>
      </c>
      <c r="M65" s="2005">
        <v>0</v>
      </c>
      <c r="N65" s="2005">
        <v>0</v>
      </c>
      <c r="O65" s="2015">
        <v>0</v>
      </c>
      <c r="P65" s="2015">
        <v>0</v>
      </c>
      <c r="Q65" s="2021">
        <v>0</v>
      </c>
      <c r="R65" s="2021">
        <v>0</v>
      </c>
      <c r="S65" s="2021">
        <v>0</v>
      </c>
      <c r="T65" s="2021">
        <v>0</v>
      </c>
      <c r="U65" s="2021">
        <v>0</v>
      </c>
      <c r="V65" s="2021">
        <v>0</v>
      </c>
      <c r="W65" s="2021">
        <v>0</v>
      </c>
      <c r="X65" s="2021">
        <v>0</v>
      </c>
      <c r="Y65" s="2015">
        <v>0</v>
      </c>
      <c r="Z65" s="2421">
        <v>0</v>
      </c>
      <c r="AA65" s="2306">
        <v>0</v>
      </c>
      <c r="AB65" s="2006">
        <v>0</v>
      </c>
      <c r="AC65" s="2006">
        <v>0</v>
      </c>
      <c r="AD65" s="2006">
        <v>0</v>
      </c>
      <c r="AE65" s="2006">
        <v>0</v>
      </c>
      <c r="AF65" s="2006">
        <v>0</v>
      </c>
      <c r="AG65" s="2006">
        <v>0</v>
      </c>
      <c r="AH65" s="2006">
        <v>0</v>
      </c>
      <c r="AI65" s="2016">
        <v>0</v>
      </c>
    </row>
    <row r="66" spans="1:35" ht="15" customHeight="1">
      <c r="A66" s="909">
        <v>0</v>
      </c>
      <c r="B66" s="908">
        <f t="shared" si="17"/>
        <v>0</v>
      </c>
      <c r="C66" s="503"/>
      <c r="D66" s="488" t="s">
        <v>1526</v>
      </c>
      <c r="E66" s="2005">
        <v>0</v>
      </c>
      <c r="F66" s="2005">
        <v>0</v>
      </c>
      <c r="G66" s="2005">
        <v>0</v>
      </c>
      <c r="H66" s="2005">
        <v>0</v>
      </c>
      <c r="I66" s="2005">
        <v>0</v>
      </c>
      <c r="J66" s="2005">
        <v>0</v>
      </c>
      <c r="K66" s="2005">
        <v>0</v>
      </c>
      <c r="L66" s="2005">
        <v>0</v>
      </c>
      <c r="M66" s="2005">
        <v>0</v>
      </c>
      <c r="N66" s="2005">
        <v>0</v>
      </c>
      <c r="O66" s="2015">
        <v>0</v>
      </c>
      <c r="P66" s="2015">
        <v>0</v>
      </c>
      <c r="Q66" s="2021">
        <v>0</v>
      </c>
      <c r="R66" s="2021">
        <v>0</v>
      </c>
      <c r="S66" s="2021">
        <v>0</v>
      </c>
      <c r="T66" s="2021">
        <v>0</v>
      </c>
      <c r="U66" s="2021">
        <v>0</v>
      </c>
      <c r="V66" s="2021">
        <v>0</v>
      </c>
      <c r="W66" s="2021">
        <v>0</v>
      </c>
      <c r="X66" s="2021">
        <v>0</v>
      </c>
      <c r="Y66" s="2015">
        <v>0</v>
      </c>
      <c r="Z66" s="2421">
        <v>0</v>
      </c>
      <c r="AA66" s="2306">
        <v>0</v>
      </c>
      <c r="AB66" s="2006">
        <v>0</v>
      </c>
      <c r="AC66" s="2006">
        <v>0</v>
      </c>
      <c r="AD66" s="2006">
        <v>0</v>
      </c>
      <c r="AE66" s="2006">
        <v>0</v>
      </c>
      <c r="AF66" s="2006">
        <v>0</v>
      </c>
      <c r="AG66" s="2006">
        <v>0</v>
      </c>
      <c r="AH66" s="2006">
        <v>0</v>
      </c>
      <c r="AI66" s="2016">
        <v>0</v>
      </c>
    </row>
    <row r="67" spans="1:35" ht="15" customHeight="1">
      <c r="A67" s="909">
        <v>0</v>
      </c>
      <c r="B67" s="908">
        <f t="shared" si="17"/>
        <v>0</v>
      </c>
      <c r="C67" s="503"/>
      <c r="D67" s="488" t="s">
        <v>1527</v>
      </c>
      <c r="E67" s="2005">
        <v>0</v>
      </c>
      <c r="F67" s="2005">
        <v>0</v>
      </c>
      <c r="G67" s="2005">
        <v>0</v>
      </c>
      <c r="H67" s="2005">
        <v>0</v>
      </c>
      <c r="I67" s="2005">
        <v>0</v>
      </c>
      <c r="J67" s="2005">
        <v>0</v>
      </c>
      <c r="K67" s="2005">
        <v>0</v>
      </c>
      <c r="L67" s="2005">
        <v>0</v>
      </c>
      <c r="M67" s="2005">
        <v>0</v>
      </c>
      <c r="N67" s="2005">
        <v>0</v>
      </c>
      <c r="O67" s="2015">
        <v>0</v>
      </c>
      <c r="P67" s="2015">
        <v>0</v>
      </c>
      <c r="Q67" s="2021">
        <v>0</v>
      </c>
      <c r="R67" s="2021">
        <v>0</v>
      </c>
      <c r="S67" s="2021">
        <v>0</v>
      </c>
      <c r="T67" s="2021">
        <v>0</v>
      </c>
      <c r="U67" s="2021">
        <v>0</v>
      </c>
      <c r="V67" s="2021">
        <v>0</v>
      </c>
      <c r="W67" s="2021">
        <v>0</v>
      </c>
      <c r="X67" s="2021">
        <v>0</v>
      </c>
      <c r="Y67" s="2015">
        <v>0</v>
      </c>
      <c r="Z67" s="2421">
        <v>0</v>
      </c>
      <c r="AA67" s="2306">
        <v>0</v>
      </c>
      <c r="AB67" s="2006">
        <v>0</v>
      </c>
      <c r="AC67" s="2006">
        <v>0</v>
      </c>
      <c r="AD67" s="2006">
        <v>0</v>
      </c>
      <c r="AE67" s="2006">
        <v>0</v>
      </c>
      <c r="AF67" s="2006">
        <v>0</v>
      </c>
      <c r="AG67" s="2006">
        <v>0</v>
      </c>
      <c r="AH67" s="2006">
        <v>0</v>
      </c>
      <c r="AI67" s="2016">
        <v>0</v>
      </c>
    </row>
    <row r="68" spans="1:35" ht="18" customHeight="1">
      <c r="A68" s="909">
        <v>0</v>
      </c>
      <c r="B68" s="908">
        <f t="shared" si="17"/>
        <v>0</v>
      </c>
      <c r="C68" s="503"/>
      <c r="D68" s="488" t="s">
        <v>1568</v>
      </c>
      <c r="E68" s="2002">
        <v>0</v>
      </c>
      <c r="F68" s="2002">
        <v>0</v>
      </c>
      <c r="G68" s="2002">
        <v>0</v>
      </c>
      <c r="H68" s="2002">
        <v>0</v>
      </c>
      <c r="I68" s="2002">
        <v>0</v>
      </c>
      <c r="J68" s="2002">
        <v>0</v>
      </c>
      <c r="K68" s="2002">
        <v>0</v>
      </c>
      <c r="L68" s="2002">
        <v>0</v>
      </c>
      <c r="M68" s="2002">
        <v>0</v>
      </c>
      <c r="N68" s="2002">
        <v>0</v>
      </c>
      <c r="O68" s="2022">
        <v>0</v>
      </c>
      <c r="P68" s="2022">
        <v>0</v>
      </c>
      <c r="Q68" s="2023">
        <v>0</v>
      </c>
      <c r="R68" s="2023">
        <v>0</v>
      </c>
      <c r="S68" s="2023">
        <v>0</v>
      </c>
      <c r="T68" s="2023">
        <v>0</v>
      </c>
      <c r="U68" s="2023">
        <v>0</v>
      </c>
      <c r="V68" s="2023">
        <v>0</v>
      </c>
      <c r="W68" s="2023">
        <v>0</v>
      </c>
      <c r="X68" s="2023">
        <v>0</v>
      </c>
      <c r="Y68" s="2017">
        <v>0</v>
      </c>
      <c r="Z68" s="2431">
        <v>0</v>
      </c>
      <c r="AA68" s="2432">
        <v>0</v>
      </c>
      <c r="AB68" s="2019">
        <v>0</v>
      </c>
      <c r="AC68" s="2019">
        <v>0</v>
      </c>
      <c r="AD68" s="2019">
        <v>0</v>
      </c>
      <c r="AE68" s="2019">
        <v>0</v>
      </c>
      <c r="AF68" s="2019">
        <v>0</v>
      </c>
      <c r="AG68" s="2019">
        <v>0</v>
      </c>
      <c r="AH68" s="2019">
        <v>0</v>
      </c>
      <c r="AI68" s="2020">
        <v>0</v>
      </c>
    </row>
    <row r="69" spans="1:35" ht="15.75" hidden="1" customHeight="1">
      <c r="A69" s="485" t="s">
        <v>1569</v>
      </c>
      <c r="B69" s="486"/>
      <c r="C69" s="464"/>
      <c r="D69" s="2322"/>
      <c r="E69" s="534">
        <f t="shared" ref="E69:N69" si="19">E19+E59-E83-E71</f>
        <v>0</v>
      </c>
      <c r="F69" s="534">
        <f t="shared" si="19"/>
        <v>0</v>
      </c>
      <c r="G69" s="534">
        <f t="shared" si="19"/>
        <v>0</v>
      </c>
      <c r="H69" s="534">
        <f t="shared" si="19"/>
        <v>0</v>
      </c>
      <c r="I69" s="534">
        <f t="shared" si="19"/>
        <v>0</v>
      </c>
      <c r="J69" s="534">
        <f t="shared" si="19"/>
        <v>0</v>
      </c>
      <c r="K69" s="534">
        <f t="shared" si="19"/>
        <v>0</v>
      </c>
      <c r="L69" s="534">
        <f t="shared" si="19"/>
        <v>0</v>
      </c>
      <c r="M69" s="534">
        <f t="shared" si="19"/>
        <v>0</v>
      </c>
      <c r="N69" s="534">
        <f t="shared" si="19"/>
        <v>0</v>
      </c>
      <c r="O69" s="554"/>
      <c r="P69" s="554"/>
      <c r="Q69" s="554"/>
      <c r="R69" s="554"/>
      <c r="S69" s="554"/>
      <c r="T69" s="554"/>
      <c r="U69" s="554"/>
      <c r="V69" s="554"/>
      <c r="W69" s="554"/>
      <c r="X69" s="554"/>
      <c r="Y69" s="2433"/>
      <c r="Z69" s="2426">
        <f t="shared" ref="Z69:AI69" si="20">Z19+Z59</f>
        <v>0</v>
      </c>
      <c r="AA69" s="2434">
        <f t="shared" si="20"/>
        <v>0</v>
      </c>
      <c r="AB69" s="534">
        <f t="shared" si="20"/>
        <v>0</v>
      </c>
      <c r="AC69" s="534">
        <f t="shared" si="20"/>
        <v>0</v>
      </c>
      <c r="AD69" s="534">
        <f t="shared" si="20"/>
        <v>0</v>
      </c>
      <c r="AE69" s="534">
        <f t="shared" si="20"/>
        <v>0</v>
      </c>
      <c r="AF69" s="534">
        <f t="shared" si="20"/>
        <v>0</v>
      </c>
      <c r="AG69" s="534">
        <f t="shared" si="20"/>
        <v>0</v>
      </c>
      <c r="AH69" s="534">
        <f t="shared" si="20"/>
        <v>0</v>
      </c>
      <c r="AI69" s="1182">
        <f t="shared" si="20"/>
        <v>0</v>
      </c>
    </row>
    <row r="70" spans="1:35" ht="15.75" hidden="1" customHeight="1">
      <c r="A70" s="485" t="s">
        <v>1570</v>
      </c>
      <c r="B70" s="486"/>
      <c r="C70" s="464"/>
      <c r="D70" s="2322"/>
      <c r="E70" s="534">
        <f t="shared" ref="E70:N70" si="21">E31+SUM(E60:E68)-E64-E72-E85-E86-E92</f>
        <v>0</v>
      </c>
      <c r="F70" s="534">
        <f t="shared" si="21"/>
        <v>0</v>
      </c>
      <c r="G70" s="534">
        <f t="shared" si="21"/>
        <v>0</v>
      </c>
      <c r="H70" s="534">
        <f t="shared" si="21"/>
        <v>0</v>
      </c>
      <c r="I70" s="534">
        <f t="shared" si="21"/>
        <v>0</v>
      </c>
      <c r="J70" s="534">
        <f t="shared" si="21"/>
        <v>0</v>
      </c>
      <c r="K70" s="534">
        <f>K31+SUM(K60:K68)-K64-K72-K85-K86-K92</f>
        <v>0</v>
      </c>
      <c r="L70" s="534">
        <f>L31+SUM(L60:L68)-L64-L72-L85-L86-L92</f>
        <v>0</v>
      </c>
      <c r="M70" s="534">
        <f t="shared" si="21"/>
        <v>0</v>
      </c>
      <c r="N70" s="534">
        <f t="shared" si="21"/>
        <v>0</v>
      </c>
      <c r="O70" s="554"/>
      <c r="P70" s="554"/>
      <c r="Q70" s="554"/>
      <c r="R70" s="554"/>
      <c r="S70" s="554"/>
      <c r="T70" s="554"/>
      <c r="U70" s="554"/>
      <c r="V70" s="554"/>
      <c r="W70" s="554"/>
      <c r="X70" s="554"/>
      <c r="Y70" s="2433"/>
      <c r="Z70" s="2426">
        <f t="shared" ref="Z70:AI70" si="22">Z31+SUM(Z60:Z68)</f>
        <v>0</v>
      </c>
      <c r="AA70" s="2434">
        <f t="shared" si="22"/>
        <v>0</v>
      </c>
      <c r="AB70" s="534">
        <f t="shared" si="22"/>
        <v>0</v>
      </c>
      <c r="AC70" s="534">
        <f t="shared" si="22"/>
        <v>0</v>
      </c>
      <c r="AD70" s="534">
        <f t="shared" si="22"/>
        <v>0</v>
      </c>
      <c r="AE70" s="534">
        <f t="shared" si="22"/>
        <v>0</v>
      </c>
      <c r="AF70" s="534">
        <f t="shared" si="22"/>
        <v>0</v>
      </c>
      <c r="AG70" s="534">
        <f t="shared" si="22"/>
        <v>0</v>
      </c>
      <c r="AH70" s="534">
        <f t="shared" si="22"/>
        <v>0</v>
      </c>
      <c r="AI70" s="1182">
        <f t="shared" si="22"/>
        <v>0</v>
      </c>
    </row>
    <row r="71" spans="1:35" ht="15.75" hidden="1" customHeight="1">
      <c r="A71" s="485" t="s">
        <v>1571</v>
      </c>
      <c r="B71" s="486"/>
      <c r="C71" s="464"/>
      <c r="D71" s="2322"/>
      <c r="E71" s="534">
        <v>0</v>
      </c>
      <c r="F71" s="534">
        <v>0</v>
      </c>
      <c r="G71" s="534">
        <v>0</v>
      </c>
      <c r="H71" s="534">
        <v>0</v>
      </c>
      <c r="I71" s="534">
        <v>0</v>
      </c>
      <c r="J71" s="534">
        <v>0</v>
      </c>
      <c r="K71" s="534">
        <v>0</v>
      </c>
      <c r="L71" s="534">
        <v>0</v>
      </c>
      <c r="M71" s="534">
        <v>0</v>
      </c>
      <c r="N71" s="534">
        <v>0</v>
      </c>
      <c r="O71" s="554"/>
      <c r="P71" s="554"/>
      <c r="Q71" s="554"/>
      <c r="R71" s="554"/>
      <c r="S71" s="554"/>
      <c r="T71" s="554"/>
      <c r="U71" s="554"/>
      <c r="V71" s="554"/>
      <c r="W71" s="554"/>
      <c r="X71" s="554"/>
      <c r="Y71" s="2433"/>
      <c r="Z71" s="2435"/>
      <c r="AA71" s="2436"/>
      <c r="AB71" s="538"/>
      <c r="AC71" s="538"/>
      <c r="AD71" s="538"/>
      <c r="AE71" s="538"/>
      <c r="AF71" s="538"/>
      <c r="AG71" s="538"/>
      <c r="AH71" s="538"/>
      <c r="AI71" s="539"/>
    </row>
    <row r="72" spans="1:35" ht="15.75" hidden="1" customHeight="1">
      <c r="A72" s="485" t="s">
        <v>1577</v>
      </c>
      <c r="B72" s="486"/>
      <c r="C72" s="464"/>
      <c r="D72" s="2322"/>
      <c r="E72" s="534">
        <f>E84</f>
        <v>0</v>
      </c>
      <c r="F72" s="534">
        <f t="shared" ref="F72:N72" si="23">F84</f>
        <v>0</v>
      </c>
      <c r="G72" s="534">
        <f t="shared" si="23"/>
        <v>0</v>
      </c>
      <c r="H72" s="534">
        <f t="shared" si="23"/>
        <v>0</v>
      </c>
      <c r="I72" s="534">
        <f t="shared" si="23"/>
        <v>0</v>
      </c>
      <c r="J72" s="534">
        <f t="shared" si="23"/>
        <v>0</v>
      </c>
      <c r="K72" s="534">
        <f t="shared" si="23"/>
        <v>0</v>
      </c>
      <c r="L72" s="534">
        <f t="shared" si="23"/>
        <v>0</v>
      </c>
      <c r="M72" s="534">
        <f t="shared" si="23"/>
        <v>0</v>
      </c>
      <c r="N72" s="534">
        <f t="shared" si="23"/>
        <v>0</v>
      </c>
      <c r="O72" s="554"/>
      <c r="P72" s="554"/>
      <c r="Q72" s="554"/>
      <c r="R72" s="554"/>
      <c r="S72" s="554"/>
      <c r="T72" s="554"/>
      <c r="U72" s="554"/>
      <c r="V72" s="554"/>
      <c r="W72" s="554"/>
      <c r="X72" s="554"/>
      <c r="Y72" s="2433"/>
      <c r="Z72" s="2435"/>
      <c r="AA72" s="2436"/>
      <c r="AB72" s="538"/>
      <c r="AC72" s="538"/>
      <c r="AD72" s="538"/>
      <c r="AE72" s="538"/>
      <c r="AF72" s="538"/>
      <c r="AG72" s="538"/>
      <c r="AH72" s="538"/>
      <c r="AI72" s="539"/>
    </row>
    <row r="73" spans="1:35" ht="15.75" hidden="1" customHeight="1">
      <c r="A73" s="485" t="s">
        <v>1578</v>
      </c>
      <c r="B73" s="486"/>
      <c r="C73" s="464"/>
      <c r="D73" s="2322"/>
      <c r="E73" s="555" t="str">
        <f t="shared" ref="E73:N73" si="24">IF(E$74&lt;0.001,"0",E$74)</f>
        <v>0</v>
      </c>
      <c r="F73" s="555" t="str">
        <f t="shared" si="24"/>
        <v>0</v>
      </c>
      <c r="G73" s="555" t="str">
        <f t="shared" si="24"/>
        <v>0</v>
      </c>
      <c r="H73" s="555" t="str">
        <f t="shared" si="24"/>
        <v>0</v>
      </c>
      <c r="I73" s="555" t="str">
        <f t="shared" si="24"/>
        <v>0</v>
      </c>
      <c r="J73" s="555" t="str">
        <f t="shared" si="24"/>
        <v>0</v>
      </c>
      <c r="K73" s="555" t="str">
        <f t="shared" si="24"/>
        <v>0</v>
      </c>
      <c r="L73" s="555" t="str">
        <f t="shared" si="24"/>
        <v>0</v>
      </c>
      <c r="M73" s="555" t="str">
        <f t="shared" si="24"/>
        <v>0</v>
      </c>
      <c r="N73" s="555" t="str">
        <f t="shared" si="24"/>
        <v>0</v>
      </c>
      <c r="O73" s="535"/>
      <c r="P73" s="535"/>
      <c r="Q73" s="535"/>
      <c r="R73" s="535"/>
      <c r="S73" s="535"/>
      <c r="T73" s="535"/>
      <c r="U73" s="535"/>
      <c r="V73" s="535"/>
      <c r="W73" s="535"/>
      <c r="X73" s="535"/>
      <c r="Y73" s="2437"/>
      <c r="Z73" s="2438">
        <f t="shared" ref="Z73:AI73" si="25">IF(Z$74&lt;0,"             0",Z$74)</f>
        <v>0</v>
      </c>
      <c r="AA73" s="2439">
        <f t="shared" si="25"/>
        <v>0</v>
      </c>
      <c r="AB73" s="1195">
        <f t="shared" si="25"/>
        <v>0</v>
      </c>
      <c r="AC73" s="1195">
        <f t="shared" si="25"/>
        <v>0</v>
      </c>
      <c r="AD73" s="1195">
        <f t="shared" si="25"/>
        <v>0</v>
      </c>
      <c r="AE73" s="1195">
        <f t="shared" si="25"/>
        <v>0</v>
      </c>
      <c r="AF73" s="1195">
        <f t="shared" si="25"/>
        <v>0</v>
      </c>
      <c r="AG73" s="1195">
        <f t="shared" si="25"/>
        <v>0</v>
      </c>
      <c r="AH73" s="1195">
        <f t="shared" si="25"/>
        <v>0</v>
      </c>
      <c r="AI73" s="1183">
        <f t="shared" si="25"/>
        <v>0</v>
      </c>
    </row>
    <row r="74" spans="1:35" ht="15.75" hidden="1" customHeight="1">
      <c r="A74" s="483"/>
      <c r="B74" s="464"/>
      <c r="C74" s="486"/>
      <c r="D74" s="2322"/>
      <c r="E74" s="534">
        <f t="shared" ref="E74:N74" si="26">IF(E$70&lt;5000,(E$70+E$69),IF(E$70&lt;10000,(10000-E$70+E$69),E$69))</f>
        <v>0</v>
      </c>
      <c r="F74" s="534">
        <f t="shared" si="26"/>
        <v>0</v>
      </c>
      <c r="G74" s="534">
        <f t="shared" si="26"/>
        <v>0</v>
      </c>
      <c r="H74" s="534">
        <f t="shared" si="26"/>
        <v>0</v>
      </c>
      <c r="I74" s="534">
        <f t="shared" si="26"/>
        <v>0</v>
      </c>
      <c r="J74" s="534">
        <f t="shared" si="26"/>
        <v>0</v>
      </c>
      <c r="K74" s="534">
        <f t="shared" si="26"/>
        <v>0</v>
      </c>
      <c r="L74" s="534">
        <f t="shared" si="26"/>
        <v>0</v>
      </c>
      <c r="M74" s="534">
        <f t="shared" si="26"/>
        <v>0</v>
      </c>
      <c r="N74" s="534">
        <f t="shared" si="26"/>
        <v>0</v>
      </c>
      <c r="O74" s="554"/>
      <c r="P74" s="554"/>
      <c r="Q74" s="554"/>
      <c r="R74" s="554"/>
      <c r="S74" s="554"/>
      <c r="T74" s="554"/>
      <c r="U74" s="554"/>
      <c r="V74" s="554"/>
      <c r="W74" s="554"/>
      <c r="X74" s="554"/>
      <c r="Y74" s="2433"/>
      <c r="Z74" s="2440">
        <f t="shared" ref="Z74:AI74" si="27">IF(Z$70&lt;5000,(Z$70+Z$69),IF(Z$70&lt;10000,(10000-Z$70+Z$69),Z$69))</f>
        <v>0</v>
      </c>
      <c r="AA74" s="2441">
        <f t="shared" si="27"/>
        <v>0</v>
      </c>
      <c r="AB74" s="1196">
        <f t="shared" si="27"/>
        <v>0</v>
      </c>
      <c r="AC74" s="1196">
        <f t="shared" si="27"/>
        <v>0</v>
      </c>
      <c r="AD74" s="1196">
        <f t="shared" si="27"/>
        <v>0</v>
      </c>
      <c r="AE74" s="1196">
        <f t="shared" si="27"/>
        <v>0</v>
      </c>
      <c r="AF74" s="1196">
        <f t="shared" si="27"/>
        <v>0</v>
      </c>
      <c r="AG74" s="1196">
        <f t="shared" si="27"/>
        <v>0</v>
      </c>
      <c r="AH74" s="1196">
        <f t="shared" si="27"/>
        <v>0</v>
      </c>
      <c r="AI74" s="1184">
        <f t="shared" si="27"/>
        <v>0</v>
      </c>
    </row>
    <row r="75" spans="1:35" ht="15" hidden="1" customHeight="1">
      <c r="A75" s="485" t="s">
        <v>1579</v>
      </c>
      <c r="B75" s="486"/>
      <c r="C75" s="464"/>
      <c r="D75" s="2323"/>
      <c r="E75" s="556">
        <f t="shared" ref="E75:N75" si="28">(SUM(E41:E44)+E73)/5</f>
        <v>0</v>
      </c>
      <c r="F75" s="556">
        <f t="shared" si="28"/>
        <v>0</v>
      </c>
      <c r="G75" s="556">
        <f t="shared" si="28"/>
        <v>0</v>
      </c>
      <c r="H75" s="556">
        <f t="shared" si="28"/>
        <v>0</v>
      </c>
      <c r="I75" s="556">
        <f t="shared" si="28"/>
        <v>0</v>
      </c>
      <c r="J75" s="556">
        <f t="shared" si="28"/>
        <v>0</v>
      </c>
      <c r="K75" s="556">
        <f>(SUM(K41:K44)+K73)/5</f>
        <v>0</v>
      </c>
      <c r="L75" s="556">
        <f>(SUM(L41:L44)+L73)/5</f>
        <v>0</v>
      </c>
      <c r="M75" s="556">
        <f t="shared" si="28"/>
        <v>0</v>
      </c>
      <c r="N75" s="556">
        <f t="shared" si="28"/>
        <v>0</v>
      </c>
      <c r="O75" s="557"/>
      <c r="P75" s="557"/>
      <c r="Q75" s="557"/>
      <c r="R75" s="557"/>
      <c r="S75" s="557"/>
      <c r="T75" s="557"/>
      <c r="U75" s="557"/>
      <c r="V75" s="557"/>
      <c r="W75" s="557"/>
      <c r="X75" s="557"/>
      <c r="Y75" s="2442"/>
      <c r="Z75" s="2443">
        <f t="shared" ref="Z75:AI75" si="29">(SUM(Z41:Z44)+Z73)/5</f>
        <v>0</v>
      </c>
      <c r="AA75" s="2444">
        <f t="shared" si="29"/>
        <v>0</v>
      </c>
      <c r="AB75" s="556">
        <f t="shared" si="29"/>
        <v>0</v>
      </c>
      <c r="AC75" s="556">
        <f t="shared" si="29"/>
        <v>0</v>
      </c>
      <c r="AD75" s="556">
        <f t="shared" si="29"/>
        <v>0</v>
      </c>
      <c r="AE75" s="556">
        <f t="shared" si="29"/>
        <v>0</v>
      </c>
      <c r="AF75" s="556">
        <f t="shared" si="29"/>
        <v>0</v>
      </c>
      <c r="AG75" s="556">
        <f t="shared" si="29"/>
        <v>0</v>
      </c>
      <c r="AH75" s="556">
        <f t="shared" si="29"/>
        <v>0</v>
      </c>
      <c r="AI75" s="1185">
        <f t="shared" si="29"/>
        <v>0</v>
      </c>
    </row>
    <row r="76" spans="1:35" ht="15.75" customHeight="1">
      <c r="A76" s="483"/>
      <c r="B76" s="464"/>
      <c r="C76" s="464"/>
      <c r="D76" s="488"/>
      <c r="E76" s="558"/>
      <c r="F76" s="558"/>
      <c r="G76" s="558"/>
      <c r="H76" s="558"/>
      <c r="I76" s="558"/>
      <c r="J76" s="558"/>
      <c r="K76" s="558"/>
      <c r="L76" s="558"/>
      <c r="M76" s="558"/>
      <c r="N76" s="558"/>
      <c r="O76" s="2445"/>
      <c r="P76" s="2445"/>
      <c r="Q76" s="2445"/>
      <c r="R76" s="2445"/>
      <c r="S76" s="2445"/>
      <c r="T76" s="2445"/>
      <c r="U76" s="2445"/>
      <c r="V76" s="2445"/>
      <c r="W76" s="2445"/>
      <c r="X76" s="2445"/>
      <c r="Y76" s="2445"/>
      <c r="Z76" s="2446"/>
      <c r="AA76" s="2447"/>
      <c r="AB76" s="558"/>
      <c r="AC76" s="558"/>
      <c r="AD76" s="558"/>
      <c r="AE76" s="558"/>
      <c r="AF76" s="558"/>
      <c r="AG76" s="558"/>
      <c r="AH76" s="558"/>
      <c r="AI76" s="1186"/>
    </row>
    <row r="77" spans="1:35" ht="15" customHeight="1">
      <c r="A77" s="487"/>
      <c r="B77" s="489" t="s">
        <v>1580</v>
      </c>
      <c r="C77" s="464"/>
      <c r="D77" s="482" t="s">
        <v>1581</v>
      </c>
      <c r="E77" s="559">
        <f t="shared" ref="E77:N77" si="30">IF(E$94=0,0,(E$130/E$94))</f>
        <v>0</v>
      </c>
      <c r="F77" s="559">
        <f t="shared" si="30"/>
        <v>0</v>
      </c>
      <c r="G77" s="559">
        <f t="shared" si="30"/>
        <v>0</v>
      </c>
      <c r="H77" s="559">
        <f t="shared" si="30"/>
        <v>0</v>
      </c>
      <c r="I77" s="559">
        <f t="shared" si="30"/>
        <v>0</v>
      </c>
      <c r="J77" s="559">
        <f t="shared" si="30"/>
        <v>0</v>
      </c>
      <c r="K77" s="559">
        <f t="shared" si="30"/>
        <v>0</v>
      </c>
      <c r="L77" s="559">
        <f t="shared" si="30"/>
        <v>0</v>
      </c>
      <c r="M77" s="559">
        <f t="shared" si="30"/>
        <v>0</v>
      </c>
      <c r="N77" s="559">
        <f t="shared" si="30"/>
        <v>0</v>
      </c>
      <c r="O77" s="559" t="e">
        <f>+O123</f>
        <v>#N/A</v>
      </c>
      <c r="P77" s="559" t="e">
        <f>+P123</f>
        <v>#N/A</v>
      </c>
      <c r="Q77" s="559" t="e">
        <f t="shared" ref="Q77:X77" si="31">+Q123</f>
        <v>#N/A</v>
      </c>
      <c r="R77" s="559" t="e">
        <f t="shared" si="31"/>
        <v>#N/A</v>
      </c>
      <c r="S77" s="559" t="e">
        <f t="shared" si="31"/>
        <v>#N/A</v>
      </c>
      <c r="T77" s="559" t="e">
        <f t="shared" si="31"/>
        <v>#N/A</v>
      </c>
      <c r="U77" s="559" t="e">
        <f t="shared" si="31"/>
        <v>#N/A</v>
      </c>
      <c r="V77" s="559" t="e">
        <f t="shared" si="31"/>
        <v>#N/A</v>
      </c>
      <c r="W77" s="559" t="e">
        <f t="shared" si="31"/>
        <v>#N/A</v>
      </c>
      <c r="X77" s="559" t="e">
        <f t="shared" si="31"/>
        <v>#N/A</v>
      </c>
      <c r="Y77" s="560">
        <f>'Standard Thresholds'!D16</f>
        <v>0.15</v>
      </c>
      <c r="Z77" s="2448">
        <v>0</v>
      </c>
      <c r="AA77" s="2449">
        <v>0</v>
      </c>
      <c r="AB77" s="559">
        <v>0</v>
      </c>
      <c r="AC77" s="559">
        <v>0</v>
      </c>
      <c r="AD77" s="559">
        <v>0</v>
      </c>
      <c r="AE77" s="559">
        <v>0</v>
      </c>
      <c r="AF77" s="559">
        <v>0</v>
      </c>
      <c r="AG77" s="559">
        <v>0</v>
      </c>
      <c r="AH77" s="559">
        <v>0</v>
      </c>
      <c r="AI77" s="1187">
        <v>0</v>
      </c>
    </row>
    <row r="78" spans="1:35" ht="15" hidden="1" customHeight="1">
      <c r="A78" s="487"/>
      <c r="B78" s="2325"/>
      <c r="C78" s="494"/>
      <c r="D78" s="2324"/>
      <c r="E78" s="547">
        <f>IF(E79=0,0,E79/E80)</f>
        <v>0</v>
      </c>
      <c r="F78" s="547">
        <f t="shared" ref="F78:N78" si="32">IF(F79=0,0,F79/F80)</f>
        <v>0</v>
      </c>
      <c r="G78" s="547">
        <f t="shared" si="32"/>
        <v>0</v>
      </c>
      <c r="H78" s="547">
        <f t="shared" si="32"/>
        <v>0</v>
      </c>
      <c r="I78" s="547">
        <f t="shared" si="32"/>
        <v>0</v>
      </c>
      <c r="J78" s="547">
        <f t="shared" si="32"/>
        <v>0</v>
      </c>
      <c r="K78" s="547">
        <f>IF(K79=0,0,K79/K80)</f>
        <v>0</v>
      </c>
      <c r="L78" s="547">
        <f>IF(L79=0,0,L79/L80)</f>
        <v>0</v>
      </c>
      <c r="M78" s="547">
        <f t="shared" si="32"/>
        <v>0</v>
      </c>
      <c r="N78" s="547">
        <f t="shared" si="32"/>
        <v>0</v>
      </c>
      <c r="O78" s="547">
        <v>0.3</v>
      </c>
      <c r="P78" s="547">
        <v>0.3</v>
      </c>
      <c r="Q78" s="547">
        <v>0.3</v>
      </c>
      <c r="R78" s="547">
        <v>0.3</v>
      </c>
      <c r="S78" s="547">
        <v>0.3</v>
      </c>
      <c r="T78" s="547">
        <v>0.3</v>
      </c>
      <c r="U78" s="547">
        <v>0.3</v>
      </c>
      <c r="V78" s="547">
        <v>0.3</v>
      </c>
      <c r="W78" s="547">
        <v>0.3</v>
      </c>
      <c r="X78" s="547">
        <v>0.3</v>
      </c>
      <c r="Y78" s="561">
        <v>0.15</v>
      </c>
      <c r="Z78" s="2450">
        <f t="shared" ref="Z78:AI78" si="33">IF(Z79=0,0,Z79/Z80)</f>
        <v>0</v>
      </c>
      <c r="AA78" s="2451">
        <f t="shared" si="33"/>
        <v>0</v>
      </c>
      <c r="AB78" s="561">
        <f t="shared" si="33"/>
        <v>0</v>
      </c>
      <c r="AC78" s="561">
        <f t="shared" si="33"/>
        <v>0</v>
      </c>
      <c r="AD78" s="561">
        <f t="shared" si="33"/>
        <v>0</v>
      </c>
      <c r="AE78" s="561">
        <f t="shared" si="33"/>
        <v>0</v>
      </c>
      <c r="AF78" s="561">
        <f t="shared" si="33"/>
        <v>0</v>
      </c>
      <c r="AG78" s="561">
        <f t="shared" si="33"/>
        <v>0</v>
      </c>
      <c r="AH78" s="561">
        <f t="shared" si="33"/>
        <v>0</v>
      </c>
      <c r="AI78" s="1188">
        <f t="shared" si="33"/>
        <v>0</v>
      </c>
    </row>
    <row r="79" spans="1:35" ht="15" hidden="1" customHeight="1">
      <c r="A79" s="487"/>
      <c r="B79" s="464"/>
      <c r="C79" s="464"/>
      <c r="D79" s="2320"/>
      <c r="E79" s="525">
        <f>IF(E80&lt;'Standard Thresholds'!$A$9,0,IF(E80&lt;('Standard Thresholds'!$A$10+1),((E80-'Standard Thresholds'!$A$9)*'Standard Thresholds'!$D$9),IF(E80&lt;('Standard Thresholds'!$A$11+1),((E80-'Standard Thresholds'!$A$10)*'Standard Thresholds'!$D$10+'Standard Thresholds'!$C$10),IF(E80&lt;('Standard Thresholds'!$A$12+1),((E80-'Standard Thresholds'!$A$11)*'Standard Thresholds'!$D$11+'Standard Thresholds'!$C$11),IF(E80&gt;'Standard Thresholds'!$A$12,((E80-'Standard Thresholds'!$A$12)*'Standard Thresholds'!$D$12+'Standard Thresholds'!$C$12))))))</f>
        <v>0</v>
      </c>
      <c r="F79" s="525">
        <f>IF(F80&lt;'Standard Thresholds'!$A$9,0,IF(F80&lt;('Standard Thresholds'!$A$10+1),((F80-'Standard Thresholds'!$A$9)*'Standard Thresholds'!$D$9),IF(F80&lt;('Standard Thresholds'!$A$11+1),((F80-'Standard Thresholds'!$A$10)*'Standard Thresholds'!$D$10+'Standard Thresholds'!$C$10),IF(F80&lt;('Standard Thresholds'!$A$12+1),((F80-'Standard Thresholds'!$A$11)*'Standard Thresholds'!$D$11+'Standard Thresholds'!$C$11),IF(F80&gt;'Standard Thresholds'!$A$12,((F80-'Standard Thresholds'!$A$12)*'Standard Thresholds'!$D$12+'Standard Thresholds'!$C$12))))))</f>
        <v>0</v>
      </c>
      <c r="G79" s="525">
        <f>IF(G80&lt;'Standard Thresholds'!$A$9,0,IF(G80&lt;('Standard Thresholds'!$A$10+1),((G80-'Standard Thresholds'!$A$9)*'Standard Thresholds'!$D$9),IF(G80&lt;('Standard Thresholds'!$A$11+1),((G80-'Standard Thresholds'!$A$10)*'Standard Thresholds'!$D$10+'Standard Thresholds'!$C$10),IF(G80&lt;('Standard Thresholds'!$A$12+1),((G80-'Standard Thresholds'!$A$11)*'Standard Thresholds'!$D$11+'Standard Thresholds'!$C$11),IF(G80&gt;'Standard Thresholds'!$A$12,((G80-'Standard Thresholds'!$A$12)*'Standard Thresholds'!$D$12+'Standard Thresholds'!$C$12))))))</f>
        <v>0</v>
      </c>
      <c r="H79" s="525">
        <f>IF(H80&lt;'Standard Thresholds'!$A$9,0,IF(H80&lt;('Standard Thresholds'!$A$10+1),((H80-'Standard Thresholds'!$A$9)*'Standard Thresholds'!$D$9),IF(H80&lt;('Standard Thresholds'!$A$11+1),((H80-'Standard Thresholds'!$A$10)*'Standard Thresholds'!$D$10+'Standard Thresholds'!$C$10),IF(H80&lt;('Standard Thresholds'!$A$12+1),((H80-'Standard Thresholds'!$A$11)*'Standard Thresholds'!$D$11+'Standard Thresholds'!$C$11),IF(H80&gt;'Standard Thresholds'!$A$12,((H80-'Standard Thresholds'!$A$12)*'Standard Thresholds'!$D$12+'Standard Thresholds'!$C$12))))))</f>
        <v>0</v>
      </c>
      <c r="I79" s="525">
        <f>IF(I80&lt;'Standard Thresholds'!$A$9,0,IF(I80&lt;('Standard Thresholds'!$A$10+1),((I80-'Standard Thresholds'!$A$9)*'Standard Thresholds'!$D$9),IF(I80&lt;('Standard Thresholds'!$A$11+1),((I80-'Standard Thresholds'!$A$10)*'Standard Thresholds'!$D$10+'Standard Thresholds'!$C$10),IF(I80&lt;('Standard Thresholds'!$A$12+1),((I80-'Standard Thresholds'!$A$11)*'Standard Thresholds'!$D$11+'Standard Thresholds'!$C$11),IF(I80&gt;'Standard Thresholds'!$A$12,((I80-'Standard Thresholds'!$A$12)*'Standard Thresholds'!$D$12+'Standard Thresholds'!$C$12))))))</f>
        <v>0</v>
      </c>
      <c r="J79" s="525">
        <f>IF(J80&lt;'Standard Thresholds'!$A$9,0,IF(J80&lt;('Standard Thresholds'!$A$10+1),((J80-'Standard Thresholds'!$A$9)*'Standard Thresholds'!$D$9),IF(J80&lt;('Standard Thresholds'!$A$11+1),((J80-'Standard Thresholds'!$A$10)*'Standard Thresholds'!$D$10+'Standard Thresholds'!$C$10),IF(J80&lt;('Standard Thresholds'!$A$12+1),((J80-'Standard Thresholds'!$A$11)*'Standard Thresholds'!$D$11+'Standard Thresholds'!$C$11),IF(J80&gt;'Standard Thresholds'!$A$12,((J80-'Standard Thresholds'!$A$12)*'Standard Thresholds'!$D$12+'Standard Thresholds'!$C$12))))))</f>
        <v>0</v>
      </c>
      <c r="K79" s="525">
        <f>IF(K80&lt;'Standard Thresholds'!$A$9,0,IF(K80&lt;('Standard Thresholds'!$A$10+1),((K80-'Standard Thresholds'!$A$9)*'Standard Thresholds'!$D$9),IF(K80&lt;('Standard Thresholds'!$A$11+1),((K80-'Standard Thresholds'!$A$10)*'Standard Thresholds'!$D$10+'Standard Thresholds'!$C$10),IF(K80&lt;('Standard Thresholds'!$A$12+1),((K80-'Standard Thresholds'!$A$11)*'Standard Thresholds'!$D$11+'Standard Thresholds'!$C$11),IF(K80&gt;'Standard Thresholds'!$A$12,((K80-'Standard Thresholds'!$A$12)*'Standard Thresholds'!$D$12+'Standard Thresholds'!$C$12))))))</f>
        <v>0</v>
      </c>
      <c r="L79" s="525">
        <f>IF(L80&lt;'Standard Thresholds'!$A$9,0,IF(L80&lt;('Standard Thresholds'!$A$10+1),((L80-'Standard Thresholds'!$A$9)*'Standard Thresholds'!$D$9),IF(L80&lt;('Standard Thresholds'!$A$11+1),((L80-'Standard Thresholds'!$A$10)*'Standard Thresholds'!$D$10+'Standard Thresholds'!$C$10),IF(L80&lt;('Standard Thresholds'!$A$12+1),((L80-'Standard Thresholds'!$A$11)*'Standard Thresholds'!$D$11+'Standard Thresholds'!$C$11),IF(L80&gt;'Standard Thresholds'!$A$12,((L80-'Standard Thresholds'!$A$12)*'Standard Thresholds'!$D$12+'Standard Thresholds'!$C$12))))))</f>
        <v>0</v>
      </c>
      <c r="M79" s="525">
        <f>IF(M80&lt;'Standard Thresholds'!$A$9,0,IF(M80&lt;('Standard Thresholds'!$A$10+1),((M80-'Standard Thresholds'!$A$9)*'Standard Thresholds'!$D$9),IF(M80&lt;('Standard Thresholds'!$A$11+1),((M80-'Standard Thresholds'!$A$10)*'Standard Thresholds'!$D$10+'Standard Thresholds'!$C$10),IF(M80&lt;('Standard Thresholds'!$A$12+1),((M80-'Standard Thresholds'!$A$11)*'Standard Thresholds'!$D$11+'Standard Thresholds'!$C$11),IF(M80&gt;'Standard Thresholds'!$A$12,((M80-'Standard Thresholds'!$A$12)*'Standard Thresholds'!$D$12+'Standard Thresholds'!$C$12))))))</f>
        <v>0</v>
      </c>
      <c r="N79" s="525">
        <f>IF(N80&lt;'Standard Thresholds'!$A$9,0,IF(N80&lt;('Standard Thresholds'!$A$10+1),((N80-'Standard Thresholds'!$A$9)*'Standard Thresholds'!$D$9),IF(N80&lt;('Standard Thresholds'!$A$11+1),((N80-'Standard Thresholds'!$A$10)*'Standard Thresholds'!$D$10+'Standard Thresholds'!$C$10),IF(N80&lt;('Standard Thresholds'!$A$12+1),((N80-'Standard Thresholds'!$A$11)*'Standard Thresholds'!$D$11+'Standard Thresholds'!$C$11),IF(N80&gt;'Standard Thresholds'!$A$12,((N80-'Standard Thresholds'!$A$12)*'Standard Thresholds'!$D$12+'Standard Thresholds'!$C$12))))))</f>
        <v>0</v>
      </c>
      <c r="O79" s="2452"/>
      <c r="P79" s="2452"/>
      <c r="Q79" s="2452"/>
      <c r="R79" s="2452"/>
      <c r="S79" s="2452"/>
      <c r="T79" s="2452"/>
      <c r="U79" s="2452"/>
      <c r="V79" s="2452"/>
      <c r="W79" s="2452"/>
      <c r="X79" s="2452"/>
      <c r="Y79" s="2452"/>
      <c r="Z79" s="2453"/>
      <c r="AA79" s="540"/>
      <c r="AB79" s="2452"/>
      <c r="AC79" s="2452"/>
      <c r="AD79" s="2452"/>
      <c r="AE79" s="2452"/>
      <c r="AF79" s="2452"/>
      <c r="AG79" s="2452"/>
      <c r="AH79" s="2452"/>
      <c r="AI79" s="541"/>
    </row>
    <row r="80" spans="1:35" ht="15" hidden="1" customHeight="1">
      <c r="A80" s="487"/>
      <c r="B80" s="464"/>
      <c r="C80" s="464"/>
      <c r="D80" s="2321"/>
      <c r="E80" s="526">
        <f t="shared" ref="E80:N80" si="34">IF(E$44="n",0,IF(E$43="n",(E$44+E$95)/(1+E$50),IF(E$42="n",(E$43+E$44+E$95)/(1+E$50),IF(E$41="n",(E$42+E$43+E$44+E$95)/(1+E$50),(E$41+E$42+E$43+E$44+E$95)/(1+E$50)))))</f>
        <v>0</v>
      </c>
      <c r="F80" s="526">
        <f t="shared" si="34"/>
        <v>0</v>
      </c>
      <c r="G80" s="526">
        <f t="shared" si="34"/>
        <v>0</v>
      </c>
      <c r="H80" s="526">
        <f t="shared" si="34"/>
        <v>0</v>
      </c>
      <c r="I80" s="526">
        <f t="shared" si="34"/>
        <v>0</v>
      </c>
      <c r="J80" s="526">
        <f t="shared" si="34"/>
        <v>0</v>
      </c>
      <c r="K80" s="526">
        <f t="shared" si="34"/>
        <v>0</v>
      </c>
      <c r="L80" s="526">
        <f t="shared" si="34"/>
        <v>0</v>
      </c>
      <c r="M80" s="526">
        <f t="shared" si="34"/>
        <v>0</v>
      </c>
      <c r="N80" s="526">
        <f t="shared" si="34"/>
        <v>0</v>
      </c>
      <c r="O80" s="2061"/>
      <c r="P80" s="2061"/>
      <c r="Q80" s="2061"/>
      <c r="R80" s="2061"/>
      <c r="S80" s="2061"/>
      <c r="T80" s="2061"/>
      <c r="U80" s="2061"/>
      <c r="V80" s="2061"/>
      <c r="W80" s="2061"/>
      <c r="X80" s="2061"/>
      <c r="Y80" s="2061"/>
      <c r="Z80" s="2454"/>
      <c r="AA80" s="544"/>
      <c r="AB80" s="2061"/>
      <c r="AC80" s="2061"/>
      <c r="AD80" s="2061"/>
      <c r="AE80" s="2061"/>
      <c r="AF80" s="2061"/>
      <c r="AG80" s="2061"/>
      <c r="AH80" s="2061"/>
      <c r="AI80" s="545"/>
    </row>
    <row r="81" spans="1:35" ht="15.75" hidden="1" customHeight="1">
      <c r="A81" s="487"/>
      <c r="B81" s="464"/>
      <c r="C81" s="464"/>
      <c r="D81" s="2318"/>
      <c r="E81" s="558"/>
      <c r="F81" s="558"/>
      <c r="G81" s="558"/>
      <c r="H81" s="558"/>
      <c r="I81" s="558"/>
      <c r="J81" s="558"/>
      <c r="K81" s="558"/>
      <c r="L81" s="558"/>
      <c r="M81" s="558"/>
      <c r="N81" s="558"/>
      <c r="O81" s="2445"/>
      <c r="P81" s="2445"/>
      <c r="Q81" s="2445"/>
      <c r="R81" s="2445"/>
      <c r="S81" s="2445"/>
      <c r="T81" s="2445"/>
      <c r="U81" s="2445"/>
      <c r="V81" s="2445"/>
      <c r="W81" s="2445"/>
      <c r="X81" s="2445"/>
      <c r="Y81" s="2445"/>
      <c r="Z81" s="2446"/>
      <c r="AA81" s="2455"/>
      <c r="AB81" s="2445"/>
      <c r="AC81" s="2445"/>
      <c r="AD81" s="2445"/>
      <c r="AE81" s="2445"/>
      <c r="AF81" s="2445"/>
      <c r="AG81" s="2445"/>
      <c r="AH81" s="2445"/>
      <c r="AI81" s="1186"/>
    </row>
    <row r="82" spans="1:35" ht="15.75" customHeight="1">
      <c r="A82" s="487"/>
      <c r="B82" s="476"/>
      <c r="C82" s="477"/>
      <c r="D82" s="495" t="s">
        <v>203</v>
      </c>
      <c r="E82" s="1107"/>
      <c r="F82" s="1107"/>
      <c r="G82" s="1107"/>
      <c r="H82" s="1107"/>
      <c r="I82" s="1107"/>
      <c r="J82" s="1107"/>
      <c r="K82" s="1107"/>
      <c r="L82" s="1107"/>
      <c r="M82" s="1107"/>
      <c r="N82" s="1107"/>
      <c r="O82" s="544"/>
      <c r="P82" s="544"/>
      <c r="Q82" s="544"/>
      <c r="R82" s="544"/>
      <c r="S82" s="544"/>
      <c r="T82" s="544"/>
      <c r="U82" s="544"/>
      <c r="V82" s="544"/>
      <c r="W82" s="544"/>
      <c r="X82" s="544"/>
      <c r="Y82" s="2061"/>
      <c r="Z82" s="2454"/>
      <c r="AA82" s="544"/>
      <c r="AB82" s="2061"/>
      <c r="AC82" s="2061"/>
      <c r="AD82" s="2061"/>
      <c r="AE82" s="2061"/>
      <c r="AF82" s="2061"/>
      <c r="AG82" s="2061"/>
      <c r="AH82" s="2061"/>
      <c r="AI82" s="545"/>
    </row>
    <row r="83" spans="1:35" ht="15" customHeight="1">
      <c r="A83" s="487" t="s">
        <v>1582</v>
      </c>
      <c r="B83" s="2048">
        <f>SUM(E83:AI83)</f>
        <v>0</v>
      </c>
      <c r="C83" s="477"/>
      <c r="D83" s="504" t="s">
        <v>13</v>
      </c>
      <c r="E83" s="2005">
        <v>0</v>
      </c>
      <c r="F83" s="2005">
        <v>0</v>
      </c>
      <c r="G83" s="2005">
        <v>0</v>
      </c>
      <c r="H83" s="2005">
        <v>0</v>
      </c>
      <c r="I83" s="2005">
        <v>0</v>
      </c>
      <c r="J83" s="2005">
        <v>0</v>
      </c>
      <c r="K83" s="2005">
        <v>0</v>
      </c>
      <c r="L83" s="2005">
        <v>0</v>
      </c>
      <c r="M83" s="2005">
        <v>0</v>
      </c>
      <c r="N83" s="2005">
        <v>0</v>
      </c>
      <c r="O83" s="2452"/>
      <c r="P83" s="2452"/>
      <c r="Q83" s="2452"/>
      <c r="R83" s="2452"/>
      <c r="S83" s="2452"/>
      <c r="T83" s="2452"/>
      <c r="U83" s="2452"/>
      <c r="V83" s="2452"/>
      <c r="W83" s="2452"/>
      <c r="X83" s="2452"/>
      <c r="Y83" s="2452"/>
      <c r="Z83" s="2453"/>
      <c r="AA83" s="540"/>
      <c r="AB83" s="2452"/>
      <c r="AC83" s="2452"/>
      <c r="AD83" s="2452"/>
      <c r="AE83" s="2452"/>
      <c r="AF83" s="2452"/>
      <c r="AG83" s="2452"/>
      <c r="AH83" s="2452"/>
      <c r="AI83" s="541"/>
    </row>
    <row r="84" spans="1:35" ht="15" customHeight="1">
      <c r="A84" s="487" t="s">
        <v>1530</v>
      </c>
      <c r="B84" s="2049">
        <f>SUM(E84:N84)</f>
        <v>0</v>
      </c>
      <c r="C84" s="477"/>
      <c r="D84" s="504" t="s">
        <v>2227</v>
      </c>
      <c r="E84" s="2005">
        <v>0</v>
      </c>
      <c r="F84" s="2005">
        <v>0</v>
      </c>
      <c r="G84" s="2005">
        <v>0</v>
      </c>
      <c r="H84" s="2005">
        <v>0</v>
      </c>
      <c r="I84" s="2005">
        <v>0</v>
      </c>
      <c r="J84" s="2005">
        <v>0</v>
      </c>
      <c r="K84" s="2005">
        <v>0</v>
      </c>
      <c r="L84" s="2005">
        <v>0</v>
      </c>
      <c r="M84" s="2005">
        <v>0</v>
      </c>
      <c r="N84" s="2005">
        <v>0</v>
      </c>
      <c r="O84" s="562"/>
      <c r="P84" s="562"/>
      <c r="Q84" s="562"/>
      <c r="R84" s="562"/>
      <c r="S84" s="562"/>
      <c r="T84" s="562"/>
      <c r="U84" s="562"/>
      <c r="V84" s="562"/>
      <c r="W84" s="562"/>
      <c r="X84" s="562"/>
      <c r="Y84" s="562"/>
      <c r="Z84" s="2456"/>
      <c r="AA84" s="2457"/>
      <c r="AB84" s="562"/>
      <c r="AC84" s="562"/>
      <c r="AD84" s="562"/>
      <c r="AE84" s="562"/>
      <c r="AF84" s="562"/>
      <c r="AG84" s="562"/>
      <c r="AH84" s="562"/>
      <c r="AI84" s="1189"/>
    </row>
    <row r="85" spans="1:35" ht="15" hidden="1" customHeight="1">
      <c r="A85" s="483"/>
      <c r="B85" s="678"/>
      <c r="C85" s="678"/>
      <c r="D85" s="488" t="s">
        <v>1532</v>
      </c>
      <c r="E85" s="2005">
        <v>0</v>
      </c>
      <c r="F85" s="2005">
        <v>0</v>
      </c>
      <c r="G85" s="2005">
        <v>0</v>
      </c>
      <c r="H85" s="2005">
        <v>0</v>
      </c>
      <c r="I85" s="2005">
        <v>0</v>
      </c>
      <c r="J85" s="2005">
        <v>0</v>
      </c>
      <c r="K85" s="2005">
        <v>0</v>
      </c>
      <c r="L85" s="2005">
        <v>0</v>
      </c>
      <c r="M85" s="2005">
        <v>0</v>
      </c>
      <c r="N85" s="2005">
        <v>0</v>
      </c>
      <c r="O85" s="2316">
        <v>0</v>
      </c>
      <c r="P85" s="2316">
        <v>0</v>
      </c>
      <c r="Q85" s="2316">
        <v>0</v>
      </c>
      <c r="R85" s="2316">
        <v>0</v>
      </c>
      <c r="S85" s="2316">
        <v>0</v>
      </c>
      <c r="T85" s="2316">
        <v>0</v>
      </c>
      <c r="U85" s="2316">
        <v>0</v>
      </c>
      <c r="V85" s="2316">
        <v>0</v>
      </c>
      <c r="W85" s="2316">
        <v>0</v>
      </c>
      <c r="X85" s="2316">
        <v>0</v>
      </c>
      <c r="Y85" s="2316">
        <v>0</v>
      </c>
      <c r="Z85" s="2458">
        <v>0</v>
      </c>
      <c r="AA85" s="2459">
        <v>0</v>
      </c>
      <c r="AB85" s="2316">
        <v>0</v>
      </c>
      <c r="AC85" s="2316">
        <v>0</v>
      </c>
      <c r="AD85" s="2316">
        <v>0</v>
      </c>
      <c r="AE85" s="2316">
        <v>0</v>
      </c>
      <c r="AF85" s="2316">
        <v>0</v>
      </c>
      <c r="AG85" s="2316">
        <v>0</v>
      </c>
      <c r="AH85" s="2316">
        <v>0</v>
      </c>
      <c r="AI85" s="2458">
        <v>0</v>
      </c>
    </row>
    <row r="86" spans="1:35" ht="15" hidden="1" customHeight="1">
      <c r="A86" s="483"/>
      <c r="B86" s="464"/>
      <c r="C86" s="477"/>
      <c r="D86" s="488" t="s">
        <v>1532</v>
      </c>
      <c r="E86" s="2005">
        <v>0</v>
      </c>
      <c r="F86" s="2005">
        <v>0</v>
      </c>
      <c r="G86" s="2005">
        <v>0</v>
      </c>
      <c r="H86" s="2005">
        <v>0</v>
      </c>
      <c r="I86" s="2005">
        <v>0</v>
      </c>
      <c r="J86" s="2005">
        <v>0</v>
      </c>
      <c r="K86" s="2005">
        <v>0</v>
      </c>
      <c r="L86" s="2005">
        <v>0</v>
      </c>
      <c r="M86" s="2005">
        <v>0</v>
      </c>
      <c r="N86" s="2005">
        <v>0</v>
      </c>
      <c r="O86" s="2005">
        <v>0</v>
      </c>
      <c r="P86" s="2005">
        <v>0</v>
      </c>
      <c r="Q86" s="2005">
        <v>0</v>
      </c>
      <c r="R86" s="2005">
        <v>0</v>
      </c>
      <c r="S86" s="2005">
        <v>0</v>
      </c>
      <c r="T86" s="2005">
        <v>0</v>
      </c>
      <c r="U86" s="2005">
        <v>0</v>
      </c>
      <c r="V86" s="2005">
        <v>0</v>
      </c>
      <c r="W86" s="2005">
        <v>0</v>
      </c>
      <c r="X86" s="2005">
        <v>0</v>
      </c>
      <c r="Y86" s="2005">
        <v>0</v>
      </c>
      <c r="Z86" s="2421">
        <v>0</v>
      </c>
      <c r="AA86" s="2306">
        <v>0</v>
      </c>
      <c r="AB86" s="2005">
        <v>0</v>
      </c>
      <c r="AC86" s="2005">
        <v>0</v>
      </c>
      <c r="AD86" s="2005">
        <v>0</v>
      </c>
      <c r="AE86" s="2005">
        <v>0</v>
      </c>
      <c r="AF86" s="2005">
        <v>0</v>
      </c>
      <c r="AG86" s="2005">
        <v>0</v>
      </c>
      <c r="AH86" s="2005">
        <v>0</v>
      </c>
      <c r="AI86" s="2421">
        <v>0</v>
      </c>
    </row>
    <row r="87" spans="1:35" ht="15" hidden="1" customHeight="1">
      <c r="A87" s="483"/>
      <c r="B87" s="464"/>
      <c r="C87" s="477"/>
      <c r="D87" s="488" t="s">
        <v>1532</v>
      </c>
      <c r="E87" s="2005">
        <v>0</v>
      </c>
      <c r="F87" s="2005">
        <v>0</v>
      </c>
      <c r="G87" s="2005">
        <v>0</v>
      </c>
      <c r="H87" s="2005">
        <v>0</v>
      </c>
      <c r="I87" s="2005">
        <v>0</v>
      </c>
      <c r="J87" s="2005">
        <v>0</v>
      </c>
      <c r="K87" s="2005">
        <v>0</v>
      </c>
      <c r="L87" s="2005">
        <v>0</v>
      </c>
      <c r="M87" s="2005">
        <v>0</v>
      </c>
      <c r="N87" s="2005">
        <v>0</v>
      </c>
      <c r="O87" s="2005">
        <v>0</v>
      </c>
      <c r="P87" s="2005">
        <v>0</v>
      </c>
      <c r="Q87" s="2005">
        <v>0</v>
      </c>
      <c r="R87" s="2005">
        <v>0</v>
      </c>
      <c r="S87" s="2005">
        <v>0</v>
      </c>
      <c r="T87" s="2005">
        <v>0</v>
      </c>
      <c r="U87" s="2005">
        <v>0</v>
      </c>
      <c r="V87" s="2005">
        <v>0</v>
      </c>
      <c r="W87" s="2005">
        <v>0</v>
      </c>
      <c r="X87" s="2005">
        <v>0</v>
      </c>
      <c r="Y87" s="2005">
        <v>0</v>
      </c>
      <c r="Z87" s="2421">
        <v>0</v>
      </c>
      <c r="AA87" s="2306">
        <v>0</v>
      </c>
      <c r="AB87" s="2005">
        <v>0</v>
      </c>
      <c r="AC87" s="2005">
        <v>0</v>
      </c>
      <c r="AD87" s="2005">
        <v>0</v>
      </c>
      <c r="AE87" s="2005">
        <v>0</v>
      </c>
      <c r="AF87" s="2005">
        <v>0</v>
      </c>
      <c r="AG87" s="2005">
        <v>0</v>
      </c>
      <c r="AH87" s="2005">
        <v>0</v>
      </c>
      <c r="AI87" s="2421">
        <v>0</v>
      </c>
    </row>
    <row r="88" spans="1:35" ht="15" hidden="1" customHeight="1">
      <c r="A88" s="483"/>
      <c r="B88" s="464"/>
      <c r="C88" s="477"/>
      <c r="D88" s="488" t="s">
        <v>1532</v>
      </c>
      <c r="E88" s="2005">
        <v>0</v>
      </c>
      <c r="F88" s="2005">
        <v>0</v>
      </c>
      <c r="G88" s="2005">
        <v>0</v>
      </c>
      <c r="H88" s="2005">
        <v>0</v>
      </c>
      <c r="I88" s="2005">
        <v>0</v>
      </c>
      <c r="J88" s="2005">
        <v>0</v>
      </c>
      <c r="K88" s="2005">
        <v>0</v>
      </c>
      <c r="L88" s="2005">
        <v>0</v>
      </c>
      <c r="M88" s="2005">
        <v>0</v>
      </c>
      <c r="N88" s="2005">
        <v>0</v>
      </c>
      <c r="O88" s="2005">
        <v>0</v>
      </c>
      <c r="P88" s="2005">
        <v>0</v>
      </c>
      <c r="Q88" s="2005">
        <v>0</v>
      </c>
      <c r="R88" s="2005">
        <v>0</v>
      </c>
      <c r="S88" s="2005">
        <v>0</v>
      </c>
      <c r="T88" s="2005">
        <v>0</v>
      </c>
      <c r="U88" s="2005">
        <v>0</v>
      </c>
      <c r="V88" s="2005">
        <v>0</v>
      </c>
      <c r="W88" s="2005">
        <v>0</v>
      </c>
      <c r="X88" s="2005">
        <v>0</v>
      </c>
      <c r="Y88" s="2005">
        <v>0</v>
      </c>
      <c r="Z88" s="2421">
        <v>0</v>
      </c>
      <c r="AA88" s="2306">
        <v>0</v>
      </c>
      <c r="AB88" s="2005">
        <v>0</v>
      </c>
      <c r="AC88" s="2005">
        <v>0</v>
      </c>
      <c r="AD88" s="2005">
        <v>0</v>
      </c>
      <c r="AE88" s="2005">
        <v>0</v>
      </c>
      <c r="AF88" s="2005">
        <v>0</v>
      </c>
      <c r="AG88" s="2005">
        <v>0</v>
      </c>
      <c r="AH88" s="2005">
        <v>0</v>
      </c>
      <c r="AI88" s="2421">
        <v>0</v>
      </c>
    </row>
    <row r="89" spans="1:35" ht="15" hidden="1" customHeight="1">
      <c r="A89" s="483"/>
      <c r="B89" s="464"/>
      <c r="C89" s="477"/>
      <c r="D89" s="488" t="s">
        <v>1532</v>
      </c>
      <c r="E89" s="2005">
        <v>0</v>
      </c>
      <c r="F89" s="2005">
        <v>0</v>
      </c>
      <c r="G89" s="2005">
        <v>0</v>
      </c>
      <c r="H89" s="2005">
        <v>0</v>
      </c>
      <c r="I89" s="2005">
        <v>0</v>
      </c>
      <c r="J89" s="2005">
        <v>0</v>
      </c>
      <c r="K89" s="2005">
        <v>0</v>
      </c>
      <c r="L89" s="2005">
        <v>0</v>
      </c>
      <c r="M89" s="2005">
        <v>0</v>
      </c>
      <c r="N89" s="2005">
        <v>0</v>
      </c>
      <c r="O89" s="2005">
        <v>0</v>
      </c>
      <c r="P89" s="2005">
        <v>0</v>
      </c>
      <c r="Q89" s="2005">
        <v>0</v>
      </c>
      <c r="R89" s="2005">
        <v>0</v>
      </c>
      <c r="S89" s="2005">
        <v>0</v>
      </c>
      <c r="T89" s="2005">
        <v>0</v>
      </c>
      <c r="U89" s="2005">
        <v>0</v>
      </c>
      <c r="V89" s="2005">
        <v>0</v>
      </c>
      <c r="W89" s="2005">
        <v>0</v>
      </c>
      <c r="X89" s="2005">
        <v>0</v>
      </c>
      <c r="Y89" s="2005">
        <v>0</v>
      </c>
      <c r="Z89" s="2421">
        <v>0</v>
      </c>
      <c r="AA89" s="2306">
        <v>0</v>
      </c>
      <c r="AB89" s="2005">
        <v>0</v>
      </c>
      <c r="AC89" s="2005">
        <v>0</v>
      </c>
      <c r="AD89" s="2005">
        <v>0</v>
      </c>
      <c r="AE89" s="2005">
        <v>0</v>
      </c>
      <c r="AF89" s="2005">
        <v>0</v>
      </c>
      <c r="AG89" s="2005">
        <v>0</v>
      </c>
      <c r="AH89" s="2005">
        <v>0</v>
      </c>
      <c r="AI89" s="2421">
        <v>0</v>
      </c>
    </row>
    <row r="90" spans="1:35" ht="15" hidden="1" customHeight="1">
      <c r="A90" s="483"/>
      <c r="B90" s="464"/>
      <c r="C90" s="477"/>
      <c r="D90" s="488" t="s">
        <v>1532</v>
      </c>
      <c r="E90" s="2005">
        <v>0</v>
      </c>
      <c r="F90" s="2005">
        <v>0</v>
      </c>
      <c r="G90" s="2005">
        <v>0</v>
      </c>
      <c r="H90" s="2005">
        <v>0</v>
      </c>
      <c r="I90" s="2005">
        <v>0</v>
      </c>
      <c r="J90" s="2005">
        <v>0</v>
      </c>
      <c r="K90" s="2005">
        <v>0</v>
      </c>
      <c r="L90" s="2005">
        <v>0</v>
      </c>
      <c r="M90" s="2005">
        <v>0</v>
      </c>
      <c r="N90" s="2005">
        <v>0</v>
      </c>
      <c r="O90" s="2005">
        <v>0</v>
      </c>
      <c r="P90" s="2005">
        <v>0</v>
      </c>
      <c r="Q90" s="2005">
        <v>0</v>
      </c>
      <c r="R90" s="2005">
        <v>0</v>
      </c>
      <c r="S90" s="2005">
        <v>0</v>
      </c>
      <c r="T90" s="2005">
        <v>0</v>
      </c>
      <c r="U90" s="2005">
        <v>0</v>
      </c>
      <c r="V90" s="2005">
        <v>0</v>
      </c>
      <c r="W90" s="2005">
        <v>0</v>
      </c>
      <c r="X90" s="2005">
        <v>0</v>
      </c>
      <c r="Y90" s="2005">
        <v>0</v>
      </c>
      <c r="Z90" s="2421">
        <v>0</v>
      </c>
      <c r="AA90" s="2306">
        <v>0</v>
      </c>
      <c r="AB90" s="2005">
        <v>0</v>
      </c>
      <c r="AC90" s="2005">
        <v>0</v>
      </c>
      <c r="AD90" s="2005">
        <v>0</v>
      </c>
      <c r="AE90" s="2005">
        <v>0</v>
      </c>
      <c r="AF90" s="2005">
        <v>0</v>
      </c>
      <c r="AG90" s="2005">
        <v>0</v>
      </c>
      <c r="AH90" s="2005">
        <v>0</v>
      </c>
      <c r="AI90" s="2421">
        <v>0</v>
      </c>
    </row>
    <row r="91" spans="1:35" ht="15" hidden="1" customHeight="1">
      <c r="A91" s="483"/>
      <c r="B91" s="464"/>
      <c r="C91" s="477"/>
      <c r="D91" s="488" t="s">
        <v>1532</v>
      </c>
      <c r="E91" s="2005">
        <v>0</v>
      </c>
      <c r="F91" s="2005">
        <v>0</v>
      </c>
      <c r="G91" s="2005">
        <v>0</v>
      </c>
      <c r="H91" s="2005">
        <v>0</v>
      </c>
      <c r="I91" s="2005">
        <v>0</v>
      </c>
      <c r="J91" s="2005">
        <v>0</v>
      </c>
      <c r="K91" s="2005">
        <v>0</v>
      </c>
      <c r="L91" s="2005">
        <v>0</v>
      </c>
      <c r="M91" s="2005">
        <v>0</v>
      </c>
      <c r="N91" s="2005">
        <v>0</v>
      </c>
      <c r="O91" s="2005">
        <v>0</v>
      </c>
      <c r="P91" s="2005">
        <v>0</v>
      </c>
      <c r="Q91" s="2005">
        <v>0</v>
      </c>
      <c r="R91" s="2005">
        <v>0</v>
      </c>
      <c r="S91" s="2005">
        <v>0</v>
      </c>
      <c r="T91" s="2005">
        <v>0</v>
      </c>
      <c r="U91" s="2005">
        <v>0</v>
      </c>
      <c r="V91" s="2005">
        <v>0</v>
      </c>
      <c r="W91" s="2005">
        <v>0</v>
      </c>
      <c r="X91" s="2005">
        <v>0</v>
      </c>
      <c r="Y91" s="2005">
        <v>0</v>
      </c>
      <c r="Z91" s="2421">
        <v>0</v>
      </c>
      <c r="AA91" s="2306">
        <v>0</v>
      </c>
      <c r="AB91" s="2005">
        <v>0</v>
      </c>
      <c r="AC91" s="2005">
        <v>0</v>
      </c>
      <c r="AD91" s="2005">
        <v>0</v>
      </c>
      <c r="AE91" s="2005">
        <v>0</v>
      </c>
      <c r="AF91" s="2005">
        <v>0</v>
      </c>
      <c r="AG91" s="2005">
        <v>0</v>
      </c>
      <c r="AH91" s="2005">
        <v>0</v>
      </c>
      <c r="AI91" s="2421">
        <v>0</v>
      </c>
    </row>
    <row r="92" spans="1:35" ht="18" customHeight="1">
      <c r="A92" s="496" t="s">
        <v>1583</v>
      </c>
      <c r="B92" s="477"/>
      <c r="C92" s="477"/>
      <c r="D92" s="488" t="s">
        <v>1532</v>
      </c>
      <c r="E92" s="2018">
        <v>0</v>
      </c>
      <c r="F92" s="2018">
        <v>0</v>
      </c>
      <c r="G92" s="2018">
        <v>0</v>
      </c>
      <c r="H92" s="2018">
        <v>0</v>
      </c>
      <c r="I92" s="2018">
        <v>0</v>
      </c>
      <c r="J92" s="2018">
        <v>0</v>
      </c>
      <c r="K92" s="2018">
        <v>0</v>
      </c>
      <c r="L92" s="2018">
        <v>0</v>
      </c>
      <c r="M92" s="2018">
        <v>0</v>
      </c>
      <c r="N92" s="2018">
        <v>0</v>
      </c>
      <c r="O92" s="2018">
        <v>0</v>
      </c>
      <c r="P92" s="2018">
        <v>0</v>
      </c>
      <c r="Q92" s="2018">
        <v>0</v>
      </c>
      <c r="R92" s="2018">
        <v>0</v>
      </c>
      <c r="S92" s="2018">
        <v>0</v>
      </c>
      <c r="T92" s="2018">
        <v>0</v>
      </c>
      <c r="U92" s="2018">
        <v>0</v>
      </c>
      <c r="V92" s="2018">
        <v>0</v>
      </c>
      <c r="W92" s="2018">
        <v>0</v>
      </c>
      <c r="X92" s="2018">
        <v>0</v>
      </c>
      <c r="Y92" s="2018">
        <v>0</v>
      </c>
      <c r="Z92" s="2431">
        <v>0</v>
      </c>
      <c r="AA92" s="2432">
        <v>0</v>
      </c>
      <c r="AB92" s="2018">
        <v>0</v>
      </c>
      <c r="AC92" s="2018">
        <v>0</v>
      </c>
      <c r="AD92" s="2018">
        <v>0</v>
      </c>
      <c r="AE92" s="2018">
        <v>0</v>
      </c>
      <c r="AF92" s="2018">
        <v>0</v>
      </c>
      <c r="AG92" s="2018">
        <v>0</v>
      </c>
      <c r="AH92" s="2018">
        <v>0</v>
      </c>
      <c r="AI92" s="2431">
        <v>0</v>
      </c>
    </row>
    <row r="93" spans="1:35" ht="15.75" customHeight="1" thickBot="1">
      <c r="A93" s="483"/>
      <c r="B93" s="464"/>
      <c r="C93" s="477"/>
      <c r="D93" s="495" t="s">
        <v>2228</v>
      </c>
      <c r="E93" s="546">
        <f>SUM(E83:E92)</f>
        <v>0</v>
      </c>
      <c r="F93" s="546">
        <f t="shared" ref="F93:O93" si="35">SUM(F83:F92)</f>
        <v>0</v>
      </c>
      <c r="G93" s="546">
        <f t="shared" si="35"/>
        <v>0</v>
      </c>
      <c r="H93" s="546">
        <f t="shared" si="35"/>
        <v>0</v>
      </c>
      <c r="I93" s="546">
        <f t="shared" si="35"/>
        <v>0</v>
      </c>
      <c r="J93" s="546">
        <f t="shared" si="35"/>
        <v>0</v>
      </c>
      <c r="K93" s="546">
        <f t="shared" si="35"/>
        <v>0</v>
      </c>
      <c r="L93" s="546">
        <f t="shared" si="35"/>
        <v>0</v>
      </c>
      <c r="M93" s="546">
        <f t="shared" si="35"/>
        <v>0</v>
      </c>
      <c r="N93" s="546">
        <f t="shared" si="35"/>
        <v>0</v>
      </c>
      <c r="O93" s="546">
        <f t="shared" si="35"/>
        <v>0</v>
      </c>
      <c r="P93" s="546">
        <f t="shared" ref="P93" si="36">SUM(P83:P92)</f>
        <v>0</v>
      </c>
      <c r="Q93" s="546">
        <f t="shared" ref="Q93" si="37">SUM(Q83:Q92)</f>
        <v>0</v>
      </c>
      <c r="R93" s="546">
        <f t="shared" ref="R93" si="38">SUM(R83:R92)</f>
        <v>0</v>
      </c>
      <c r="S93" s="546">
        <f t="shared" ref="S93" si="39">SUM(S83:S92)</f>
        <v>0</v>
      </c>
      <c r="T93" s="546">
        <f t="shared" ref="T93" si="40">SUM(T83:T92)</f>
        <v>0</v>
      </c>
      <c r="U93" s="546">
        <f t="shared" ref="U93" si="41">SUM(U83:U92)</f>
        <v>0</v>
      </c>
      <c r="V93" s="546">
        <f t="shared" ref="V93" si="42">SUM(V83:V92)</f>
        <v>0</v>
      </c>
      <c r="W93" s="546">
        <f t="shared" ref="W93" si="43">SUM(W83:W92)</f>
        <v>0</v>
      </c>
      <c r="X93" s="546">
        <f t="shared" ref="X93:Y93" si="44">SUM(X83:X92)</f>
        <v>0</v>
      </c>
      <c r="Y93" s="546">
        <f t="shared" si="44"/>
        <v>0</v>
      </c>
      <c r="Z93" s="2454">
        <f t="shared" ref="Z93" si="45">SUM(Z83:Z92)</f>
        <v>0</v>
      </c>
      <c r="AA93" s="2460">
        <f t="shared" ref="AA93" si="46">SUM(AA83:AA92)</f>
        <v>0</v>
      </c>
      <c r="AB93" s="546">
        <f t="shared" ref="AB93" si="47">SUM(AB83:AB92)</f>
        <v>0</v>
      </c>
      <c r="AC93" s="546">
        <f t="shared" ref="AC93" si="48">SUM(AC83:AC92)</f>
        <v>0</v>
      </c>
      <c r="AD93" s="546">
        <f t="shared" ref="AD93" si="49">SUM(AD83:AD92)</f>
        <v>0</v>
      </c>
      <c r="AE93" s="546">
        <f t="shared" ref="AE93" si="50">SUM(AE83:AE92)</f>
        <v>0</v>
      </c>
      <c r="AF93" s="546">
        <f t="shared" ref="AF93" si="51">SUM(AF83:AF92)</f>
        <v>0</v>
      </c>
      <c r="AG93" s="546">
        <f t="shared" ref="AG93" si="52">SUM(AG83:AG92)</f>
        <v>0</v>
      </c>
      <c r="AH93" s="546">
        <f t="shared" ref="AH93:AI93" si="53">SUM(AH83:AH92)</f>
        <v>0</v>
      </c>
      <c r="AI93" s="2454">
        <f t="shared" si="53"/>
        <v>0</v>
      </c>
    </row>
    <row r="94" spans="1:35" ht="18.75" customHeight="1" thickBot="1">
      <c r="A94" s="497"/>
      <c r="B94" s="501"/>
      <c r="C94" s="477"/>
      <c r="D94" s="495" t="s">
        <v>1534</v>
      </c>
      <c r="E94" s="471">
        <f t="shared" ref="E94:N94" si="54">E19+E31+SUM(E59:E68)-E93+E35</f>
        <v>0</v>
      </c>
      <c r="F94" s="471">
        <f t="shared" si="54"/>
        <v>0</v>
      </c>
      <c r="G94" s="471">
        <f t="shared" si="54"/>
        <v>0</v>
      </c>
      <c r="H94" s="471">
        <f t="shared" si="54"/>
        <v>0</v>
      </c>
      <c r="I94" s="471">
        <f t="shared" si="54"/>
        <v>0</v>
      </c>
      <c r="J94" s="471">
        <f t="shared" si="54"/>
        <v>0</v>
      </c>
      <c r="K94" s="471">
        <f t="shared" si="54"/>
        <v>0</v>
      </c>
      <c r="L94" s="471">
        <f t="shared" si="54"/>
        <v>0</v>
      </c>
      <c r="M94" s="471">
        <f t="shared" si="54"/>
        <v>0</v>
      </c>
      <c r="N94" s="471">
        <f t="shared" si="54"/>
        <v>0</v>
      </c>
      <c r="O94" s="472">
        <f t="shared" ref="O94:Y94" si="55">O19+O31+SUM(O59:O68)-O93</f>
        <v>0</v>
      </c>
      <c r="P94" s="472">
        <f t="shared" si="55"/>
        <v>0</v>
      </c>
      <c r="Q94" s="472">
        <f t="shared" si="55"/>
        <v>0</v>
      </c>
      <c r="R94" s="472">
        <f t="shared" si="55"/>
        <v>0</v>
      </c>
      <c r="S94" s="472">
        <f t="shared" si="55"/>
        <v>0</v>
      </c>
      <c r="T94" s="472">
        <f t="shared" si="55"/>
        <v>0</v>
      </c>
      <c r="U94" s="472">
        <f t="shared" si="55"/>
        <v>0</v>
      </c>
      <c r="V94" s="472">
        <f t="shared" si="55"/>
        <v>0</v>
      </c>
      <c r="W94" s="472">
        <f t="shared" si="55"/>
        <v>0</v>
      </c>
      <c r="X94" s="472">
        <f t="shared" si="55"/>
        <v>0</v>
      </c>
      <c r="Y94" s="473">
        <f t="shared" si="55"/>
        <v>0</v>
      </c>
      <c r="Z94" s="1561">
        <f>Z32+SUM(Z59:Z68)-Z93</f>
        <v>0</v>
      </c>
      <c r="AA94" s="2461">
        <f t="shared" ref="AA94:AI94" si="56">AA32+SUM(AA59:AA68)-AA93</f>
        <v>0</v>
      </c>
      <c r="AB94" s="471">
        <f t="shared" si="56"/>
        <v>0</v>
      </c>
      <c r="AC94" s="471">
        <f t="shared" si="56"/>
        <v>0</v>
      </c>
      <c r="AD94" s="471">
        <f t="shared" si="56"/>
        <v>0</v>
      </c>
      <c r="AE94" s="471">
        <f t="shared" si="56"/>
        <v>0</v>
      </c>
      <c r="AF94" s="471">
        <f t="shared" si="56"/>
        <v>0</v>
      </c>
      <c r="AG94" s="471">
        <f t="shared" si="56"/>
        <v>0</v>
      </c>
      <c r="AH94" s="471">
        <f t="shared" si="56"/>
        <v>0</v>
      </c>
      <c r="AI94" s="1561">
        <f t="shared" si="56"/>
        <v>0</v>
      </c>
    </row>
    <row r="95" spans="1:35" ht="16.5" hidden="1" thickTop="1">
      <c r="A95" s="498"/>
      <c r="B95" s="502"/>
      <c r="C95" s="495"/>
      <c r="D95" s="2302" t="s">
        <v>2226</v>
      </c>
      <c r="E95" s="2462">
        <f t="shared" ref="E95:N95" si="57">E94-E35-E64</f>
        <v>0</v>
      </c>
      <c r="F95" s="2463">
        <f t="shared" si="57"/>
        <v>0</v>
      </c>
      <c r="G95" s="2463">
        <f t="shared" si="57"/>
        <v>0</v>
      </c>
      <c r="H95" s="2463">
        <f t="shared" si="57"/>
        <v>0</v>
      </c>
      <c r="I95" s="2462">
        <f t="shared" si="57"/>
        <v>0</v>
      </c>
      <c r="J95" s="2463">
        <f t="shared" si="57"/>
        <v>0</v>
      </c>
      <c r="K95" s="2463">
        <f>K94-K35-K64</f>
        <v>0</v>
      </c>
      <c r="L95" s="2463">
        <f>L94-L35-L64</f>
        <v>0</v>
      </c>
      <c r="M95" s="2463">
        <f t="shared" si="57"/>
        <v>0</v>
      </c>
      <c r="N95" s="2463">
        <f t="shared" si="57"/>
        <v>0</v>
      </c>
      <c r="O95" s="439"/>
      <c r="P95" s="439"/>
      <c r="Q95" s="439"/>
      <c r="R95" s="439"/>
      <c r="S95" s="439"/>
      <c r="T95" s="439"/>
      <c r="U95" s="439"/>
      <c r="V95" s="439"/>
      <c r="W95" s="439"/>
      <c r="X95" s="439"/>
      <c r="Y95" s="2464"/>
      <c r="Z95" s="2465"/>
      <c r="AA95" s="2466"/>
      <c r="AB95" s="2463"/>
      <c r="AC95" s="2463"/>
      <c r="AD95" s="2463"/>
      <c r="AE95" s="2463"/>
      <c r="AF95" s="2463"/>
      <c r="AG95" s="2463"/>
      <c r="AH95" s="2463"/>
      <c r="AI95" s="2465"/>
    </row>
    <row r="96" spans="1:35" ht="15" hidden="1" customHeight="1">
      <c r="A96" s="498"/>
      <c r="B96" s="502"/>
      <c r="C96" s="464"/>
      <c r="D96" s="2303" t="s">
        <v>1584</v>
      </c>
      <c r="E96" s="2462">
        <f>IF(E13='Standard Thresholds'!$A$6,IF(E95&lt;'Standard Thresholds'!$A$9,0,IF(E95&lt;('Standard Thresholds'!$A$10+1),((E95-'Standard Thresholds'!$A$9)*'Standard Thresholds'!$D$9),IF(E95&lt;('Standard Thresholds'!$A$11+1),((E95-'Standard Thresholds'!$A$10)*'Standard Thresholds'!$D$10+'Standard Thresholds'!$C$10),IF(E95&lt;('Standard Thresholds'!$A$12+1),((E95-'Standard Thresholds'!$A$11)*'Standard Thresholds'!$D$11+'Standard Thresholds'!$C$11),IF(E95&gt;'Standard Thresholds'!$A$12,((E95-'Standard Thresholds'!$A$12)*'Standard Thresholds'!$D$12+'Standard Thresholds'!$C$12)))))),IF('Standard Thresholds'!$A$18=E13,IF(E95&lt;('Standard Thresholds'!$A$21+1),((E95-'Standard Thresholds'!$A$20)*'Standard Thresholds'!$D$20+'Standard Thresholds'!$C$20),IF(E95&lt;('Standard Thresholds'!#REF!+1),((E95-'Standard Thresholds'!$A$21)*'Standard Thresholds'!$D$21+'Standard Thresholds'!$C$21),IF(E95&gt;'Standard Thresholds'!#REF!,((E95-'Standard Thresholds'!#REF!)*'Standard Thresholds'!#REF!+'Standard Thresholds'!#REF!)))),IF('Standard Thresholds'!#REF!=E13,IF(E95&lt;'Standard Thresholds'!#REF!,0,IF(E95&lt;('Standard Thresholds'!#REF!+1),((E95-'Standard Thresholds'!#REF!)*'Standard Thresholds'!#REF!),IF(E95&lt;('Standard Thresholds'!#REF!+1),((E95-'Standard Thresholds'!#REF!)*'Standard Thresholds'!#REF!+'Standard Thresholds'!#REF!),IF(E95&lt;('Standard Thresholds'!#REF!+1),((E95-'Standard Thresholds'!#REF!)*'Standard Thresholds'!#REF!+'Standard Thresholds'!#REF!),IF(E95&gt;'Standard Thresholds'!#REF!,((E95-'Standard Thresholds'!#REF!)*'Standard Thresholds'!#REF!+'Standard Thresholds'!#REF!)))))),0)))</f>
        <v>0</v>
      </c>
      <c r="F96" s="2463">
        <f>IF(F13='Standard Thresholds'!$A$6,IF(F95&lt;'Standard Thresholds'!$A$9,0,IF(F95&lt;('Standard Thresholds'!$A$10+1),((F95-'Standard Thresholds'!$A$9)*'Standard Thresholds'!$D$9),IF(F95&lt;('Standard Thresholds'!$A$11+1),((F95-'Standard Thresholds'!$A$10)*'Standard Thresholds'!$D$10+'Standard Thresholds'!$C$10),IF(F95&lt;('Standard Thresholds'!$A$12+1),((F95-'Standard Thresholds'!$A$11)*'Standard Thresholds'!$D$11+'Standard Thresholds'!$C$11),IF(F95&gt;'Standard Thresholds'!$A$12,((F95-'Standard Thresholds'!$A$12)*'Standard Thresholds'!$D$12+'Standard Thresholds'!$C$12)))))),IF('Standard Thresholds'!$A$18=F13,IF(F95&lt;('Standard Thresholds'!$A$21+1),((F95-'Standard Thresholds'!$A$20)*'Standard Thresholds'!$D$20+'Standard Thresholds'!$C$20),IF(F95&lt;('Standard Thresholds'!#REF!+1),((F95-'Standard Thresholds'!$A$21)*'Standard Thresholds'!$D$21+'Standard Thresholds'!$C$21),IF(F95&gt;'Standard Thresholds'!#REF!,((F95-'Standard Thresholds'!#REF!)*'Standard Thresholds'!#REF!+'Standard Thresholds'!#REF!)))),IF('Standard Thresholds'!#REF!=F13,IF(F95&lt;'Standard Thresholds'!#REF!,0,IF(F95&lt;('Standard Thresholds'!#REF!+1),((F95-'Standard Thresholds'!#REF!)*'Standard Thresholds'!#REF!),IF(F95&lt;('Standard Thresholds'!#REF!+1),((F95-'Standard Thresholds'!#REF!)*'Standard Thresholds'!#REF!+'Standard Thresholds'!#REF!),IF(F95&lt;('Standard Thresholds'!#REF!+1),((F95-'Standard Thresholds'!#REF!)*'Standard Thresholds'!#REF!+'Standard Thresholds'!#REF!),IF(F95&gt;'Standard Thresholds'!#REF!,((F95-'Standard Thresholds'!#REF!)*'Standard Thresholds'!#REF!+'Standard Thresholds'!#REF!)))))),0)))</f>
        <v>0</v>
      </c>
      <c r="G96" s="2463">
        <f>IF(G13='Standard Thresholds'!$A$6,IF(G95&lt;'Standard Thresholds'!$A$9,0,IF(G95&lt;('Standard Thresholds'!$A$10+1),((G95-'Standard Thresholds'!$A$9)*'Standard Thresholds'!$D$9),IF(G95&lt;('Standard Thresholds'!$A$11+1),((G95-'Standard Thresholds'!$A$10)*'Standard Thresholds'!$D$10+'Standard Thresholds'!$C$10),IF(G95&lt;('Standard Thresholds'!$A$12+1),((G95-'Standard Thresholds'!$A$11)*'Standard Thresholds'!$D$11+'Standard Thresholds'!$C$11),IF(G95&gt;'Standard Thresholds'!$A$12,((G95-'Standard Thresholds'!$A$12)*'Standard Thresholds'!$D$12+'Standard Thresholds'!$C$12)))))),IF('Standard Thresholds'!$A$18=G13,IF(G95&lt;('Standard Thresholds'!$A$21+1),((G95-'Standard Thresholds'!$A$20)*'Standard Thresholds'!$D$20+'Standard Thresholds'!$C$20),IF(G95&lt;('Standard Thresholds'!#REF!+1),((G95-'Standard Thresholds'!$A$21)*'Standard Thresholds'!$D$21+'Standard Thresholds'!$C$21),IF(G95&gt;'Standard Thresholds'!#REF!,((G95-'Standard Thresholds'!#REF!)*'Standard Thresholds'!#REF!+'Standard Thresholds'!#REF!)))),IF('Standard Thresholds'!#REF!=G13,IF(G95&lt;'Standard Thresholds'!#REF!,0,IF(G95&lt;('Standard Thresholds'!#REF!+1),((G95-'Standard Thresholds'!#REF!)*'Standard Thresholds'!#REF!),IF(G95&lt;('Standard Thresholds'!#REF!+1),((G95-'Standard Thresholds'!#REF!)*'Standard Thresholds'!#REF!+'Standard Thresholds'!#REF!),IF(G95&lt;('Standard Thresholds'!#REF!+1),((G95-'Standard Thresholds'!#REF!)*'Standard Thresholds'!#REF!+'Standard Thresholds'!#REF!),IF(G95&gt;'Standard Thresholds'!#REF!,((G95-'Standard Thresholds'!#REF!)*'Standard Thresholds'!#REF!+'Standard Thresholds'!#REF!)))))),0)))</f>
        <v>0</v>
      </c>
      <c r="H96" s="2463">
        <f>IF(H13='Standard Thresholds'!$A$6,IF(H95&lt;'Standard Thresholds'!$A$9,0,IF(H95&lt;('Standard Thresholds'!$A$10+1),((H95-'Standard Thresholds'!$A$9)*'Standard Thresholds'!$D$9),IF(H95&lt;('Standard Thresholds'!$A$11+1),((H95-'Standard Thresholds'!$A$10)*'Standard Thresholds'!$D$10+'Standard Thresholds'!$C$10),IF(H95&lt;('Standard Thresholds'!$A$12+1),((H95-'Standard Thresholds'!$A$11)*'Standard Thresholds'!$D$11+'Standard Thresholds'!$C$11),IF(H95&gt;'Standard Thresholds'!$A$12,((H95-'Standard Thresholds'!$A$12)*'Standard Thresholds'!$D$12+'Standard Thresholds'!$C$12)))))),IF('Standard Thresholds'!$A$18=H13,IF(H95&lt;('Standard Thresholds'!$A$21+1),((H95-'Standard Thresholds'!$A$20)*'Standard Thresholds'!$D$20+'Standard Thresholds'!$C$20),IF(H95&lt;('Standard Thresholds'!#REF!+1),((H95-'Standard Thresholds'!$A$21)*'Standard Thresholds'!$D$21+'Standard Thresholds'!$C$21),IF(H95&gt;'Standard Thresholds'!#REF!,((H95-'Standard Thresholds'!#REF!)*'Standard Thresholds'!#REF!+'Standard Thresholds'!#REF!)))),IF('Standard Thresholds'!#REF!=H13,IF(H95&lt;'Standard Thresholds'!#REF!,0,IF(H95&lt;('Standard Thresholds'!#REF!+1),((H95-'Standard Thresholds'!#REF!)*'Standard Thresholds'!#REF!),IF(H95&lt;('Standard Thresholds'!#REF!+1),((H95-'Standard Thresholds'!#REF!)*'Standard Thresholds'!#REF!+'Standard Thresholds'!#REF!),IF(H95&lt;('Standard Thresholds'!#REF!+1),((H95-'Standard Thresholds'!#REF!)*'Standard Thresholds'!#REF!+'Standard Thresholds'!#REF!),IF(H95&gt;'Standard Thresholds'!#REF!,((H95-'Standard Thresholds'!#REF!)*'Standard Thresholds'!#REF!+'Standard Thresholds'!#REF!)))))),0)))</f>
        <v>0</v>
      </c>
      <c r="I96" s="2462">
        <f>IF(I13='Standard Thresholds'!$A$6,IF(I95&lt;'Standard Thresholds'!$A$9,0,IF(I95&lt;('Standard Thresholds'!$A$10+1),((I95-'Standard Thresholds'!$A$9)*'Standard Thresholds'!$D$9),IF(I95&lt;('Standard Thresholds'!$A$11+1),((I95-'Standard Thresholds'!$A$10)*'Standard Thresholds'!$D$10+'Standard Thresholds'!$C$10),IF(I95&lt;('Standard Thresholds'!$A$12+1),((I95-'Standard Thresholds'!$A$11)*'Standard Thresholds'!$D$11+'Standard Thresholds'!$C$11),IF(I95&gt;'Standard Thresholds'!$A$12,((I95-'Standard Thresholds'!$A$12)*'Standard Thresholds'!$D$12+'Standard Thresholds'!$C$12)))))),IF('Standard Thresholds'!$A$18=I13,IF(I95&lt;('Standard Thresholds'!$A$21+1),((I95-'Standard Thresholds'!$A$20)*'Standard Thresholds'!$D$20+'Standard Thresholds'!$C$20),IF(I95&lt;('Standard Thresholds'!#REF!+1),((I95-'Standard Thresholds'!$A$21)*'Standard Thresholds'!$D$21+'Standard Thresholds'!$C$21),IF(I95&gt;'Standard Thresholds'!#REF!,((I95-'Standard Thresholds'!#REF!)*'Standard Thresholds'!#REF!+'Standard Thresholds'!#REF!)))),IF('Standard Thresholds'!#REF!=I13,IF(I95&lt;'Standard Thresholds'!#REF!,0,IF(I95&lt;('Standard Thresholds'!#REF!+1),((I95-'Standard Thresholds'!#REF!)*'Standard Thresholds'!#REF!),IF(I95&lt;('Standard Thresholds'!#REF!+1),((I95-'Standard Thresholds'!#REF!)*'Standard Thresholds'!#REF!+'Standard Thresholds'!#REF!),IF(I95&lt;('Standard Thresholds'!#REF!+1),((I95-'Standard Thresholds'!#REF!)*'Standard Thresholds'!#REF!+'Standard Thresholds'!#REF!),IF(I95&gt;'Standard Thresholds'!#REF!,((I95-'Standard Thresholds'!#REF!)*'Standard Thresholds'!#REF!+'Standard Thresholds'!#REF!)))))),0)))</f>
        <v>0</v>
      </c>
      <c r="J96" s="2463">
        <f>IF(J13='Standard Thresholds'!$A$6,IF(J95&lt;'Standard Thresholds'!$A$9,0,IF(J95&lt;('Standard Thresholds'!$A$10+1),((J95-'Standard Thresholds'!$A$9)*'Standard Thresholds'!$D$9),IF(J95&lt;('Standard Thresholds'!$A$11+1),((J95-'Standard Thresholds'!$A$10)*'Standard Thresholds'!$D$10+'Standard Thresholds'!$C$10),IF(J95&lt;('Standard Thresholds'!$A$12+1),((J95-'Standard Thresholds'!$A$11)*'Standard Thresholds'!$D$11+'Standard Thresholds'!$C$11),IF(J95&gt;'Standard Thresholds'!$A$12,((J95-'Standard Thresholds'!$A$12)*'Standard Thresholds'!$D$12+'Standard Thresholds'!$C$12)))))),IF('Standard Thresholds'!$A$18=J13,IF(J95&lt;('Standard Thresholds'!$A$21+1),((J95-'Standard Thresholds'!$A$20)*'Standard Thresholds'!$D$20+'Standard Thresholds'!$C$20),IF(J95&lt;('Standard Thresholds'!#REF!+1),((J95-'Standard Thresholds'!$A$21)*'Standard Thresholds'!$D$21+'Standard Thresholds'!$C$21),IF(J95&gt;'Standard Thresholds'!#REF!,((J95-'Standard Thresholds'!#REF!)*'Standard Thresholds'!#REF!+'Standard Thresholds'!#REF!)))),IF('Standard Thresholds'!#REF!=J13,IF(J95&lt;'Standard Thresholds'!#REF!,0,IF(J95&lt;('Standard Thresholds'!#REF!+1),((J95-'Standard Thresholds'!#REF!)*'Standard Thresholds'!#REF!),IF(J95&lt;('Standard Thresholds'!#REF!+1),((J95-'Standard Thresholds'!#REF!)*'Standard Thresholds'!#REF!+'Standard Thresholds'!#REF!),IF(J95&lt;('Standard Thresholds'!#REF!+1),((J95-'Standard Thresholds'!#REF!)*'Standard Thresholds'!#REF!+'Standard Thresholds'!#REF!),IF(J95&gt;'Standard Thresholds'!#REF!,((J95-'Standard Thresholds'!#REF!)*'Standard Thresholds'!#REF!+'Standard Thresholds'!#REF!)))))),0)))</f>
        <v>0</v>
      </c>
      <c r="K96" s="2463">
        <f>IF(K13='Standard Thresholds'!$A$6,IF(K95&lt;'Standard Thresholds'!$A$9,0,IF(K95&lt;('Standard Thresholds'!$A$10+1),((K95-'Standard Thresholds'!$A$9)*'Standard Thresholds'!$D$9),IF(K95&lt;('Standard Thresholds'!$A$11+1),((K95-'Standard Thresholds'!$A$10)*'Standard Thresholds'!$D$10+'Standard Thresholds'!$C$10),IF(K95&lt;('Standard Thresholds'!$A$12+1),((K95-'Standard Thresholds'!$A$11)*'Standard Thresholds'!$D$11+'Standard Thresholds'!$C$11),IF(K95&gt;'Standard Thresholds'!$A$12,((K95-'Standard Thresholds'!$A$12)*'Standard Thresholds'!$D$12+'Standard Thresholds'!$C$12)))))),IF('Standard Thresholds'!$A$18=K13,IF(K95&lt;('Standard Thresholds'!$A$21+1),((K95-'Standard Thresholds'!$A$20)*'Standard Thresholds'!$D$20+'Standard Thresholds'!$C$20),IF(K95&lt;('Standard Thresholds'!#REF!+1),((K95-'Standard Thresholds'!$A$21)*'Standard Thresholds'!$D$21+'Standard Thresholds'!$C$21),IF(K95&gt;'Standard Thresholds'!#REF!,((K95-'Standard Thresholds'!#REF!)*'Standard Thresholds'!#REF!+'Standard Thresholds'!#REF!)))),IF('Standard Thresholds'!#REF!=K13,IF(K95&lt;'Standard Thresholds'!#REF!,0,IF(K95&lt;('Standard Thresholds'!#REF!+1),((K95-'Standard Thresholds'!#REF!)*'Standard Thresholds'!#REF!),IF(K95&lt;('Standard Thresholds'!#REF!+1),((K95-'Standard Thresholds'!#REF!)*'Standard Thresholds'!#REF!+'Standard Thresholds'!#REF!),IF(K95&lt;('Standard Thresholds'!#REF!+1),((K95-'Standard Thresholds'!#REF!)*'Standard Thresholds'!#REF!+'Standard Thresholds'!#REF!),IF(K95&gt;'Standard Thresholds'!#REF!,((K95-'Standard Thresholds'!#REF!)*'Standard Thresholds'!#REF!+'Standard Thresholds'!#REF!)))))),0)))</f>
        <v>0</v>
      </c>
      <c r="L96" s="2463">
        <f>IF(L13='Standard Thresholds'!$A$6,IF(L95&lt;'Standard Thresholds'!$A$9,0,IF(L95&lt;('Standard Thresholds'!$A$10+1),((L95-'Standard Thresholds'!$A$9)*'Standard Thresholds'!$D$9),IF(L95&lt;('Standard Thresholds'!$A$11+1),((L95-'Standard Thresholds'!$A$10)*'Standard Thresholds'!$D$10+'Standard Thresholds'!$C$10),IF(L95&lt;('Standard Thresholds'!$A$12+1),((L95-'Standard Thresholds'!$A$11)*'Standard Thresholds'!$D$11+'Standard Thresholds'!$C$11),IF(L95&gt;'Standard Thresholds'!$A$12,((L95-'Standard Thresholds'!$A$12)*'Standard Thresholds'!$D$12+'Standard Thresholds'!$C$12)))))),IF('Standard Thresholds'!$A$18=L13,IF(L95&lt;('Standard Thresholds'!$A$21+1),((L95-'Standard Thresholds'!$A$20)*'Standard Thresholds'!$D$20+'Standard Thresholds'!$C$20),IF(L95&lt;('Standard Thresholds'!#REF!+1),((L95-'Standard Thresholds'!$A$21)*'Standard Thresholds'!$D$21+'Standard Thresholds'!$C$21),IF(L95&gt;'Standard Thresholds'!#REF!,((L95-'Standard Thresholds'!#REF!)*'Standard Thresholds'!#REF!+'Standard Thresholds'!#REF!)))),IF('Standard Thresholds'!#REF!=L13,IF(L95&lt;'Standard Thresholds'!#REF!,0,IF(L95&lt;('Standard Thresholds'!#REF!+1),((L95-'Standard Thresholds'!#REF!)*'Standard Thresholds'!#REF!),IF(L95&lt;('Standard Thresholds'!#REF!+1),((L95-'Standard Thresholds'!#REF!)*'Standard Thresholds'!#REF!+'Standard Thresholds'!#REF!),IF(L95&lt;('Standard Thresholds'!#REF!+1),((L95-'Standard Thresholds'!#REF!)*'Standard Thresholds'!#REF!+'Standard Thresholds'!#REF!),IF(L95&gt;'Standard Thresholds'!#REF!,((L95-'Standard Thresholds'!#REF!)*'Standard Thresholds'!#REF!+'Standard Thresholds'!#REF!)))))),0)))</f>
        <v>0</v>
      </c>
      <c r="M96" s="2463">
        <f>IF(M13='Standard Thresholds'!$A$6,IF(M95&lt;'Standard Thresholds'!$A$9,0,IF(M95&lt;('Standard Thresholds'!$A$10+1),((M95-'Standard Thresholds'!$A$9)*'Standard Thresholds'!$D$9),IF(M95&lt;('Standard Thresholds'!$A$11+1),((M95-'Standard Thresholds'!$A$10)*'Standard Thresholds'!$D$10+'Standard Thresholds'!$C$10),IF(M95&lt;('Standard Thresholds'!$A$12+1),((M95-'Standard Thresholds'!$A$11)*'Standard Thresholds'!$D$11+'Standard Thresholds'!$C$11),IF(M95&gt;'Standard Thresholds'!$A$12,((M95-'Standard Thresholds'!$A$12)*'Standard Thresholds'!$D$12+'Standard Thresholds'!$C$12)))))),IF('Standard Thresholds'!$A$18=M13,IF(M95&lt;('Standard Thresholds'!$A$21+1),((M95-'Standard Thresholds'!$A$20)*'Standard Thresholds'!$D$20+'Standard Thresholds'!$C$20),IF(M95&lt;('Standard Thresholds'!#REF!+1),((M95-'Standard Thresholds'!$A$21)*'Standard Thresholds'!$D$21+'Standard Thresholds'!$C$21),IF(M95&gt;'Standard Thresholds'!#REF!,((M95-'Standard Thresholds'!#REF!)*'Standard Thresholds'!#REF!+'Standard Thresholds'!#REF!)))),IF('Standard Thresholds'!#REF!=M13,IF(M95&lt;'Standard Thresholds'!#REF!,0,IF(M95&lt;('Standard Thresholds'!#REF!+1),((M95-'Standard Thresholds'!#REF!)*'Standard Thresholds'!#REF!),IF(M95&lt;('Standard Thresholds'!#REF!+1),((M95-'Standard Thresholds'!#REF!)*'Standard Thresholds'!#REF!+'Standard Thresholds'!#REF!),IF(M95&lt;('Standard Thresholds'!#REF!+1),((M95-'Standard Thresholds'!#REF!)*'Standard Thresholds'!#REF!+'Standard Thresholds'!#REF!),IF(M95&gt;'Standard Thresholds'!#REF!,((M95-'Standard Thresholds'!#REF!)*'Standard Thresholds'!#REF!+'Standard Thresholds'!#REF!)))))),0)))</f>
        <v>0</v>
      </c>
      <c r="N96" s="2463">
        <f>IF(N13='Standard Thresholds'!$A$6,IF(N95&lt;'Standard Thresholds'!$A$9,0,IF(N95&lt;('Standard Thresholds'!$A$10+1),((N95-'Standard Thresholds'!$A$9)*'Standard Thresholds'!$D$9),IF(N95&lt;('Standard Thresholds'!$A$11+1),((N95-'Standard Thresholds'!$A$10)*'Standard Thresholds'!$D$10+'Standard Thresholds'!$C$10),IF(N95&lt;('Standard Thresholds'!$A$12+1),((N95-'Standard Thresholds'!$A$11)*'Standard Thresholds'!$D$11+'Standard Thresholds'!$C$11),IF(N95&gt;'Standard Thresholds'!$A$12,((N95-'Standard Thresholds'!$A$12)*'Standard Thresholds'!$D$12+'Standard Thresholds'!$C$12)))))),IF('Standard Thresholds'!$A$18=N13,IF(N95&lt;('Standard Thresholds'!$A$21+1),((N95-'Standard Thresholds'!$A$20)*'Standard Thresholds'!$D$20+'Standard Thresholds'!$C$20),IF(N95&lt;('Standard Thresholds'!#REF!+1),((N95-'Standard Thresholds'!$A$21)*'Standard Thresholds'!$D$21+'Standard Thresholds'!$C$21),IF(N95&gt;'Standard Thresholds'!#REF!,((N95-'Standard Thresholds'!#REF!)*'Standard Thresholds'!#REF!+'Standard Thresholds'!#REF!)))),IF('Standard Thresholds'!#REF!=N13,IF(N95&lt;'Standard Thresholds'!#REF!,0,IF(N95&lt;('Standard Thresholds'!#REF!+1),((N95-'Standard Thresholds'!#REF!)*'Standard Thresholds'!#REF!),IF(N95&lt;('Standard Thresholds'!#REF!+1),((N95-'Standard Thresholds'!#REF!)*'Standard Thresholds'!#REF!+'Standard Thresholds'!#REF!),IF(N95&lt;('Standard Thresholds'!#REF!+1),((N95-'Standard Thresholds'!#REF!)*'Standard Thresholds'!#REF!+'Standard Thresholds'!#REF!),IF(N95&gt;'Standard Thresholds'!#REF!,((N95-'Standard Thresholds'!#REF!)*'Standard Thresholds'!#REF!+'Standard Thresholds'!#REF!)))))),0)))</f>
        <v>0</v>
      </c>
      <c r="O96" s="470"/>
      <c r="P96" s="470"/>
      <c r="Q96" s="470"/>
      <c r="R96" s="470"/>
      <c r="S96" s="470"/>
      <c r="T96" s="470"/>
      <c r="U96" s="470"/>
      <c r="V96" s="470"/>
      <c r="W96" s="470"/>
      <c r="X96" s="470"/>
      <c r="Y96" s="2467"/>
      <c r="Z96" s="2465">
        <f>IF(Z94&lt;6000,(Z94*0),IF(Z94&lt;20000,((Z94-6000)*0.17),IF(Z94&lt;50001,((Z94-20000)*0.3+2380),IF(Z94&lt;60001,((Z94-50000)*0.42+11380),IF(Z94&gt;60000,((Z94-60000)*0.47+15580))))))</f>
        <v>0</v>
      </c>
      <c r="AA96" s="2466">
        <f t="shared" ref="AA96:AI96" si="58">IF(AA94&lt;6000,(AA94*0),IF(AA94&lt;20000,((AA94-6000)*0.17),IF(AA94&lt;50001,((AA94-20000)*0.3+2380),IF(AA94&lt;60001,((AA94-50000)*0.42+11380),IF(AA94&gt;60000,((AA94-60000)*0.47+15580))))))</f>
        <v>0</v>
      </c>
      <c r="AB96" s="2463">
        <f t="shared" si="58"/>
        <v>0</v>
      </c>
      <c r="AC96" s="2463">
        <f t="shared" si="58"/>
        <v>0</v>
      </c>
      <c r="AD96" s="2463">
        <f t="shared" si="58"/>
        <v>0</v>
      </c>
      <c r="AE96" s="2463">
        <f t="shared" si="58"/>
        <v>0</v>
      </c>
      <c r="AF96" s="2463">
        <f t="shared" si="58"/>
        <v>0</v>
      </c>
      <c r="AG96" s="2463">
        <f t="shared" si="58"/>
        <v>0</v>
      </c>
      <c r="AH96" s="2463">
        <f t="shared" si="58"/>
        <v>0</v>
      </c>
      <c r="AI96" s="2465">
        <f t="shared" si="58"/>
        <v>0</v>
      </c>
    </row>
    <row r="97" spans="1:35" ht="15" hidden="1" customHeight="1">
      <c r="A97" s="498"/>
      <c r="B97" s="502"/>
      <c r="C97" s="503"/>
      <c r="D97" s="2303" t="s">
        <v>1585</v>
      </c>
      <c r="E97" s="2462">
        <f>(E94-E35-E64)*E78</f>
        <v>0</v>
      </c>
      <c r="F97" s="2463">
        <f t="shared" ref="F97:N97" si="59">(F94-F35-F64)*F78</f>
        <v>0</v>
      </c>
      <c r="G97" s="2463">
        <f t="shared" si="59"/>
        <v>0</v>
      </c>
      <c r="H97" s="2463">
        <f t="shared" si="59"/>
        <v>0</v>
      </c>
      <c r="I97" s="2462">
        <f t="shared" si="59"/>
        <v>0</v>
      </c>
      <c r="J97" s="2463">
        <f t="shared" si="59"/>
        <v>0</v>
      </c>
      <c r="K97" s="2463">
        <f>(K94-K35-K64)*K78</f>
        <v>0</v>
      </c>
      <c r="L97" s="2463">
        <f>(L94-L35-L64)*L78</f>
        <v>0</v>
      </c>
      <c r="M97" s="2463">
        <f t="shared" si="59"/>
        <v>0</v>
      </c>
      <c r="N97" s="2463">
        <f t="shared" si="59"/>
        <v>0</v>
      </c>
      <c r="O97" s="470"/>
      <c r="P97" s="470"/>
      <c r="Q97" s="470"/>
      <c r="R97" s="470"/>
      <c r="S97" s="470"/>
      <c r="T97" s="470"/>
      <c r="U97" s="470"/>
      <c r="V97" s="470"/>
      <c r="W97" s="470"/>
      <c r="X97" s="470"/>
      <c r="Y97" s="2467"/>
      <c r="Z97" s="2465">
        <f t="shared" ref="Z97:AI97" si="60">Z94*Z78</f>
        <v>0</v>
      </c>
      <c r="AA97" s="2466">
        <f t="shared" si="60"/>
        <v>0</v>
      </c>
      <c r="AB97" s="2463">
        <f t="shared" si="60"/>
        <v>0</v>
      </c>
      <c r="AC97" s="2463">
        <f t="shared" si="60"/>
        <v>0</v>
      </c>
      <c r="AD97" s="2463">
        <f t="shared" si="60"/>
        <v>0</v>
      </c>
      <c r="AE97" s="2463">
        <f t="shared" si="60"/>
        <v>0</v>
      </c>
      <c r="AF97" s="2463">
        <f t="shared" si="60"/>
        <v>0</v>
      </c>
      <c r="AG97" s="2463">
        <f t="shared" si="60"/>
        <v>0</v>
      </c>
      <c r="AH97" s="2463">
        <f t="shared" si="60"/>
        <v>0</v>
      </c>
      <c r="AI97" s="2465">
        <f t="shared" si="60"/>
        <v>0</v>
      </c>
    </row>
    <row r="98" spans="1:35" ht="15" hidden="1" customHeight="1">
      <c r="A98" s="498"/>
      <c r="B98" s="502"/>
      <c r="C98" s="464"/>
      <c r="D98" s="2303" t="s">
        <v>1586</v>
      </c>
      <c r="E98" s="2462">
        <f t="shared" ref="E98:N98" si="61">E96-E97</f>
        <v>0</v>
      </c>
      <c r="F98" s="2463">
        <f t="shared" si="61"/>
        <v>0</v>
      </c>
      <c r="G98" s="2463">
        <f t="shared" si="61"/>
        <v>0</v>
      </c>
      <c r="H98" s="2463">
        <f t="shared" si="61"/>
        <v>0</v>
      </c>
      <c r="I98" s="2462">
        <f t="shared" si="61"/>
        <v>0</v>
      </c>
      <c r="J98" s="2463">
        <f t="shared" si="61"/>
        <v>0</v>
      </c>
      <c r="K98" s="2463">
        <f>K96-K97</f>
        <v>0</v>
      </c>
      <c r="L98" s="2463">
        <f>L96-L97</f>
        <v>0</v>
      </c>
      <c r="M98" s="2463">
        <f t="shared" si="61"/>
        <v>0</v>
      </c>
      <c r="N98" s="2463">
        <f t="shared" si="61"/>
        <v>0</v>
      </c>
      <c r="O98" s="470"/>
      <c r="P98" s="470"/>
      <c r="Q98" s="470"/>
      <c r="R98" s="470"/>
      <c r="S98" s="470"/>
      <c r="T98" s="470"/>
      <c r="U98" s="470"/>
      <c r="V98" s="470"/>
      <c r="W98" s="470"/>
      <c r="X98" s="470"/>
      <c r="Y98" s="2467"/>
      <c r="Z98" s="2465">
        <f t="shared" ref="Z98:AI98" si="62">Z96-Z97</f>
        <v>0</v>
      </c>
      <c r="AA98" s="2466">
        <f t="shared" si="62"/>
        <v>0</v>
      </c>
      <c r="AB98" s="2463">
        <f t="shared" si="62"/>
        <v>0</v>
      </c>
      <c r="AC98" s="2463">
        <f t="shared" si="62"/>
        <v>0</v>
      </c>
      <c r="AD98" s="2463">
        <f t="shared" si="62"/>
        <v>0</v>
      </c>
      <c r="AE98" s="2463">
        <f t="shared" si="62"/>
        <v>0</v>
      </c>
      <c r="AF98" s="2463">
        <f t="shared" si="62"/>
        <v>0</v>
      </c>
      <c r="AG98" s="2463">
        <f t="shared" si="62"/>
        <v>0</v>
      </c>
      <c r="AH98" s="2463">
        <f t="shared" si="62"/>
        <v>0</v>
      </c>
      <c r="AI98" s="2465">
        <f t="shared" si="62"/>
        <v>0</v>
      </c>
    </row>
    <row r="99" spans="1:35" ht="15" hidden="1" customHeight="1">
      <c r="A99" s="498"/>
      <c r="B99" s="502"/>
      <c r="C99" s="464"/>
      <c r="D99" s="2303" t="s">
        <v>0</v>
      </c>
      <c r="E99" s="2462">
        <f>IF(E98=0,0,IF(E94&gt;E73,E98*(E73/(E94-E35-E64)),E98))</f>
        <v>0</v>
      </c>
      <c r="F99" s="2463">
        <f t="shared" ref="F99:N99" si="63">IF(F98=0,0,IF(F94&gt;F73,F98*(F73/(F94-F35-F64)),F98))</f>
        <v>0</v>
      </c>
      <c r="G99" s="2463">
        <f t="shared" si="63"/>
        <v>0</v>
      </c>
      <c r="H99" s="2463">
        <f t="shared" si="63"/>
        <v>0</v>
      </c>
      <c r="I99" s="2462">
        <f t="shared" si="63"/>
        <v>0</v>
      </c>
      <c r="J99" s="2463">
        <f t="shared" si="63"/>
        <v>0</v>
      </c>
      <c r="K99" s="2463">
        <f>IF(K98=0,0,IF(K94&gt;K73,K98*(K73/(K94-K35-K64)),K98))</f>
        <v>0</v>
      </c>
      <c r="L99" s="2463">
        <f>IF(L98=0,0,IF(L94&gt;L73,L98*(L73/(L94-L35-L64)),L98))</f>
        <v>0</v>
      </c>
      <c r="M99" s="2463">
        <f t="shared" si="63"/>
        <v>0</v>
      </c>
      <c r="N99" s="2463">
        <f t="shared" si="63"/>
        <v>0</v>
      </c>
      <c r="O99" s="470"/>
      <c r="P99" s="470"/>
      <c r="Q99" s="470"/>
      <c r="R99" s="470"/>
      <c r="S99" s="470"/>
      <c r="T99" s="470"/>
      <c r="U99" s="470"/>
      <c r="V99" s="470"/>
      <c r="W99" s="470"/>
      <c r="X99" s="470"/>
      <c r="Y99" s="2467"/>
      <c r="Z99" s="2465">
        <f t="shared" ref="Z99:AI99" si="64">IF(Z98=0,0,IF(Z98&lt;0,Z98,Z98*(Z73/(Z94-Z35-Z64))))</f>
        <v>0</v>
      </c>
      <c r="AA99" s="2466">
        <f t="shared" si="64"/>
        <v>0</v>
      </c>
      <c r="AB99" s="2463">
        <f t="shared" si="64"/>
        <v>0</v>
      </c>
      <c r="AC99" s="2463">
        <f t="shared" si="64"/>
        <v>0</v>
      </c>
      <c r="AD99" s="2463">
        <f t="shared" si="64"/>
        <v>0</v>
      </c>
      <c r="AE99" s="2463">
        <f t="shared" si="64"/>
        <v>0</v>
      </c>
      <c r="AF99" s="2463">
        <f t="shared" si="64"/>
        <v>0</v>
      </c>
      <c r="AG99" s="2463">
        <f t="shared" si="64"/>
        <v>0</v>
      </c>
      <c r="AH99" s="2463">
        <f t="shared" si="64"/>
        <v>0</v>
      </c>
      <c r="AI99" s="2465">
        <f t="shared" si="64"/>
        <v>0</v>
      </c>
    </row>
    <row r="100" spans="1:35" ht="15" hidden="1" customHeight="1">
      <c r="A100" s="498"/>
      <c r="B100" s="502"/>
      <c r="C100" s="464"/>
      <c r="D100" s="470"/>
      <c r="E100" s="2462">
        <f>IF(E99=0,E96-E98,E99)</f>
        <v>0</v>
      </c>
      <c r="F100" s="2463">
        <f t="shared" ref="F100:N100" si="65">IF(F99=0,F96-F98,F99)</f>
        <v>0</v>
      </c>
      <c r="G100" s="2463">
        <f t="shared" si="65"/>
        <v>0</v>
      </c>
      <c r="H100" s="2463">
        <f t="shared" si="65"/>
        <v>0</v>
      </c>
      <c r="I100" s="2462">
        <f t="shared" si="65"/>
        <v>0</v>
      </c>
      <c r="J100" s="2463">
        <f t="shared" si="65"/>
        <v>0</v>
      </c>
      <c r="K100" s="2463">
        <f>IF(K99=0,K96-K98,K99)</f>
        <v>0</v>
      </c>
      <c r="L100" s="2463">
        <f>IF(L99=0,L96-L98,L99)</f>
        <v>0</v>
      </c>
      <c r="M100" s="2463">
        <f t="shared" si="65"/>
        <v>0</v>
      </c>
      <c r="N100" s="2463">
        <f t="shared" si="65"/>
        <v>0</v>
      </c>
      <c r="O100" s="470"/>
      <c r="P100" s="470"/>
      <c r="Q100" s="470"/>
      <c r="R100" s="470"/>
      <c r="S100" s="470"/>
      <c r="T100" s="470"/>
      <c r="U100" s="470"/>
      <c r="V100" s="470"/>
      <c r="W100" s="470"/>
      <c r="X100" s="470"/>
      <c r="Y100" s="2467"/>
      <c r="Z100" s="2465"/>
      <c r="AA100" s="2466"/>
      <c r="AB100" s="2463"/>
      <c r="AC100" s="2463"/>
      <c r="AD100" s="2463"/>
      <c r="AE100" s="2463"/>
      <c r="AF100" s="2463"/>
      <c r="AG100" s="2463"/>
      <c r="AH100" s="2463"/>
      <c r="AI100" s="2465"/>
    </row>
    <row r="101" spans="1:35" ht="15" hidden="1" customHeight="1">
      <c r="A101" s="498"/>
      <c r="B101" s="502"/>
      <c r="C101" s="464"/>
      <c r="D101" s="475"/>
      <c r="E101" s="2462">
        <f t="shared" ref="E101:N101" si="66">IF(E73="0",0,E100)</f>
        <v>0</v>
      </c>
      <c r="F101" s="2463">
        <f t="shared" si="66"/>
        <v>0</v>
      </c>
      <c r="G101" s="2463">
        <f t="shared" si="66"/>
        <v>0</v>
      </c>
      <c r="H101" s="2463">
        <f t="shared" si="66"/>
        <v>0</v>
      </c>
      <c r="I101" s="2462">
        <f t="shared" si="66"/>
        <v>0</v>
      </c>
      <c r="J101" s="2463">
        <f t="shared" si="66"/>
        <v>0</v>
      </c>
      <c r="K101" s="2463">
        <f>IF(K73="0",0,K100)</f>
        <v>0</v>
      </c>
      <c r="L101" s="2463">
        <f>IF(L73="0",0,L100)</f>
        <v>0</v>
      </c>
      <c r="M101" s="2463">
        <f t="shared" si="66"/>
        <v>0</v>
      </c>
      <c r="N101" s="2463">
        <f t="shared" si="66"/>
        <v>0</v>
      </c>
      <c r="O101" s="438"/>
      <c r="P101" s="438"/>
      <c r="Q101" s="438"/>
      <c r="R101" s="438"/>
      <c r="S101" s="438"/>
      <c r="T101" s="438"/>
      <c r="U101" s="438"/>
      <c r="V101" s="438"/>
      <c r="W101" s="438"/>
      <c r="X101" s="438"/>
      <c r="Y101" s="2468"/>
      <c r="Z101" s="2465"/>
      <c r="AA101" s="2466"/>
      <c r="AB101" s="2463"/>
      <c r="AC101" s="2463"/>
      <c r="AD101" s="2463"/>
      <c r="AE101" s="2463"/>
      <c r="AF101" s="2463"/>
      <c r="AG101" s="2463"/>
      <c r="AH101" s="2463"/>
      <c r="AI101" s="2465"/>
    </row>
    <row r="102" spans="1:35" ht="15.75" hidden="1" thickBot="1">
      <c r="A102" s="498"/>
      <c r="B102" s="502"/>
      <c r="C102" s="464"/>
      <c r="D102" s="475"/>
      <c r="E102" s="2462">
        <f t="shared" ref="E102:N102" si="67">IF(E50=0,0,E101)</f>
        <v>0</v>
      </c>
      <c r="F102" s="2463">
        <f t="shared" si="67"/>
        <v>0</v>
      </c>
      <c r="G102" s="2463">
        <f t="shared" si="67"/>
        <v>0</v>
      </c>
      <c r="H102" s="2463">
        <f t="shared" si="67"/>
        <v>0</v>
      </c>
      <c r="I102" s="2462">
        <f t="shared" si="67"/>
        <v>0</v>
      </c>
      <c r="J102" s="2463">
        <f t="shared" si="67"/>
        <v>0</v>
      </c>
      <c r="K102" s="2463">
        <f>IF(K50=0,0,K101)</f>
        <v>0</v>
      </c>
      <c r="L102" s="2463">
        <f>IF(L50=0,0,L101)</f>
        <v>0</v>
      </c>
      <c r="M102" s="2463">
        <f t="shared" si="67"/>
        <v>0</v>
      </c>
      <c r="N102" s="2463">
        <f t="shared" si="67"/>
        <v>0</v>
      </c>
      <c r="O102" s="438"/>
      <c r="P102" s="438"/>
      <c r="Q102" s="438"/>
      <c r="R102" s="438"/>
      <c r="S102" s="438"/>
      <c r="T102" s="438"/>
      <c r="U102" s="438"/>
      <c r="V102" s="438"/>
      <c r="W102" s="438"/>
      <c r="X102" s="438"/>
      <c r="Y102" s="2468"/>
      <c r="Z102" s="2465"/>
      <c r="AA102" s="2466"/>
      <c r="AB102" s="2463"/>
      <c r="AC102" s="2463"/>
      <c r="AD102" s="2463"/>
      <c r="AE102" s="2463"/>
      <c r="AF102" s="2463"/>
      <c r="AG102" s="2463"/>
      <c r="AH102" s="2463"/>
      <c r="AI102" s="2465"/>
    </row>
    <row r="103" spans="1:35" ht="15" customHeight="1" thickTop="1">
      <c r="A103" s="498"/>
      <c r="B103" s="502"/>
      <c r="C103" s="477"/>
      <c r="D103" s="504" t="s">
        <v>1535</v>
      </c>
      <c r="E103" s="569">
        <f>IF(E13='Standard Thresholds'!$A$6,IF(E94&lt;'Standard Thresholds'!$A$9,0,IF(E94&lt;('Standard Thresholds'!$A$10+1),((E94-'Standard Thresholds'!$A$9)*'Standard Thresholds'!$D$9),IF(E94&lt;('Standard Thresholds'!$A$11+1),((E94-'Standard Thresholds'!$A$10)*'Standard Thresholds'!$D$10+'Standard Thresholds'!$C$10),IF(E94&lt;('Standard Thresholds'!$A$12+1),((E94-'Standard Thresholds'!$A$11)*'Standard Thresholds'!$D$11+'Standard Thresholds'!$C$11),IF(E94&gt;'Standard Thresholds'!$A$12,((E94-'Standard Thresholds'!$A$12)*'Standard Thresholds'!$D$12+'Standard Thresholds'!$C$12)))))),IF('Standard Thresholds'!$A$18=E13,IF(E94&lt;('Standard Thresholds'!$A$21+1),((E94-'Standard Thresholds'!$A$20)*'Standard Thresholds'!$D$20+'Standard Thresholds'!$C$20),IF(E94&lt;('Standard Thresholds'!#REF!+1),((E94-'Standard Thresholds'!$A$21)*'Standard Thresholds'!$D$21+'Standard Thresholds'!$C$21),IF(E94&gt;'Standard Thresholds'!#REF!,((E94-'Standard Thresholds'!#REF!)*'Standard Thresholds'!#REF!+'Standard Thresholds'!#REF!)))),IF('Standard Thresholds'!#REF!=E13,IF(E94&lt;'Standard Thresholds'!#REF!,0,IF(E94&lt;('Standard Thresholds'!#REF!+1),((E94-'Standard Thresholds'!#REF!)*'Standard Thresholds'!#REF!),IF(E94&lt;('Standard Thresholds'!#REF!+1),((E94-'Standard Thresholds'!#REF!)*'Standard Thresholds'!#REF!+'Standard Thresholds'!#REF!),IF(E94&lt;('Standard Thresholds'!#REF!+1),((E94-'Standard Thresholds'!#REF!)*'Standard Thresholds'!#REF!+'Standard Thresholds'!#REF!),IF(E94&gt;'Standard Thresholds'!#REF!,((E94-'Standard Thresholds'!#REF!)*'Standard Thresholds'!#REF!+'Standard Thresholds'!#REF!)))))),0)))</f>
        <v>0</v>
      </c>
      <c r="F103" s="569">
        <f>IF(F13='Standard Thresholds'!$A$6,IF(F94&lt;'Standard Thresholds'!$A$9,0,IF(F94&lt;('Standard Thresholds'!$A$10+1),((F94-'Standard Thresholds'!$A$9)*'Standard Thresholds'!$D$9),IF(F94&lt;('Standard Thresholds'!$A$11+1),((F94-'Standard Thresholds'!$A$10)*'Standard Thresholds'!$D$10+'Standard Thresholds'!$C$10),IF(F94&lt;('Standard Thresholds'!$A$12+1),((F94-'Standard Thresholds'!$A$11)*'Standard Thresholds'!$D$11+'Standard Thresholds'!$C$11),IF(F94&gt;'Standard Thresholds'!$A$12,((F94-'Standard Thresholds'!$A$12)*'Standard Thresholds'!$D$12+'Standard Thresholds'!$C$12)))))),IF('Standard Thresholds'!$A$18=F13,IF(F94&lt;('Standard Thresholds'!$A$21+1),((F94-'Standard Thresholds'!$A$20)*'Standard Thresholds'!$D$20+'Standard Thresholds'!$C$20),IF(F94&lt;('Standard Thresholds'!#REF!+1),((F94-'Standard Thresholds'!$A$21)*'Standard Thresholds'!$D$21+'Standard Thresholds'!$C$21),IF(F94&gt;'Standard Thresholds'!#REF!,((F94-'Standard Thresholds'!#REF!)*'Standard Thresholds'!#REF!+'Standard Thresholds'!#REF!)))),IF('Standard Thresholds'!#REF!=F13,IF(F94&lt;'Standard Thresholds'!#REF!,0,IF(F94&lt;('Standard Thresholds'!#REF!+1),((F94-'Standard Thresholds'!#REF!)*'Standard Thresholds'!#REF!),IF(F94&lt;('Standard Thresholds'!#REF!+1),((F94-'Standard Thresholds'!#REF!)*'Standard Thresholds'!#REF!+'Standard Thresholds'!#REF!),IF(F94&lt;('Standard Thresholds'!#REF!+1),((F94-'Standard Thresholds'!#REF!)*'Standard Thresholds'!#REF!+'Standard Thresholds'!#REF!),IF(F94&gt;'Standard Thresholds'!#REF!,((F94-'Standard Thresholds'!#REF!)*'Standard Thresholds'!#REF!+'Standard Thresholds'!#REF!)))))),0)))</f>
        <v>0</v>
      </c>
      <c r="G103" s="569">
        <f>IF(G13='Standard Thresholds'!$A$6,IF(G94&lt;'Standard Thresholds'!$A$9,0,IF(G94&lt;('Standard Thresholds'!$A$10+1),((G94-'Standard Thresholds'!$A$9)*'Standard Thresholds'!$D$9),IF(G94&lt;('Standard Thresholds'!$A$11+1),((G94-'Standard Thresholds'!$A$10)*'Standard Thresholds'!$D$10+'Standard Thresholds'!$C$10),IF(G94&lt;('Standard Thresholds'!$A$12+1),((G94-'Standard Thresholds'!$A$11)*'Standard Thresholds'!$D$11+'Standard Thresholds'!$C$11),IF(G94&gt;'Standard Thresholds'!$A$12,((G94-'Standard Thresholds'!$A$12)*'Standard Thresholds'!$D$12+'Standard Thresholds'!$C$12)))))),IF('Standard Thresholds'!$A$18=G13,IF(G94&lt;('Standard Thresholds'!$A$21+1),((G94-'Standard Thresholds'!$A$20)*'Standard Thresholds'!$D$20+'Standard Thresholds'!$C$20),IF(G94&lt;('Standard Thresholds'!#REF!+1),((G94-'Standard Thresholds'!$A$21)*'Standard Thresholds'!$D$21+'Standard Thresholds'!$C$21),IF(G94&gt;'Standard Thresholds'!#REF!,((G94-'Standard Thresholds'!#REF!)*'Standard Thresholds'!#REF!+'Standard Thresholds'!#REF!)))),IF('Standard Thresholds'!#REF!=G13,IF(G94&lt;'Standard Thresholds'!#REF!,0,IF(G94&lt;('Standard Thresholds'!#REF!+1),((G94-'Standard Thresholds'!#REF!)*'Standard Thresholds'!#REF!),IF(G94&lt;('Standard Thresholds'!#REF!+1),((G94-'Standard Thresholds'!#REF!)*'Standard Thresholds'!#REF!+'Standard Thresholds'!#REF!),IF(G94&lt;('Standard Thresholds'!#REF!+1),((G94-'Standard Thresholds'!#REF!)*'Standard Thresholds'!#REF!+'Standard Thresholds'!#REF!),IF(G94&gt;'Standard Thresholds'!#REF!,((G94-'Standard Thresholds'!#REF!)*'Standard Thresholds'!#REF!+'Standard Thresholds'!#REF!)))))),0)))</f>
        <v>0</v>
      </c>
      <c r="H103" s="569">
        <f>IF(H13='Standard Thresholds'!$A$6,IF(H94&lt;'Standard Thresholds'!$A$9,0,IF(H94&lt;('Standard Thresholds'!$A$10+1),((H94-'Standard Thresholds'!$A$9)*'Standard Thresholds'!$D$9),IF(H94&lt;('Standard Thresholds'!$A$11+1),((H94-'Standard Thresholds'!$A$10)*'Standard Thresholds'!$D$10+'Standard Thresholds'!$C$10),IF(H94&lt;('Standard Thresholds'!$A$12+1),((H94-'Standard Thresholds'!$A$11)*'Standard Thresholds'!$D$11+'Standard Thresholds'!$C$11),IF(H94&gt;'Standard Thresholds'!$A$12,((H94-'Standard Thresholds'!$A$12)*'Standard Thresholds'!$D$12+'Standard Thresholds'!$C$12)))))),IF('Standard Thresholds'!$A$18=H13,IF(H94&lt;('Standard Thresholds'!$A$21+1),((H94-'Standard Thresholds'!$A$20)*'Standard Thresholds'!$D$20+'Standard Thresholds'!$C$20),IF(H94&lt;('Standard Thresholds'!#REF!+1),((H94-'Standard Thresholds'!$A$21)*'Standard Thresholds'!$D$21+'Standard Thresholds'!$C$21),IF(H94&gt;'Standard Thresholds'!#REF!,((H94-'Standard Thresholds'!#REF!)*'Standard Thresholds'!#REF!+'Standard Thresholds'!#REF!)))),IF('Standard Thresholds'!#REF!=H13,IF(H94&lt;'Standard Thresholds'!#REF!,0,IF(H94&lt;('Standard Thresholds'!#REF!+1),((H94-'Standard Thresholds'!#REF!)*'Standard Thresholds'!#REF!),IF(H94&lt;('Standard Thresholds'!#REF!+1),((H94-'Standard Thresholds'!#REF!)*'Standard Thresholds'!#REF!+'Standard Thresholds'!#REF!),IF(H94&lt;('Standard Thresholds'!#REF!+1),((H94-'Standard Thresholds'!#REF!)*'Standard Thresholds'!#REF!+'Standard Thresholds'!#REF!),IF(H94&gt;'Standard Thresholds'!#REF!,((H94-'Standard Thresholds'!#REF!)*'Standard Thresholds'!#REF!+'Standard Thresholds'!#REF!)))))),0)))</f>
        <v>0</v>
      </c>
      <c r="I103" s="569">
        <f>IF(I13='Standard Thresholds'!$A$6,IF(I94&lt;'Standard Thresholds'!$A$9,0,IF(I94&lt;('Standard Thresholds'!$A$10+1),((I94-'Standard Thresholds'!$A$9)*'Standard Thresholds'!$D$9),IF(I94&lt;('Standard Thresholds'!$A$11+1),((I94-'Standard Thresholds'!$A$10)*'Standard Thresholds'!$D$10+'Standard Thresholds'!$C$10),IF(I94&lt;('Standard Thresholds'!$A$12+1),((I94-'Standard Thresholds'!$A$11)*'Standard Thresholds'!$D$11+'Standard Thresholds'!$C$11),IF(I94&gt;'Standard Thresholds'!$A$12,((I94-'Standard Thresholds'!$A$12)*'Standard Thresholds'!$D$12+'Standard Thresholds'!$C$12)))))),IF('Standard Thresholds'!$A$18=I13,IF(I94&lt;('Standard Thresholds'!$A$21+1),((I94-'Standard Thresholds'!$A$20)*'Standard Thresholds'!$D$20+'Standard Thresholds'!$C$20),IF(I94&lt;('Standard Thresholds'!#REF!+1),((I94-'Standard Thresholds'!$A$21)*'Standard Thresholds'!$D$21+'Standard Thresholds'!$C$21),IF(I94&gt;'Standard Thresholds'!#REF!,((I94-'Standard Thresholds'!#REF!)*'Standard Thresholds'!#REF!+'Standard Thresholds'!#REF!)))),IF('Standard Thresholds'!#REF!=I13,IF(I94&lt;'Standard Thresholds'!#REF!,0,IF(I94&lt;('Standard Thresholds'!#REF!+1),((I94-'Standard Thresholds'!#REF!)*'Standard Thresholds'!#REF!),IF(I94&lt;('Standard Thresholds'!#REF!+1),((I94-'Standard Thresholds'!#REF!)*'Standard Thresholds'!#REF!+'Standard Thresholds'!#REF!),IF(I94&lt;('Standard Thresholds'!#REF!+1),((I94-'Standard Thresholds'!#REF!)*'Standard Thresholds'!#REF!+'Standard Thresholds'!#REF!),IF(I94&gt;'Standard Thresholds'!#REF!,((I94-'Standard Thresholds'!#REF!)*'Standard Thresholds'!#REF!+'Standard Thresholds'!#REF!)))))),0)))</f>
        <v>0</v>
      </c>
      <c r="J103" s="569">
        <f>IF(J13='Standard Thresholds'!$A$6,IF(J94&lt;'Standard Thresholds'!$A$9,0,IF(J94&lt;('Standard Thresholds'!$A$10+1),((J94-'Standard Thresholds'!$A$9)*'Standard Thresholds'!$D$9),IF(J94&lt;('Standard Thresholds'!$A$11+1),((J94-'Standard Thresholds'!$A$10)*'Standard Thresholds'!$D$10+'Standard Thresholds'!$C$10),IF(J94&lt;('Standard Thresholds'!$A$12+1),((J94-'Standard Thresholds'!$A$11)*'Standard Thresholds'!$D$11+'Standard Thresholds'!$C$11),IF(J94&gt;'Standard Thresholds'!$A$12,((J94-'Standard Thresholds'!$A$12)*'Standard Thresholds'!$D$12+'Standard Thresholds'!$C$12)))))),IF('Standard Thresholds'!$A$18=J13,IF(J94&lt;('Standard Thresholds'!$A$21+1),((J94-'Standard Thresholds'!$A$20)*'Standard Thresholds'!$D$20+'Standard Thresholds'!$C$20),IF(J94&lt;('Standard Thresholds'!#REF!+1),((J94-'Standard Thresholds'!$A$21)*'Standard Thresholds'!$D$21+'Standard Thresholds'!$C$21),IF(J94&gt;'Standard Thresholds'!#REF!,((J94-'Standard Thresholds'!#REF!)*'Standard Thresholds'!#REF!+'Standard Thresholds'!#REF!)))),IF('Standard Thresholds'!#REF!=J13,IF(J94&lt;'Standard Thresholds'!#REF!,0,IF(J94&lt;('Standard Thresholds'!#REF!+1),((J94-'Standard Thresholds'!#REF!)*'Standard Thresholds'!#REF!),IF(J94&lt;('Standard Thresholds'!#REF!+1),((J94-'Standard Thresholds'!#REF!)*'Standard Thresholds'!#REF!+'Standard Thresholds'!#REF!),IF(J94&lt;('Standard Thresholds'!#REF!+1),((J94-'Standard Thresholds'!#REF!)*'Standard Thresholds'!#REF!+'Standard Thresholds'!#REF!),IF(J94&gt;'Standard Thresholds'!#REF!,((J94-'Standard Thresholds'!#REF!)*'Standard Thresholds'!#REF!+'Standard Thresholds'!#REF!)))))),0)))</f>
        <v>0</v>
      </c>
      <c r="K103" s="569">
        <f>IF(K13='Standard Thresholds'!$A$6,IF(K94&lt;'Standard Thresholds'!$A$9,0,IF(K94&lt;('Standard Thresholds'!$A$10+1),((K94-'Standard Thresholds'!$A$9)*'Standard Thresholds'!$D$9),IF(K94&lt;('Standard Thresholds'!$A$11+1),((K94-'Standard Thresholds'!$A$10)*'Standard Thresholds'!$D$10+'Standard Thresholds'!$C$10),IF(K94&lt;('Standard Thresholds'!$A$12+1),((K94-'Standard Thresholds'!$A$11)*'Standard Thresholds'!$D$11+'Standard Thresholds'!$C$11),IF(K94&gt;'Standard Thresholds'!$A$12,((K94-'Standard Thresholds'!$A$12)*'Standard Thresholds'!$D$12+'Standard Thresholds'!$C$12)))))),IF('Standard Thresholds'!$A$18=K13,IF(K94&lt;('Standard Thresholds'!$A$21+1),((K94-'Standard Thresholds'!$A$20)*'Standard Thresholds'!$D$20+'Standard Thresholds'!$C$20),IF(K94&lt;('Standard Thresholds'!#REF!+1),((K94-'Standard Thresholds'!$A$21)*'Standard Thresholds'!$D$21+'Standard Thresholds'!$C$21),IF(K94&gt;'Standard Thresholds'!#REF!,((K94-'Standard Thresholds'!#REF!)*'Standard Thresholds'!#REF!+'Standard Thresholds'!#REF!)))),IF('Standard Thresholds'!#REF!=K13,IF(K94&lt;'Standard Thresholds'!#REF!,0,IF(K94&lt;('Standard Thresholds'!#REF!+1),((K94-'Standard Thresholds'!#REF!)*'Standard Thresholds'!#REF!),IF(K94&lt;('Standard Thresholds'!#REF!+1),((K94-'Standard Thresholds'!#REF!)*'Standard Thresholds'!#REF!+'Standard Thresholds'!#REF!),IF(K94&lt;('Standard Thresholds'!#REF!+1),((K94-'Standard Thresholds'!#REF!)*'Standard Thresholds'!#REF!+'Standard Thresholds'!#REF!),IF(K94&gt;'Standard Thresholds'!#REF!,((K94-'Standard Thresholds'!#REF!)*'Standard Thresholds'!#REF!+'Standard Thresholds'!#REF!)))))),0)))</f>
        <v>0</v>
      </c>
      <c r="L103" s="569">
        <f>IF(L13='Standard Thresholds'!$A$6,IF(L94&lt;'Standard Thresholds'!$A$9,0,IF(L94&lt;('Standard Thresholds'!$A$10+1),((L94-'Standard Thresholds'!$A$9)*'Standard Thresholds'!$D$9),IF(L94&lt;('Standard Thresholds'!$A$11+1),((L94-'Standard Thresholds'!$A$10)*'Standard Thresholds'!$D$10+'Standard Thresholds'!$C$10),IF(L94&lt;('Standard Thresholds'!$A$12+1),((L94-'Standard Thresholds'!$A$11)*'Standard Thresholds'!$D$11+'Standard Thresholds'!$C$11),IF(L94&gt;'Standard Thresholds'!$A$12,((L94-'Standard Thresholds'!$A$12)*'Standard Thresholds'!$D$12+'Standard Thresholds'!$C$12)))))),IF('Standard Thresholds'!$A$18=L13,IF(L94&lt;('Standard Thresholds'!$A$21+1),((L94-'Standard Thresholds'!$A$20)*'Standard Thresholds'!$D$20+'Standard Thresholds'!$C$20),IF(L94&lt;('Standard Thresholds'!#REF!+1),((L94-'Standard Thresholds'!$A$21)*'Standard Thresholds'!$D$21+'Standard Thresholds'!$C$21),IF(L94&gt;'Standard Thresholds'!#REF!,((L94-'Standard Thresholds'!#REF!)*'Standard Thresholds'!#REF!+'Standard Thresholds'!#REF!)))),IF('Standard Thresholds'!#REF!=L13,IF(L94&lt;'Standard Thresholds'!#REF!,0,IF(L94&lt;('Standard Thresholds'!#REF!+1),((L94-'Standard Thresholds'!#REF!)*'Standard Thresholds'!#REF!),IF(L94&lt;('Standard Thresholds'!#REF!+1),((L94-'Standard Thresholds'!#REF!)*'Standard Thresholds'!#REF!+'Standard Thresholds'!#REF!),IF(L94&lt;('Standard Thresholds'!#REF!+1),((L94-'Standard Thresholds'!#REF!)*'Standard Thresholds'!#REF!+'Standard Thresholds'!#REF!),IF(L94&gt;'Standard Thresholds'!#REF!,((L94-'Standard Thresholds'!#REF!)*'Standard Thresholds'!#REF!+'Standard Thresholds'!#REF!)))))),0)))</f>
        <v>0</v>
      </c>
      <c r="M103" s="569">
        <f>IF(M13='Standard Thresholds'!$A$6,IF(M94&lt;'Standard Thresholds'!$A$9,0,IF(M94&lt;('Standard Thresholds'!$A$10+1),((M94-'Standard Thresholds'!$A$9)*'Standard Thresholds'!$D$9),IF(M94&lt;('Standard Thresholds'!$A$11+1),((M94-'Standard Thresholds'!$A$10)*'Standard Thresholds'!$D$10+'Standard Thresholds'!$C$10),IF(M94&lt;('Standard Thresholds'!$A$12+1),((M94-'Standard Thresholds'!$A$11)*'Standard Thresholds'!$D$11+'Standard Thresholds'!$C$11),IF(M94&gt;'Standard Thresholds'!$A$12,((M94-'Standard Thresholds'!$A$12)*'Standard Thresholds'!$D$12+'Standard Thresholds'!$C$12)))))),IF('Standard Thresholds'!$A$18=M13,IF(M94&lt;('Standard Thresholds'!$A$21+1),((M94-'Standard Thresholds'!$A$20)*'Standard Thresholds'!$D$20+'Standard Thresholds'!$C$20),IF(M94&lt;('Standard Thresholds'!#REF!+1),((M94-'Standard Thresholds'!$A$21)*'Standard Thresholds'!$D$21+'Standard Thresholds'!$C$21),IF(M94&gt;'Standard Thresholds'!#REF!,((M94-'Standard Thresholds'!#REF!)*'Standard Thresholds'!#REF!+'Standard Thresholds'!#REF!)))),IF('Standard Thresholds'!#REF!=M13,IF(M94&lt;'Standard Thresholds'!#REF!,0,IF(M94&lt;('Standard Thresholds'!#REF!+1),((M94-'Standard Thresholds'!#REF!)*'Standard Thresholds'!#REF!),IF(M94&lt;('Standard Thresholds'!#REF!+1),((M94-'Standard Thresholds'!#REF!)*'Standard Thresholds'!#REF!+'Standard Thresholds'!#REF!),IF(M94&lt;('Standard Thresholds'!#REF!+1),((M94-'Standard Thresholds'!#REF!)*'Standard Thresholds'!#REF!+'Standard Thresholds'!#REF!),IF(M94&gt;'Standard Thresholds'!#REF!,((M94-'Standard Thresholds'!#REF!)*'Standard Thresholds'!#REF!+'Standard Thresholds'!#REF!)))))),0)))</f>
        <v>0</v>
      </c>
      <c r="N103" s="569">
        <f>IF(N13='Standard Thresholds'!$A$6,IF(N94&lt;'Standard Thresholds'!$A$9,0,IF(N94&lt;('Standard Thresholds'!$A$10+1),((N94-'Standard Thresholds'!$A$9)*'Standard Thresholds'!$D$9),IF(N94&lt;('Standard Thresholds'!$A$11+1),((N94-'Standard Thresholds'!$A$10)*'Standard Thresholds'!$D$10+'Standard Thresholds'!$C$10),IF(N94&lt;('Standard Thresholds'!$A$12+1),((N94-'Standard Thresholds'!$A$11)*'Standard Thresholds'!$D$11+'Standard Thresholds'!$C$11),IF(N94&gt;'Standard Thresholds'!$A$12,((N94-'Standard Thresholds'!$A$12)*'Standard Thresholds'!$D$12+'Standard Thresholds'!$C$12)))))),IF('Standard Thresholds'!$A$18=N13,IF(N94&lt;('Standard Thresholds'!$A$21+1),((N94-'Standard Thresholds'!$A$20)*'Standard Thresholds'!$D$20+'Standard Thresholds'!$C$20),IF(N94&lt;('Standard Thresholds'!#REF!+1),((N94-'Standard Thresholds'!$A$21)*'Standard Thresholds'!$D$21+'Standard Thresholds'!$C$21),IF(N94&gt;'Standard Thresholds'!#REF!,((N94-'Standard Thresholds'!#REF!)*'Standard Thresholds'!#REF!+'Standard Thresholds'!#REF!)))),IF('Standard Thresholds'!#REF!=N13,IF(N94&lt;'Standard Thresholds'!#REF!,0,IF(N94&lt;('Standard Thresholds'!#REF!+1),((N94-'Standard Thresholds'!#REF!)*'Standard Thresholds'!#REF!),IF(N94&lt;('Standard Thresholds'!#REF!+1),((N94-'Standard Thresholds'!#REF!)*'Standard Thresholds'!#REF!+'Standard Thresholds'!#REF!),IF(N94&lt;('Standard Thresholds'!#REF!+1),((N94-'Standard Thresholds'!#REF!)*'Standard Thresholds'!#REF!+'Standard Thresholds'!#REF!),IF(N94&gt;'Standard Thresholds'!#REF!,((N94-'Standard Thresholds'!#REF!)*'Standard Thresholds'!#REF!+'Standard Thresholds'!#REF!)))))),0)))</f>
        <v>0</v>
      </c>
      <c r="O103" s="572">
        <f t="shared" ref="O103:X103" si="68">IF(O94&lt;=0, 0, O94*COY_Tax_Rate)</f>
        <v>0</v>
      </c>
      <c r="P103" s="572">
        <f t="shared" si="68"/>
        <v>0</v>
      </c>
      <c r="Q103" s="572">
        <f t="shared" si="68"/>
        <v>0</v>
      </c>
      <c r="R103" s="572">
        <f t="shared" si="68"/>
        <v>0</v>
      </c>
      <c r="S103" s="572">
        <f t="shared" si="68"/>
        <v>0</v>
      </c>
      <c r="T103" s="572">
        <f t="shared" si="68"/>
        <v>0</v>
      </c>
      <c r="U103" s="572">
        <f t="shared" si="68"/>
        <v>0</v>
      </c>
      <c r="V103" s="572">
        <f t="shared" si="68"/>
        <v>0</v>
      </c>
      <c r="W103" s="572">
        <f t="shared" si="68"/>
        <v>0</v>
      </c>
      <c r="X103" s="572">
        <f t="shared" si="68"/>
        <v>0</v>
      </c>
      <c r="Y103" s="572">
        <f>IF(Y94&lt;=0, 0, Y94*'Standard Thresholds'!D16)</f>
        <v>0</v>
      </c>
      <c r="Z103" s="1547">
        <f>IF(Z21&lt;'Standard Thresholds'!$A$9,0,IF(Z21&lt;('Standard Thresholds'!$A$10+1),((Z21-'Standard Thresholds'!$A$9)*'Standard Thresholds'!$D$9),IF(Z21&lt;('Standard Thresholds'!$A$11+1),((Z21-'Standard Thresholds'!$A$10)*'Standard Thresholds'!$D$10+'Standard Thresholds'!$C$10),IF(Z21&lt;('Standard Thresholds'!$A$12+1),((Z21-'Standard Thresholds'!$A$11)*'Standard Thresholds'!$D$11+'Standard Thresholds'!$C$11),IF(Z21&gt;'Standard Thresholds'!$A$12,((Z21-'Standard Thresholds'!$A$12)*'Standard Thresholds'!$D$12+'Standard Thresholds'!$C$12))))))</f>
        <v>0</v>
      </c>
      <c r="AA103" s="2469">
        <f>IF(AA21&lt;'Standard Thresholds'!$A$9,0,IF(AA21&lt;('Standard Thresholds'!$A$10+1),((AA21-'Standard Thresholds'!$A$9)*'Standard Thresholds'!$D$9),IF(AA21&lt;('Standard Thresholds'!$A$11+1),((AA21-'Standard Thresholds'!$A$10)*'Standard Thresholds'!$D$10+'Standard Thresholds'!$C$10),IF(AA21&lt;('Standard Thresholds'!$A$12+1),((AA21-'Standard Thresholds'!$A$11)*'Standard Thresholds'!$D$11+'Standard Thresholds'!$C$11),IF(AA21&gt;'Standard Thresholds'!$A$12,((AA21-'Standard Thresholds'!$A$12)*'Standard Thresholds'!$D$12+'Standard Thresholds'!$C$12))))))</f>
        <v>0</v>
      </c>
      <c r="AB103" s="1538">
        <f>IF(AB21&lt;'Standard Thresholds'!$A$9,0,IF(AB21&lt;('Standard Thresholds'!$A$10+1),((AB21-'Standard Thresholds'!$A$9)*'Standard Thresholds'!$D$9),IF(AB21&lt;('Standard Thresholds'!$A$11+1),((AB21-'Standard Thresholds'!$A$10)*'Standard Thresholds'!$D$10+'Standard Thresholds'!$C$10),IF(AB21&lt;('Standard Thresholds'!$A$12+1),((AB21-'Standard Thresholds'!$A$11)*'Standard Thresholds'!$D$11+'Standard Thresholds'!$C$11),IF(AB21&gt;'Standard Thresholds'!$A$12,((AB21-'Standard Thresholds'!$A$12)*'Standard Thresholds'!$D$12+'Standard Thresholds'!$C$12))))))</f>
        <v>0</v>
      </c>
      <c r="AC103" s="1538">
        <f>IF(AC21&lt;'Standard Thresholds'!$A$9,0,IF(AC21&lt;('Standard Thresholds'!$A$10+1),((AC21-'Standard Thresholds'!$A$9)*'Standard Thresholds'!$D$9),IF(AC21&lt;('Standard Thresholds'!$A$11+1),((AC21-'Standard Thresholds'!$A$10)*'Standard Thresholds'!$D$10+'Standard Thresholds'!$C$10),IF(AC21&lt;('Standard Thresholds'!$A$12+1),((AC21-'Standard Thresholds'!$A$11)*'Standard Thresholds'!$D$11+'Standard Thresholds'!$C$11),IF(AC21&gt;'Standard Thresholds'!$A$12,((AC21-'Standard Thresholds'!$A$12)*'Standard Thresholds'!$D$12+'Standard Thresholds'!$C$12))))))</f>
        <v>0</v>
      </c>
      <c r="AD103" s="1538">
        <f>IF(AD21&lt;'Standard Thresholds'!$A$9,0,IF(AD21&lt;('Standard Thresholds'!$A$10+1),((AD21-'Standard Thresholds'!$A$9)*'Standard Thresholds'!$D$9),IF(AD21&lt;('Standard Thresholds'!$A$11+1),((AD21-'Standard Thresholds'!$A$10)*'Standard Thresholds'!$D$10+'Standard Thresholds'!$C$10),IF(AD21&lt;('Standard Thresholds'!$A$12+1),((AD21-'Standard Thresholds'!$A$11)*'Standard Thresholds'!$D$11+'Standard Thresholds'!$C$11),IF(AD21&gt;'Standard Thresholds'!$A$12,((AD21-'Standard Thresholds'!$A$12)*'Standard Thresholds'!$D$12+'Standard Thresholds'!$C$12))))))</f>
        <v>0</v>
      </c>
      <c r="AE103" s="1538">
        <f>IF(AE21&lt;'Standard Thresholds'!$A$9,0,IF(AE21&lt;('Standard Thresholds'!$A$10+1),((AE21-'Standard Thresholds'!$A$9)*'Standard Thresholds'!$D$9),IF(AE21&lt;('Standard Thresholds'!$A$11+1),((AE21-'Standard Thresholds'!$A$10)*'Standard Thresholds'!$D$10+'Standard Thresholds'!$C$10),IF(AE21&lt;('Standard Thresholds'!$A$12+1),((AE21-'Standard Thresholds'!$A$11)*'Standard Thresholds'!$D$11+'Standard Thresholds'!$C$11),IF(AE21&gt;'Standard Thresholds'!$A$12,((AE21-'Standard Thresholds'!$A$12)*'Standard Thresholds'!$D$12+'Standard Thresholds'!$C$12))))))</f>
        <v>0</v>
      </c>
      <c r="AF103" s="1538">
        <f>IF(AF21&lt;'Standard Thresholds'!$A$9,0,IF(AF21&lt;('Standard Thresholds'!$A$10+1),((AF21-'Standard Thresholds'!$A$9)*'Standard Thresholds'!$D$9),IF(AF21&lt;('Standard Thresholds'!$A$11+1),((AF21-'Standard Thresholds'!$A$10)*'Standard Thresholds'!$D$10+'Standard Thresholds'!$C$10),IF(AF21&lt;('Standard Thresholds'!$A$12+1),((AF21-'Standard Thresholds'!$A$11)*'Standard Thresholds'!$D$11+'Standard Thresholds'!$C$11),IF(AF21&gt;'Standard Thresholds'!$A$12,((AF21-'Standard Thresholds'!$A$12)*'Standard Thresholds'!$D$12+'Standard Thresholds'!$C$12))))))</f>
        <v>0</v>
      </c>
      <c r="AG103" s="1538">
        <f>IF(AG21&lt;'Standard Thresholds'!$A$9,0,IF(AG21&lt;('Standard Thresholds'!$A$10+1),((AG21-'Standard Thresholds'!$A$9)*'Standard Thresholds'!$D$9),IF(AG21&lt;('Standard Thresholds'!$A$11+1),((AG21-'Standard Thresholds'!$A$10)*'Standard Thresholds'!$D$10+'Standard Thresholds'!$C$10),IF(AG21&lt;('Standard Thresholds'!$A$12+1),((AG21-'Standard Thresholds'!$A$11)*'Standard Thresholds'!$D$11+'Standard Thresholds'!$C$11),IF(AG21&gt;'Standard Thresholds'!$A$12,((AG21-'Standard Thresholds'!$A$12)*'Standard Thresholds'!$D$12+'Standard Thresholds'!$C$12))))))</f>
        <v>0</v>
      </c>
      <c r="AH103" s="1538">
        <f>IF(AH21&lt;'Standard Thresholds'!$A$9,0,IF(AH21&lt;('Standard Thresholds'!$A$10+1),((AH21-'Standard Thresholds'!$A$9)*'Standard Thresholds'!$D$9),IF(AH21&lt;('Standard Thresholds'!$A$11+1),((AH21-'Standard Thresholds'!$A$10)*'Standard Thresholds'!$D$10+'Standard Thresholds'!$C$10),IF(AH21&lt;('Standard Thresholds'!$A$12+1),((AH21-'Standard Thresholds'!$A$11)*'Standard Thresholds'!$D$11+'Standard Thresholds'!$C$11),IF(AH21&gt;'Standard Thresholds'!$A$12,((AH21-'Standard Thresholds'!$A$12)*'Standard Thresholds'!$D$12+'Standard Thresholds'!$C$12))))))</f>
        <v>0</v>
      </c>
      <c r="AI103" s="1547">
        <f>IF(AI21&lt;'Standard Thresholds'!$A$9,0,IF(AI21&lt;('Standard Thresholds'!$A$10+1),((AI21-'Standard Thresholds'!$A$9)*'Standard Thresholds'!$D$9),IF(AI21&lt;('Standard Thresholds'!$A$11+1),((AI21-'Standard Thresholds'!$A$10)*'Standard Thresholds'!$D$10+'Standard Thresholds'!$C$10),IF(AI21&lt;('Standard Thresholds'!$A$12+1),((AI21-'Standard Thresholds'!$A$11)*'Standard Thresholds'!$D$11+'Standard Thresholds'!$C$11),IF(AI21&gt;'Standard Thresholds'!$A$12,((AI21-'Standard Thresholds'!$A$12)*'Standard Thresholds'!$D$12+'Standard Thresholds'!$C$12))))))</f>
        <v>0</v>
      </c>
    </row>
    <row r="104" spans="1:35" ht="15" customHeight="1">
      <c r="A104" s="498"/>
      <c r="B104" s="502"/>
      <c r="C104" s="477"/>
      <c r="D104" s="504" t="s">
        <v>1792</v>
      </c>
      <c r="E104" s="1552"/>
      <c r="F104" s="1552"/>
      <c r="G104" s="1552"/>
      <c r="H104" s="1552"/>
      <c r="I104" s="1552"/>
      <c r="J104" s="1552"/>
      <c r="K104" s="1552"/>
      <c r="L104" s="1552"/>
      <c r="M104" s="1552"/>
      <c r="N104" s="1552"/>
      <c r="O104" s="540"/>
      <c r="P104" s="540"/>
      <c r="Q104" s="540"/>
      <c r="R104" s="540"/>
      <c r="S104" s="540"/>
      <c r="T104" s="540"/>
      <c r="U104" s="540"/>
      <c r="V104" s="540"/>
      <c r="W104" s="540"/>
      <c r="X104" s="540"/>
      <c r="Y104" s="2452"/>
      <c r="Z104" s="1548">
        <f>IF(Z94-Z21&lt;=0,0,((INDEX(Minors_Tax_Rates,MATCH(Z94-Z21-1,Minors_Thresholds,1),3))*IF(AND((Z94-Z21)&gt;'Standard Thresholds'!$A$147,(Z94-Z21)&lt;='Standard Thresholds'!$A$148),(Z94-Z21-'Standard Thresholds'!$A$147),(Z94-Z21))))</f>
        <v>0</v>
      </c>
      <c r="AA104" s="2430">
        <f>IF(AA94-AA21&lt;=0,0,((INDEX(Minors_Tax_Rates,MATCH(AA94-AA21-1,Minors_Thresholds,1),3))*IF(AND((AA94-AA21)&gt;'Standard Thresholds'!$A$147,(AA94-AA21)&lt;='Standard Thresholds'!$A$148),(AA94-AA21-'Standard Thresholds'!$A$147),(AA94-AA21))))</f>
        <v>0</v>
      </c>
      <c r="AB104" s="552">
        <f>IF(AB94-AB21&lt;=0,0,((INDEX(Minors_Tax_Rates,MATCH(AB94-AB21-1,Minors_Thresholds,1),3))*IF(AND((AB94-AB21)&gt;'Standard Thresholds'!$A$147,(AB94-AB21)&lt;='Standard Thresholds'!$A$148),(AB94-AB21-'Standard Thresholds'!$A$147),(AB94-AB21))))</f>
        <v>0</v>
      </c>
      <c r="AC104" s="552">
        <f>IF(AC94-AC21&lt;=0,0,((INDEX(Minors_Tax_Rates,MATCH(AC94-AC21-1,Minors_Thresholds,1),3))*IF(AND((AC94-AC21)&gt;'Standard Thresholds'!$A$147,(AC94-AC21)&lt;='Standard Thresholds'!$A$148),(AC94-AC21-'Standard Thresholds'!$A$147),(AC94-AC21))))</f>
        <v>0</v>
      </c>
      <c r="AD104" s="552">
        <f>IF(AD94-AD21&lt;=0,0,((INDEX(Minors_Tax_Rates,MATCH(AD94-AD21-1,Minors_Thresholds,1),3))*IF(AND((AD94-AD21)&gt;'Standard Thresholds'!$A$147,(AD94-AD21)&lt;='Standard Thresholds'!$A$148),(AD94-AD21-'Standard Thresholds'!$A$147),(AD94-AD21))))</f>
        <v>0</v>
      </c>
      <c r="AE104" s="552">
        <f>IF(AE94-AE21&lt;=0,0,((INDEX(Minors_Tax_Rates,MATCH(AE94-AE21-1,Minors_Thresholds,1),3))*IF(AND((AE94-AE21)&gt;'Standard Thresholds'!$A$147,(AE94-AE21)&lt;='Standard Thresholds'!$A$148),(AE94-AE21-'Standard Thresholds'!$A$147),(AE94-AE21))))</f>
        <v>0</v>
      </c>
      <c r="AF104" s="552">
        <f>IF(AF94-AF21&lt;=0,0,((INDEX(Minors_Tax_Rates,MATCH(AF94-AF21-1,Minors_Thresholds,1),3))*IF(AND((AF94-AF21)&gt;'Standard Thresholds'!$A$147,(AF94-AF21)&lt;='Standard Thresholds'!$A$148),(AF94-AF21-'Standard Thresholds'!$A$147),(AF94-AF21))))</f>
        <v>0</v>
      </c>
      <c r="AG104" s="552">
        <f>IF(AG94-AG21&lt;=0,0,((INDEX(Minors_Tax_Rates,MATCH(AG94-AG21-1,Minors_Thresholds,1),3))*IF(AND((AG94-AG21)&gt;'Standard Thresholds'!$A$147,(AG94-AG21)&lt;='Standard Thresholds'!$A$148),(AG94-AG21-'Standard Thresholds'!$A$147),(AG94-AG21))))</f>
        <v>0</v>
      </c>
      <c r="AH104" s="552">
        <f>IF(AH94-AH21&lt;=0,0,((INDEX(Minors_Tax_Rates,MATCH(AH94-AH21-1,Minors_Thresholds,1),3))*IF(AND((AH94-AH21)&gt;'Standard Thresholds'!$A$147,(AH94-AH21)&lt;='Standard Thresholds'!$A$148),(AH94-AH21-'Standard Thresholds'!$A$147),(AH94-AH21))))</f>
        <v>0</v>
      </c>
      <c r="AI104" s="1548">
        <f>IF(AI94-AI21&lt;=0,0,((INDEX(Minors_Tax_Rates,MATCH(AI94-AI21-1,Minors_Thresholds,1),3))*IF(AND((AI94-AI21)&gt;'Standard Thresholds'!$A$147,(AI94-AI21)&lt;='Standard Thresholds'!$A$148),(AI94-AI21-'Standard Thresholds'!$A$147),(AI94-AI21))))</f>
        <v>0</v>
      </c>
    </row>
    <row r="105" spans="1:35" ht="15" customHeight="1">
      <c r="A105" s="498"/>
      <c r="B105" s="502"/>
      <c r="C105" s="477"/>
      <c r="D105" s="504" t="s">
        <v>1793</v>
      </c>
      <c r="E105" s="1537">
        <f>IF(E13="Resident",IF(E94&lt;'Standard Thresholds'!$F$28,(E94*0),IF(E94&lt;'Standard Thresholds'!$F$29,(E94-'Standard Thresholds'!$F$28)*'Standard Thresholds'!$G$29,E94*'Standard Thresholds'!$G$30)),0)</f>
        <v>0</v>
      </c>
      <c r="F105" s="1537">
        <f>IF(F13="Resident",IF(F94&lt;'Standard Thresholds'!$F$28,(F94*0),IF(F94&lt;'Standard Thresholds'!$F$29,(F94-'Standard Thresholds'!$F$28)*'Standard Thresholds'!$G$29,F94*'Standard Thresholds'!$G$30)),0)</f>
        <v>0</v>
      </c>
      <c r="G105" s="1537">
        <f>IF(G13="Resident",IF(G94&lt;'Standard Thresholds'!$F$28,(G94*0),IF(G94&lt;'Standard Thresholds'!$F$29,(G94-'Standard Thresholds'!$F$28)*'Standard Thresholds'!$G$29,G94*'Standard Thresholds'!$G$30)),0)</f>
        <v>0</v>
      </c>
      <c r="H105" s="1537">
        <f>IF(H13="Resident",IF(H94&lt;'Standard Thresholds'!$F$28,(H94*0),IF(H94&lt;'Standard Thresholds'!$F$29,(H94-'Standard Thresholds'!$F$28)*'Standard Thresholds'!$G$29,H94*'Standard Thresholds'!$G$30)),0)</f>
        <v>0</v>
      </c>
      <c r="I105" s="1537">
        <f>IF(I13="Resident",IF(I94&lt;'Standard Thresholds'!$F$28,(I94*0),IF(I94&lt;'Standard Thresholds'!$F$29,(I94-'Standard Thresholds'!$F$28)*'Standard Thresholds'!$G$29,I94*'Standard Thresholds'!$G$30)),0)</f>
        <v>0</v>
      </c>
      <c r="J105" s="1537">
        <f>IF(J13="Resident",IF(J94&lt;'Standard Thresholds'!$F$28,(J94*0),IF(J94&lt;'Standard Thresholds'!$F$29,(J94-'Standard Thresholds'!$F$28)*'Standard Thresholds'!$G$29,J94*'Standard Thresholds'!$G$30)),0)</f>
        <v>0</v>
      </c>
      <c r="K105" s="1537">
        <f>IF(K13="Resident",IF(K94&lt;'Standard Thresholds'!$F$28,(K94*0),IF(K94&lt;'Standard Thresholds'!$F$29,(K94-'Standard Thresholds'!$F$28)*'Standard Thresholds'!$G$29,K94*'Standard Thresholds'!$G$30)),0)</f>
        <v>0</v>
      </c>
      <c r="L105" s="1537">
        <f>IF(L13="Resident",IF(L94&lt;'Standard Thresholds'!$F$28,(L94*0),IF(L94&lt;'Standard Thresholds'!$F$29,(L94-'Standard Thresholds'!$F$28)*'Standard Thresholds'!$G$29,L94*'Standard Thresholds'!$G$30)),0)</f>
        <v>0</v>
      </c>
      <c r="M105" s="1537">
        <f>IF(M13="Resident",IF(M94&lt;'Standard Thresholds'!$F$28,(M94*0),IF(M94&lt;'Standard Thresholds'!$F$29,(M94-'Standard Thresholds'!$F$28)*'Standard Thresholds'!$G$29,M94*'Standard Thresholds'!$G$30)),0)</f>
        <v>0</v>
      </c>
      <c r="N105" s="1537">
        <f>IF(N13="Resident",IF(N94&lt;'Standard Thresholds'!$F$28,(N94*0),IF(N94&lt;'Standard Thresholds'!$F$29,(N94-'Standard Thresholds'!$F$28)*'Standard Thresholds'!$G$29,N94*'Standard Thresholds'!$G$30)),0)</f>
        <v>0</v>
      </c>
      <c r="O105" s="540"/>
      <c r="P105" s="540"/>
      <c r="Q105" s="540"/>
      <c r="R105" s="540"/>
      <c r="S105" s="540"/>
      <c r="T105" s="540"/>
      <c r="U105" s="540"/>
      <c r="V105" s="540"/>
      <c r="W105" s="540"/>
      <c r="X105" s="540"/>
      <c r="Y105" s="2452"/>
      <c r="Z105" s="1549">
        <f>IF(Z94&lt;'Standard Thresholds'!$F$28,(Z94*0),IF(Z94&lt;'Standard Thresholds'!$F$29,(Z94-'Standard Thresholds'!$F$28)*'Standard Thresholds'!$G$29,Z94*'Standard Thresholds'!$G$30))</f>
        <v>0</v>
      </c>
      <c r="AA105" s="2470">
        <f>IF(AA94&lt;'Standard Thresholds'!$F$28,(AA94*0),IF(AA94&lt;'Standard Thresholds'!$F$29,(AA94-'Standard Thresholds'!$F$28)*'Standard Thresholds'!$G$29,AA94*'Standard Thresholds'!$G$30))</f>
        <v>0</v>
      </c>
      <c r="AB105" s="570">
        <f>IF(AB94&lt;'Standard Thresholds'!$F$28,(AB94*0),IF(AB94&lt;'Standard Thresholds'!$F$29,(AB94-'Standard Thresholds'!$F$28)*'Standard Thresholds'!$G$29,AB94*'Standard Thresholds'!$G$30))</f>
        <v>0</v>
      </c>
      <c r="AC105" s="570">
        <f>IF(AC94&lt;'Standard Thresholds'!$F$28,(AC94*0),IF(AC94&lt;'Standard Thresholds'!$F$29,(AC94-'Standard Thresholds'!$F$28)*'Standard Thresholds'!$G$29,AC94*'Standard Thresholds'!$G$30))</f>
        <v>0</v>
      </c>
      <c r="AD105" s="570">
        <f>IF(AD94&lt;'Standard Thresholds'!$F$28,(AD94*0),IF(AD94&lt;'Standard Thresholds'!$F$29,(AD94-'Standard Thresholds'!$F$28)*'Standard Thresholds'!$G$29,AD94*'Standard Thresholds'!$G$30))</f>
        <v>0</v>
      </c>
      <c r="AE105" s="570">
        <f>IF(AE94&lt;'Standard Thresholds'!$F$28,(AE94*0),IF(AE94&lt;'Standard Thresholds'!$F$29,(AE94-'Standard Thresholds'!$F$28)*'Standard Thresholds'!$G$29,AE94*'Standard Thresholds'!$G$30))</f>
        <v>0</v>
      </c>
      <c r="AF105" s="570">
        <f>IF(AF94&lt;'Standard Thresholds'!$F$28,(AF94*0),IF(AF94&lt;'Standard Thresholds'!$F$29,(AF94-'Standard Thresholds'!$F$28)*'Standard Thresholds'!$G$29,AF94*'Standard Thresholds'!$G$30))</f>
        <v>0</v>
      </c>
      <c r="AG105" s="570">
        <f>IF(AG94&lt;'Standard Thresholds'!$F$28,(AG94*0),IF(AG94&lt;'Standard Thresholds'!$F$29,(AG94-'Standard Thresholds'!$F$28)*'Standard Thresholds'!$G$29,AG94*'Standard Thresholds'!$G$30))</f>
        <v>0</v>
      </c>
      <c r="AH105" s="570">
        <f>IF(AH94&lt;'Standard Thresholds'!$F$28,(AH94*0),IF(AH94&lt;'Standard Thresholds'!$F$29,(AH94-'Standard Thresholds'!$F$28)*'Standard Thresholds'!$G$29,AH94*'Standard Thresholds'!$G$30))</f>
        <v>0</v>
      </c>
      <c r="AI105" s="1549">
        <f>IF(AI94&lt;'Standard Thresholds'!$F$28,(AI94*0),IF(AI94&lt;'Standard Thresholds'!$F$29,(AI94-'Standard Thresholds'!$F$28)*'Standard Thresholds'!$G$29,AI94*'Standard Thresholds'!$G$30))</f>
        <v>0</v>
      </c>
    </row>
    <row r="106" spans="1:35" ht="15" hidden="1" customHeight="1">
      <c r="A106" s="498"/>
      <c r="B106" s="502"/>
      <c r="C106" s="477"/>
      <c r="D106" s="488" t="str">
        <f>"HECs Rate for Income &gt; $"&amp;'Standard Thresholds'!A59</f>
        <v>HECs Rate for Income &gt; $Taxable Income</v>
      </c>
      <c r="E106" s="552">
        <f>IF(E36+E94&gt;'Standard Thresholds'!$A$71,'Standard Thresholds'!$J$71,IF(E36+E94&gt;'Standard Thresholds'!$A$66,'Standard Thresholds'!$J$66,IF(E36+E94&gt;'Standard Thresholds'!$A$65,'Standard Thresholds'!$J$65,IF(E36+E94&gt;'Standard Thresholds'!$A$64,'Standard Thresholds'!$J$64,IF(E36+E94&gt;'Standard Thresholds'!$A$63,'Standard Thresholds'!$J$63,IF(E36+E94&gt;'Standard Thresholds'!$A$62,'Standard Thresholds'!$J$62,IF(E36+E94&gt;'Standard Thresholds'!$A$61,'Standard Thresholds'!$J$61,IF(E36+E94&gt;'Standard Thresholds'!$A$59,'Standard Thresholds'!$J$59,0))))))))</f>
        <v>0</v>
      </c>
      <c r="F106" s="552">
        <f>IF(F36+F94&gt;'Standard Thresholds'!$A$71,'Standard Thresholds'!$J$71,IF(F36+F94&gt;'Standard Thresholds'!$A$66,'Standard Thresholds'!$J$66,IF(F36+F94&gt;'Standard Thresholds'!$A$65,'Standard Thresholds'!$J$65,IF(F36+F94&gt;'Standard Thresholds'!$A$64,'Standard Thresholds'!$J$64,IF(F36+F94&gt;'Standard Thresholds'!$A$63,'Standard Thresholds'!$J$63,IF(F36+F94&gt;'Standard Thresholds'!$A$62,'Standard Thresholds'!$J$62,IF(F36+F94&gt;'Standard Thresholds'!$A$61,'Standard Thresholds'!$J$61,IF(F36+F94&gt;'Standard Thresholds'!$A$59,'Standard Thresholds'!$J$59,0))))))))</f>
        <v>0</v>
      </c>
      <c r="G106" s="552">
        <f>IF(G36+G94&gt;'Standard Thresholds'!$A$71,'Standard Thresholds'!$J$71,IF(G36+G94&gt;'Standard Thresholds'!$A$66,'Standard Thresholds'!$J$66,IF(G36+G94&gt;'Standard Thresholds'!$A$65,'Standard Thresholds'!$J$65,IF(G36+G94&gt;'Standard Thresholds'!$A$64,'Standard Thresholds'!$J$64,IF(G36+G94&gt;'Standard Thresholds'!$A$63,'Standard Thresholds'!$J$63,IF(G36+G94&gt;'Standard Thresholds'!$A$62,'Standard Thresholds'!$J$62,IF(G36+G94&gt;'Standard Thresholds'!$A$61,'Standard Thresholds'!$J$61,IF(G36+G94&gt;'Standard Thresholds'!$A$59,'Standard Thresholds'!$J$59,0))))))))</f>
        <v>0</v>
      </c>
      <c r="H106" s="552">
        <f>IF(H36+H94&gt;'Standard Thresholds'!$A$71,'Standard Thresholds'!$J$71,IF(H36+H94&gt;'Standard Thresholds'!$A$66,'Standard Thresholds'!$J$66,IF(H36+H94&gt;'Standard Thresholds'!$A$65,'Standard Thresholds'!$J$65,IF(H36+H94&gt;'Standard Thresholds'!$A$64,'Standard Thresholds'!$J$64,IF(H36+H94&gt;'Standard Thresholds'!$A$63,'Standard Thresholds'!$J$63,IF(H36+H94&gt;'Standard Thresholds'!$A$62,'Standard Thresholds'!$J$62,IF(H36+H94&gt;'Standard Thresholds'!$A$61,'Standard Thresholds'!$J$61,IF(H36+H94&gt;'Standard Thresholds'!$A$59,'Standard Thresholds'!$J$59,0))))))))</f>
        <v>0</v>
      </c>
      <c r="I106" s="552">
        <f>IF(I36+I94&gt;'Standard Thresholds'!$A$71,'Standard Thresholds'!$J$71,IF(I36+I94&gt;'Standard Thresholds'!$A$66,'Standard Thresholds'!$J$66,IF(I36+I94&gt;'Standard Thresholds'!$A$65,'Standard Thresholds'!$J$65,IF(I36+I94&gt;'Standard Thresholds'!$A$64,'Standard Thresholds'!$J$64,IF(I36+I94&gt;'Standard Thresholds'!$A$63,'Standard Thresholds'!$J$63,IF(I36+I94&gt;'Standard Thresholds'!$A$62,'Standard Thresholds'!$J$62,IF(I36+I94&gt;'Standard Thresholds'!$A$61,'Standard Thresholds'!$J$61,IF(I36+I94&gt;'Standard Thresholds'!$A$59,'Standard Thresholds'!$J$59,0))))))))</f>
        <v>0</v>
      </c>
      <c r="J106" s="552">
        <f>IF(J36+J94&gt;'Standard Thresholds'!$A$71,'Standard Thresholds'!$J$71,IF(J36+J94&gt;'Standard Thresholds'!$A$66,'Standard Thresholds'!$J$66,IF(J36+J94&gt;'Standard Thresholds'!$A$65,'Standard Thresholds'!$J$65,IF(J36+J94&gt;'Standard Thresholds'!$A$64,'Standard Thresholds'!$J$64,IF(J36+J94&gt;'Standard Thresholds'!$A$63,'Standard Thresholds'!$J$63,IF(J36+J94&gt;'Standard Thresholds'!$A$62,'Standard Thresholds'!$J$62,IF(J36+J94&gt;'Standard Thresholds'!$A$61,'Standard Thresholds'!$J$61,IF(J36+J94&gt;'Standard Thresholds'!$A$59,'Standard Thresholds'!$J$59,0))))))))</f>
        <v>0</v>
      </c>
      <c r="K106" s="552">
        <f>IF(K36+K94&gt;'Standard Thresholds'!$A$71,'Standard Thresholds'!$J$71,IF(K36+K94&gt;'Standard Thresholds'!$A$66,'Standard Thresholds'!$J$66,IF(K36+K94&gt;'Standard Thresholds'!$A$65,'Standard Thresholds'!$J$65,IF(K36+K94&gt;'Standard Thresholds'!$A$64,'Standard Thresholds'!$J$64,IF(K36+K94&gt;'Standard Thresholds'!$A$63,'Standard Thresholds'!$J$63,IF(K36+K94&gt;'Standard Thresholds'!$A$62,'Standard Thresholds'!$J$62,IF(K36+K94&gt;'Standard Thresholds'!$A$61,'Standard Thresholds'!$J$61,IF(K36+K94&gt;'Standard Thresholds'!$A$59,'Standard Thresholds'!$J$59,0))))))))</f>
        <v>0</v>
      </c>
      <c r="L106" s="552">
        <f>IF(L36+L94&gt;'Standard Thresholds'!$A$71,'Standard Thresholds'!$J$71,IF(L36+L94&gt;'Standard Thresholds'!$A$66,'Standard Thresholds'!$J$66,IF(L36+L94&gt;'Standard Thresholds'!$A$65,'Standard Thresholds'!$J$65,IF(L36+L94&gt;'Standard Thresholds'!$A$64,'Standard Thresholds'!$J$64,IF(L36+L94&gt;'Standard Thresholds'!$A$63,'Standard Thresholds'!$J$63,IF(L36+L94&gt;'Standard Thresholds'!$A$62,'Standard Thresholds'!$J$62,IF(L36+L94&gt;'Standard Thresholds'!$A$61,'Standard Thresholds'!$J$61,IF(L36+L94&gt;'Standard Thresholds'!$A$59,'Standard Thresholds'!$J$59,0))))))))</f>
        <v>0</v>
      </c>
      <c r="M106" s="552">
        <f>IF(M36+M94&gt;'Standard Thresholds'!$A$71,'Standard Thresholds'!$J$71,IF(M36+M94&gt;'Standard Thresholds'!$A$66,'Standard Thresholds'!$J$66,IF(M36+M94&gt;'Standard Thresholds'!$A$65,'Standard Thresholds'!$J$65,IF(M36+M94&gt;'Standard Thresholds'!$A$64,'Standard Thresholds'!$J$64,IF(M36+M94&gt;'Standard Thresholds'!$A$63,'Standard Thresholds'!$J$63,IF(M36+M94&gt;'Standard Thresholds'!$A$62,'Standard Thresholds'!$J$62,IF(M36+M94&gt;'Standard Thresholds'!$A$61,'Standard Thresholds'!$J$61,IF(M36+M94&gt;'Standard Thresholds'!$A$59,'Standard Thresholds'!$J$59,0))))))))</f>
        <v>0</v>
      </c>
      <c r="N106" s="552">
        <f>IF(N36+N94&gt;'Standard Thresholds'!$A$71,'Standard Thresholds'!$J$71,IF(N36+N94&gt;'Standard Thresholds'!$A$66,'Standard Thresholds'!$J$66,IF(N36+N94&gt;'Standard Thresholds'!$A$65,'Standard Thresholds'!$J$65,IF(N36+N94&gt;'Standard Thresholds'!$A$64,'Standard Thresholds'!$J$64,IF(N36+N94&gt;'Standard Thresholds'!$A$63,'Standard Thresholds'!$J$63,IF(N36+N94&gt;'Standard Thresholds'!$A$62,'Standard Thresholds'!$J$62,IF(N36+N94&gt;'Standard Thresholds'!$A$61,'Standard Thresholds'!$J$61,IF(N36+N94&gt;'Standard Thresholds'!$A$59,'Standard Thresholds'!$J$59,0))))))))</f>
        <v>0</v>
      </c>
      <c r="O106" s="540"/>
      <c r="P106" s="540"/>
      <c r="Q106" s="540"/>
      <c r="R106" s="540"/>
      <c r="S106" s="540"/>
      <c r="T106" s="540"/>
      <c r="U106" s="540"/>
      <c r="V106" s="540"/>
      <c r="W106" s="540"/>
      <c r="X106" s="540"/>
      <c r="Y106" s="2452"/>
      <c r="Z106" s="1549">
        <f>IF(Z103&lt;'Standard Thresholds'!$F$28,(Z103*0),IF(Z103&lt;'Standard Thresholds'!$F$29,(Z103-'Standard Thresholds'!$F$28)*'Standard Thresholds'!$G$29,Z103*'Standard Thresholds'!$G$30))</f>
        <v>0</v>
      </c>
      <c r="AA106" s="540"/>
      <c r="AB106" s="2452"/>
      <c r="AC106" s="2452"/>
      <c r="AD106" s="2452"/>
      <c r="AE106" s="2452"/>
      <c r="AF106" s="2452"/>
      <c r="AG106" s="2452"/>
      <c r="AH106" s="2452"/>
      <c r="AI106" s="541"/>
    </row>
    <row r="107" spans="1:35" ht="15" hidden="1" customHeight="1">
      <c r="A107" s="498"/>
      <c r="B107" s="502"/>
      <c r="C107" s="477"/>
      <c r="D107" s="488" t="str">
        <f>"HECs Rate for Income &lt;= $"&amp;'Standard Thresholds'!A59</f>
        <v>HECs Rate for Income &lt;= $Taxable Income</v>
      </c>
      <c r="E107" s="552">
        <f>IF(E36+E94&lt;='Standard Thresholds'!$A$53,0,IF(E36+E94&lt;='Standard Thresholds'!$A$59,'Standard Thresholds'!$J$53,0))</f>
        <v>0</v>
      </c>
      <c r="F107" s="552">
        <f>IF(F36+F94&lt;='Standard Thresholds'!$A$53,0,IF(F36+F94&lt;='Standard Thresholds'!$A$59,'Standard Thresholds'!$J$53,0))</f>
        <v>0</v>
      </c>
      <c r="G107" s="552">
        <f>IF(G36+G94&lt;='Standard Thresholds'!$A$53,0,IF(G36+G94&lt;='Standard Thresholds'!$A$59,'Standard Thresholds'!$J$53,0))</f>
        <v>0</v>
      </c>
      <c r="H107" s="552">
        <f>IF(H36+H94&lt;='Standard Thresholds'!$A$53,0,IF(H36+H94&lt;='Standard Thresholds'!$A$59,'Standard Thresholds'!$J$53,0))</f>
        <v>0</v>
      </c>
      <c r="I107" s="552">
        <f>IF(I36+I94&lt;='Standard Thresholds'!$A$53,0,IF(I36+I94&lt;='Standard Thresholds'!$A$59,'Standard Thresholds'!$J$53,0))</f>
        <v>0</v>
      </c>
      <c r="J107" s="552">
        <f>IF(J36+J94&lt;='Standard Thresholds'!$A$53,0,IF(J36+J94&lt;='Standard Thresholds'!$A$59,'Standard Thresholds'!$J$53,0))</f>
        <v>0</v>
      </c>
      <c r="K107" s="552">
        <f>IF(K36+K94&lt;='Standard Thresholds'!$A$53,0,IF(K36+K94&lt;='Standard Thresholds'!$A$59,'Standard Thresholds'!$J$53,0))</f>
        <v>0</v>
      </c>
      <c r="L107" s="552">
        <f>IF(L36+L94&lt;='Standard Thresholds'!$A$53,0,IF(L36+L94&lt;='Standard Thresholds'!$A$59,'Standard Thresholds'!$J$53,0))</f>
        <v>0</v>
      </c>
      <c r="M107" s="552">
        <f>IF(M36+M94&lt;='Standard Thresholds'!$A$53,0,IF(M36+M94&lt;='Standard Thresholds'!$A$59,'Standard Thresholds'!$J$53,0))</f>
        <v>0</v>
      </c>
      <c r="N107" s="552">
        <f>IF(N36+N94&lt;='Standard Thresholds'!$A$53,0,IF(N36+N94&lt;='Standard Thresholds'!$A$59,'Standard Thresholds'!$J$53,0))</f>
        <v>0</v>
      </c>
      <c r="O107" s="540"/>
      <c r="P107" s="540"/>
      <c r="Q107" s="540"/>
      <c r="R107" s="540"/>
      <c r="S107" s="540"/>
      <c r="T107" s="540"/>
      <c r="U107" s="540"/>
      <c r="V107" s="540"/>
      <c r="W107" s="540"/>
      <c r="X107" s="540"/>
      <c r="Y107" s="2452"/>
      <c r="Z107" s="1549">
        <f>IF(Z104&lt;'Standard Thresholds'!$F$28,(Z104*0),IF(Z104&lt;'Standard Thresholds'!$F$29,(Z104-'Standard Thresholds'!$F$28)*'Standard Thresholds'!$G$29,Z104*'Standard Thresholds'!$G$30))</f>
        <v>0</v>
      </c>
      <c r="AA107" s="540"/>
      <c r="AB107" s="2452"/>
      <c r="AC107" s="2452"/>
      <c r="AD107" s="2452"/>
      <c r="AE107" s="2452"/>
      <c r="AF107" s="2452"/>
      <c r="AG107" s="2452"/>
      <c r="AH107" s="2452"/>
      <c r="AI107" s="541"/>
    </row>
    <row r="108" spans="1:35" ht="15" customHeight="1">
      <c r="A108" s="498"/>
      <c r="B108" s="502"/>
      <c r="C108" s="477"/>
      <c r="D108" s="1521" t="s">
        <v>1773</v>
      </c>
      <c r="E108" s="570">
        <f t="shared" ref="E108:N108" si="69">IF(E13="Resident",IF(OR(E109="YES",IF(OR(E110=""=FALSE,E111&gt;0),MLS_Family+(MLS_Child*IF(E111&lt;=1,0,E111-1)),MLS_Single)&gt;=E113),0,E112*(IF(OR(E110=""=FALSE,E111&gt;0),INDEX(MLS,MATCH(E113,MLS_Family_C,1),3),INDEX(MLS,MATCH(E113,MLS_Single_C,1),3)))),0)</f>
        <v>0</v>
      </c>
      <c r="F108" s="570">
        <f t="shared" si="69"/>
        <v>0</v>
      </c>
      <c r="G108" s="570">
        <f t="shared" si="69"/>
        <v>0</v>
      </c>
      <c r="H108" s="570">
        <f t="shared" si="69"/>
        <v>0</v>
      </c>
      <c r="I108" s="570">
        <f t="shared" si="69"/>
        <v>0</v>
      </c>
      <c r="J108" s="570">
        <f t="shared" si="69"/>
        <v>0</v>
      </c>
      <c r="K108" s="570">
        <f t="shared" si="69"/>
        <v>0</v>
      </c>
      <c r="L108" s="570">
        <f t="shared" si="69"/>
        <v>0</v>
      </c>
      <c r="M108" s="570">
        <f t="shared" si="69"/>
        <v>0</v>
      </c>
      <c r="N108" s="570">
        <f t="shared" si="69"/>
        <v>0</v>
      </c>
      <c r="O108" s="540"/>
      <c r="P108" s="540"/>
      <c r="Q108" s="540"/>
      <c r="R108" s="540"/>
      <c r="S108" s="540"/>
      <c r="T108" s="540"/>
      <c r="U108" s="540"/>
      <c r="V108" s="540"/>
      <c r="W108" s="540"/>
      <c r="X108" s="540"/>
      <c r="Y108" s="2452"/>
      <c r="Z108" s="1549">
        <f t="shared" ref="Z108:AI108" si="70">IF(OR(Z109="YES",IF(OR(Z110=""=FALSE,Z111&gt;0),MLS_Family+(MLS_Child*IF(Z111&lt;=1,0,Z111-1)),MLS_Single)&gt;=Z113),0,Z112*(IF(OR(Z110=""=FALSE,Z111&gt;0),INDEX(MLS,MATCH(Z113,MLS_Family_C,1),3),INDEX(MLS,MATCH(Z113,MLS_Single_C,1),3))))</f>
        <v>0</v>
      </c>
      <c r="AA108" s="2470">
        <f t="shared" si="70"/>
        <v>0</v>
      </c>
      <c r="AB108" s="570">
        <f t="shared" si="70"/>
        <v>0</v>
      </c>
      <c r="AC108" s="570">
        <f t="shared" si="70"/>
        <v>0</v>
      </c>
      <c r="AD108" s="570">
        <f t="shared" si="70"/>
        <v>0</v>
      </c>
      <c r="AE108" s="570">
        <f t="shared" si="70"/>
        <v>0</v>
      </c>
      <c r="AF108" s="570">
        <f t="shared" si="70"/>
        <v>0</v>
      </c>
      <c r="AG108" s="570">
        <f t="shared" si="70"/>
        <v>0</v>
      </c>
      <c r="AH108" s="570">
        <f t="shared" si="70"/>
        <v>0</v>
      </c>
      <c r="AI108" s="1549">
        <f t="shared" si="70"/>
        <v>0</v>
      </c>
    </row>
    <row r="109" spans="1:35" ht="15" customHeight="1">
      <c r="A109" s="498"/>
      <c r="B109" s="502"/>
      <c r="C109" s="477"/>
      <c r="D109" s="1553" t="s">
        <v>1769</v>
      </c>
      <c r="E109" s="1963"/>
      <c r="F109" s="1963"/>
      <c r="G109" s="1963"/>
      <c r="H109" s="1963"/>
      <c r="I109" s="1963"/>
      <c r="J109" s="1963"/>
      <c r="K109" s="1963"/>
      <c r="L109" s="1963"/>
      <c r="M109" s="1963"/>
      <c r="N109" s="1963"/>
      <c r="O109" s="540"/>
      <c r="P109" s="540"/>
      <c r="Q109" s="540"/>
      <c r="R109" s="540"/>
      <c r="S109" s="540"/>
      <c r="T109" s="540"/>
      <c r="U109" s="540"/>
      <c r="V109" s="540"/>
      <c r="W109" s="540"/>
      <c r="X109" s="540"/>
      <c r="Y109" s="2452"/>
      <c r="Z109" s="1968"/>
      <c r="AA109" s="2471"/>
      <c r="AB109" s="2024"/>
      <c r="AC109" s="2024"/>
      <c r="AD109" s="2024"/>
      <c r="AE109" s="2024"/>
      <c r="AF109" s="2024"/>
      <c r="AG109" s="2024"/>
      <c r="AH109" s="2024"/>
      <c r="AI109" s="2025"/>
    </row>
    <row r="110" spans="1:35" ht="15" customHeight="1">
      <c r="A110" s="498"/>
      <c r="B110" s="502"/>
      <c r="C110" s="477"/>
      <c r="D110" s="1553" t="s">
        <v>1772</v>
      </c>
      <c r="E110" s="1963"/>
      <c r="F110" s="1963"/>
      <c r="G110" s="1963"/>
      <c r="H110" s="1963"/>
      <c r="I110" s="1963"/>
      <c r="J110" s="1963"/>
      <c r="K110" s="1963"/>
      <c r="L110" s="1963"/>
      <c r="M110" s="1963"/>
      <c r="N110" s="1963"/>
      <c r="O110" s="540"/>
      <c r="P110" s="540"/>
      <c r="Q110" s="540"/>
      <c r="R110" s="540"/>
      <c r="S110" s="540"/>
      <c r="T110" s="540"/>
      <c r="U110" s="540"/>
      <c r="V110" s="540"/>
      <c r="W110" s="540"/>
      <c r="X110" s="540"/>
      <c r="Y110" s="2452"/>
      <c r="Z110" s="2453"/>
      <c r="AA110" s="540"/>
      <c r="AB110" s="2452"/>
      <c r="AC110" s="2452"/>
      <c r="AD110" s="2452"/>
      <c r="AE110" s="2452"/>
      <c r="AF110" s="2452"/>
      <c r="AG110" s="2452"/>
      <c r="AH110" s="2452"/>
      <c r="AI110" s="541"/>
    </row>
    <row r="111" spans="1:35" ht="15" customHeight="1">
      <c r="A111" s="498"/>
      <c r="B111" s="502"/>
      <c r="C111" s="477"/>
      <c r="D111" s="1553" t="s">
        <v>1770</v>
      </c>
      <c r="E111" s="1971"/>
      <c r="F111" s="1971"/>
      <c r="G111" s="1971"/>
      <c r="H111" s="1971"/>
      <c r="I111" s="1971"/>
      <c r="J111" s="1971"/>
      <c r="K111" s="1971"/>
      <c r="L111" s="1971"/>
      <c r="M111" s="1971"/>
      <c r="N111" s="1971"/>
      <c r="O111" s="540"/>
      <c r="P111" s="540"/>
      <c r="Q111" s="540"/>
      <c r="R111" s="540"/>
      <c r="S111" s="540"/>
      <c r="T111" s="540"/>
      <c r="U111" s="540"/>
      <c r="V111" s="540"/>
      <c r="W111" s="540"/>
      <c r="X111" s="540"/>
      <c r="Y111" s="2452"/>
      <c r="Z111" s="2453"/>
      <c r="AA111" s="540"/>
      <c r="AB111" s="2452"/>
      <c r="AC111" s="2452"/>
      <c r="AD111" s="2452"/>
      <c r="AE111" s="2452"/>
      <c r="AF111" s="2452"/>
      <c r="AG111" s="2452"/>
      <c r="AH111" s="2452"/>
      <c r="AI111" s="541"/>
    </row>
    <row r="112" spans="1:35" ht="15" customHeight="1">
      <c r="A112" s="498"/>
      <c r="B112" s="502"/>
      <c r="C112" s="477"/>
      <c r="D112" s="1553" t="s">
        <v>1787</v>
      </c>
      <c r="E112" s="1554">
        <f>E94+E36</f>
        <v>0</v>
      </c>
      <c r="F112" s="1554">
        <f t="shared" ref="F112:N112" si="71">F94+F36</f>
        <v>0</v>
      </c>
      <c r="G112" s="1554">
        <f t="shared" si="71"/>
        <v>0</v>
      </c>
      <c r="H112" s="1554">
        <f t="shared" si="71"/>
        <v>0</v>
      </c>
      <c r="I112" s="1554">
        <f t="shared" si="71"/>
        <v>0</v>
      </c>
      <c r="J112" s="1554">
        <f t="shared" si="71"/>
        <v>0</v>
      </c>
      <c r="K112" s="1554">
        <f t="shared" si="71"/>
        <v>0</v>
      </c>
      <c r="L112" s="1554">
        <f t="shared" si="71"/>
        <v>0</v>
      </c>
      <c r="M112" s="1554">
        <f t="shared" si="71"/>
        <v>0</v>
      </c>
      <c r="N112" s="1554">
        <f t="shared" si="71"/>
        <v>0</v>
      </c>
      <c r="O112" s="540"/>
      <c r="P112" s="540"/>
      <c r="Q112" s="540"/>
      <c r="R112" s="540"/>
      <c r="S112" s="540"/>
      <c r="T112" s="540"/>
      <c r="U112" s="540"/>
      <c r="V112" s="540"/>
      <c r="W112" s="540"/>
      <c r="X112" s="540"/>
      <c r="Y112" s="2452"/>
      <c r="Z112" s="1562">
        <f>Z94+Z36</f>
        <v>0</v>
      </c>
      <c r="AA112" s="2472">
        <f t="shared" ref="AA112:AI112" si="72">AA94+AA36</f>
        <v>0</v>
      </c>
      <c r="AB112" s="1554">
        <f t="shared" si="72"/>
        <v>0</v>
      </c>
      <c r="AC112" s="1554">
        <f t="shared" si="72"/>
        <v>0</v>
      </c>
      <c r="AD112" s="1554">
        <f t="shared" si="72"/>
        <v>0</v>
      </c>
      <c r="AE112" s="1554">
        <f t="shared" si="72"/>
        <v>0</v>
      </c>
      <c r="AF112" s="1554">
        <f t="shared" si="72"/>
        <v>0</v>
      </c>
      <c r="AG112" s="1554">
        <f t="shared" si="72"/>
        <v>0</v>
      </c>
      <c r="AH112" s="1554">
        <f t="shared" si="72"/>
        <v>0</v>
      </c>
      <c r="AI112" s="1562">
        <f t="shared" si="72"/>
        <v>0</v>
      </c>
    </row>
    <row r="113" spans="1:36" ht="15" customHeight="1">
      <c r="A113" s="498"/>
      <c r="B113" s="502"/>
      <c r="C113" s="477"/>
      <c r="D113" s="2473" t="s">
        <v>1788</v>
      </c>
      <c r="E113" s="1545">
        <f t="shared" ref="E113:N113" si="73">E84+E94+E36+E37+SUMPRODUCT(--(Individuals_A=E110),$E94:$N94+$E36:$N36+$E37:$N37)</f>
        <v>0</v>
      </c>
      <c r="F113" s="1545">
        <f t="shared" si="73"/>
        <v>0</v>
      </c>
      <c r="G113" s="1545">
        <f t="shared" si="73"/>
        <v>0</v>
      </c>
      <c r="H113" s="1545">
        <f t="shared" si="73"/>
        <v>0</v>
      </c>
      <c r="I113" s="1545">
        <f t="shared" si="73"/>
        <v>0</v>
      </c>
      <c r="J113" s="1545">
        <f t="shared" si="73"/>
        <v>0</v>
      </c>
      <c r="K113" s="1545">
        <f t="shared" si="73"/>
        <v>0</v>
      </c>
      <c r="L113" s="1545">
        <f t="shared" si="73"/>
        <v>0</v>
      </c>
      <c r="M113" s="1545">
        <f t="shared" si="73"/>
        <v>0</v>
      </c>
      <c r="N113" s="1545">
        <f t="shared" si="73"/>
        <v>0</v>
      </c>
      <c r="O113" s="540"/>
      <c r="P113" s="540"/>
      <c r="Q113" s="540"/>
      <c r="R113" s="540"/>
      <c r="S113" s="540"/>
      <c r="T113" s="540"/>
      <c r="U113" s="540"/>
      <c r="V113" s="540"/>
      <c r="W113" s="540"/>
      <c r="X113" s="540"/>
      <c r="Y113" s="2452"/>
      <c r="Z113" s="1563">
        <f t="shared" ref="Z113:AI113" si="74">Z94+Z36+Z37+SUMPRODUCT(--(Individuals_A=Z110),$E94:$N94+$E36:$N36+$E37:$N37)</f>
        <v>0</v>
      </c>
      <c r="AA113" s="2474">
        <f t="shared" si="74"/>
        <v>0</v>
      </c>
      <c r="AB113" s="1545">
        <f t="shared" si="74"/>
        <v>0</v>
      </c>
      <c r="AC113" s="1545">
        <f t="shared" si="74"/>
        <v>0</v>
      </c>
      <c r="AD113" s="1545">
        <f t="shared" si="74"/>
        <v>0</v>
      </c>
      <c r="AE113" s="1545">
        <f t="shared" si="74"/>
        <v>0</v>
      </c>
      <c r="AF113" s="1545">
        <f t="shared" si="74"/>
        <v>0</v>
      </c>
      <c r="AG113" s="1545">
        <f t="shared" si="74"/>
        <v>0</v>
      </c>
      <c r="AH113" s="1545">
        <f t="shared" si="74"/>
        <v>0</v>
      </c>
      <c r="AI113" s="1563">
        <f t="shared" si="74"/>
        <v>0</v>
      </c>
    </row>
    <row r="114" spans="1:36" ht="15" customHeight="1">
      <c r="A114" s="498"/>
      <c r="B114" s="502"/>
      <c r="C114" s="477"/>
      <c r="D114" s="488" t="s">
        <v>1791</v>
      </c>
      <c r="E114" s="552">
        <f t="shared" ref="E114:N114" ca="1" si="75">IFERROR(IF(E94&lt;0,0,IF(SUM(E36,E37,E94)*INDEX(OFFSET(HECS_Repayment,1,,,1),MATCH(SUM(E36,E37,E94),OFFSET(HECS_Repayment,1,MATCH(YEAR($AI$9),OFFSET(HECS_Repayment,,,1),0)-1,,1)))&gt;E38,E38,SUM(E36,E37,E94)*INDEX(OFFSET(HECS_Repayment,1,,,1),MATCH(SUM(E36,E37,E94),OFFSET(HECS_Repayment,1,MATCH(YEAR($AI$9),OFFSET(HECS_Repayment,,,1),0)-1,,1))))),0)</f>
        <v>0</v>
      </c>
      <c r="F114" s="552">
        <f t="shared" ca="1" si="75"/>
        <v>0</v>
      </c>
      <c r="G114" s="552">
        <f t="shared" ca="1" si="75"/>
        <v>0</v>
      </c>
      <c r="H114" s="552">
        <f t="shared" ca="1" si="75"/>
        <v>0</v>
      </c>
      <c r="I114" s="552">
        <f t="shared" ca="1" si="75"/>
        <v>0</v>
      </c>
      <c r="J114" s="552">
        <f t="shared" ca="1" si="75"/>
        <v>0</v>
      </c>
      <c r="K114" s="552">
        <f t="shared" ca="1" si="75"/>
        <v>0</v>
      </c>
      <c r="L114" s="552">
        <f t="shared" ca="1" si="75"/>
        <v>0</v>
      </c>
      <c r="M114" s="552">
        <f t="shared" ca="1" si="75"/>
        <v>0</v>
      </c>
      <c r="N114" s="552">
        <f t="shared" ca="1" si="75"/>
        <v>0</v>
      </c>
      <c r="O114" s="540"/>
      <c r="P114" s="540"/>
      <c r="Q114" s="540"/>
      <c r="R114" s="540"/>
      <c r="S114" s="540"/>
      <c r="T114" s="540"/>
      <c r="U114" s="540"/>
      <c r="V114" s="540"/>
      <c r="W114" s="540"/>
      <c r="X114" s="540"/>
      <c r="Y114" s="2452"/>
      <c r="Z114" s="2453"/>
      <c r="AA114" s="540"/>
      <c r="AB114" s="2061"/>
      <c r="AC114" s="2061"/>
      <c r="AD114" s="2061"/>
      <c r="AE114" s="2061"/>
      <c r="AF114" s="2061"/>
      <c r="AG114" s="2061"/>
      <c r="AH114" s="2061"/>
      <c r="AI114" s="545"/>
    </row>
    <row r="115" spans="1:36" ht="15" customHeight="1">
      <c r="A115" s="498"/>
      <c r="B115" s="502"/>
      <c r="C115" s="477"/>
      <c r="D115" s="488" t="s">
        <v>1533</v>
      </c>
      <c r="E115" s="526">
        <f ca="1">SUM(E103:E105)+E114+E108</f>
        <v>0</v>
      </c>
      <c r="F115" s="526">
        <f t="shared" ref="F115:N115" ca="1" si="76">SUM(F103:F105)+F114+F108</f>
        <v>0</v>
      </c>
      <c r="G115" s="526">
        <f t="shared" ca="1" si="76"/>
        <v>0</v>
      </c>
      <c r="H115" s="526">
        <f t="shared" ca="1" si="76"/>
        <v>0</v>
      </c>
      <c r="I115" s="526">
        <f t="shared" ca="1" si="76"/>
        <v>0</v>
      </c>
      <c r="J115" s="526">
        <f t="shared" ca="1" si="76"/>
        <v>0</v>
      </c>
      <c r="K115" s="526">
        <f t="shared" ca="1" si="76"/>
        <v>0</v>
      </c>
      <c r="L115" s="526">
        <f t="shared" ca="1" si="76"/>
        <v>0</v>
      </c>
      <c r="M115" s="526">
        <f t="shared" ca="1" si="76"/>
        <v>0</v>
      </c>
      <c r="N115" s="526">
        <f t="shared" ca="1" si="76"/>
        <v>0</v>
      </c>
      <c r="O115" s="526">
        <f t="shared" ref="O115:Y115" si="77">SUM(O103:O105)+O114</f>
        <v>0</v>
      </c>
      <c r="P115" s="526">
        <f t="shared" si="77"/>
        <v>0</v>
      </c>
      <c r="Q115" s="526">
        <f t="shared" si="77"/>
        <v>0</v>
      </c>
      <c r="R115" s="526">
        <f t="shared" si="77"/>
        <v>0</v>
      </c>
      <c r="S115" s="526">
        <f t="shared" si="77"/>
        <v>0</v>
      </c>
      <c r="T115" s="526">
        <f t="shared" si="77"/>
        <v>0</v>
      </c>
      <c r="U115" s="526">
        <f t="shared" si="77"/>
        <v>0</v>
      </c>
      <c r="V115" s="526">
        <f t="shared" si="77"/>
        <v>0</v>
      </c>
      <c r="W115" s="526">
        <f t="shared" si="77"/>
        <v>0</v>
      </c>
      <c r="X115" s="526">
        <f t="shared" si="77"/>
        <v>0</v>
      </c>
      <c r="Y115" s="526">
        <f t="shared" si="77"/>
        <v>0</v>
      </c>
      <c r="Z115" s="1564">
        <f>SUM(Z103:Z108)+Z114</f>
        <v>0</v>
      </c>
      <c r="AA115" s="1559">
        <f t="shared" ref="AA115:AJ115" si="78">SUM(AA103:AA108)+AA114</f>
        <v>0</v>
      </c>
      <c r="AB115" s="526">
        <f t="shared" si="78"/>
        <v>0</v>
      </c>
      <c r="AC115" s="526">
        <f t="shared" si="78"/>
        <v>0</v>
      </c>
      <c r="AD115" s="526">
        <f t="shared" si="78"/>
        <v>0</v>
      </c>
      <c r="AE115" s="526">
        <f t="shared" si="78"/>
        <v>0</v>
      </c>
      <c r="AF115" s="526">
        <f t="shared" si="78"/>
        <v>0</v>
      </c>
      <c r="AG115" s="526">
        <f t="shared" si="78"/>
        <v>0</v>
      </c>
      <c r="AH115" s="526">
        <f t="shared" si="78"/>
        <v>0</v>
      </c>
      <c r="AI115" s="1564">
        <f t="shared" si="78"/>
        <v>0</v>
      </c>
      <c r="AJ115" s="1559">
        <f t="shared" si="78"/>
        <v>0</v>
      </c>
    </row>
    <row r="116" spans="1:36" ht="15.75" customHeight="1">
      <c r="A116" s="498"/>
      <c r="B116" s="502"/>
      <c r="C116" s="477"/>
      <c r="D116" s="489" t="s">
        <v>1164</v>
      </c>
      <c r="E116" s="546"/>
      <c r="F116" s="546"/>
      <c r="G116" s="546"/>
      <c r="H116" s="546"/>
      <c r="I116" s="546"/>
      <c r="J116" s="546"/>
      <c r="K116" s="546"/>
      <c r="L116" s="546"/>
      <c r="M116" s="546"/>
      <c r="N116" s="546"/>
      <c r="O116" s="544"/>
      <c r="P116" s="544"/>
      <c r="Q116" s="544"/>
      <c r="R116" s="544"/>
      <c r="S116" s="544"/>
      <c r="T116" s="544"/>
      <c r="U116" s="544"/>
      <c r="V116" s="544"/>
      <c r="W116" s="544"/>
      <c r="X116" s="544"/>
      <c r="Y116" s="2061"/>
      <c r="Z116" s="2454"/>
      <c r="AA116" s="544"/>
      <c r="AB116" s="2061"/>
      <c r="AC116" s="2061"/>
      <c r="AD116" s="2061"/>
      <c r="AE116" s="2061"/>
      <c r="AF116" s="2061"/>
      <c r="AG116" s="2061"/>
      <c r="AH116" s="2061"/>
      <c r="AI116" s="545"/>
    </row>
    <row r="117" spans="1:36" ht="15.75" customHeight="1">
      <c r="A117" s="498"/>
      <c r="B117" s="502"/>
      <c r="C117" s="477"/>
      <c r="D117" s="488" t="s">
        <v>2039</v>
      </c>
      <c r="E117" s="2055">
        <f>IF(E94&lt;='Standard Thresholds'!$A$167,'Standard Thresholds'!$C$167,IF(E94&lt;('Standard Thresholds'!$A$168),((((E94-'Standard Thresholds'!$A$167)*'Standard Thresholds'!$D$168)+'Standard Thresholds'!$C$168)+'Dist - Non Averaging'!$C$169),IF(E94&lt;('Standard Thresholds'!$A$169),((E94-'Standard Thresholds'!$A$168)*'Standard Thresholds'!$D$169+'Standard Thresholds'!$C$169),IF(E94&lt;=('Standard Thresholds'!$A$169),((E94-'Standard Thresholds'!$A$169)*'Standard Thresholds'!$D$169+'Standard Thresholds'!$C$169),IF(E94&lt;'Standard Thresholds'!$A$170,((E94-'Standard Thresholds'!$A$169)*'Standard Thresholds'!$D$170+'Standard Thresholds'!$C$170),IF(E94&gt;'Standard Thresholds'!$A$170,0,0))))))</f>
        <v>0</v>
      </c>
      <c r="F117" s="2055">
        <f>IF(F94&lt;='Standard Thresholds'!$A$167,'Standard Thresholds'!$C$167,IF(F94&lt;('Standard Thresholds'!$A$168),((((F94-'Standard Thresholds'!$A$167)*'Standard Thresholds'!$D$168)+'Standard Thresholds'!$C$168)+'Dist - Non Averaging'!$C$169),IF(F94&lt;('Standard Thresholds'!$A$169),((F94-'Standard Thresholds'!$A$168)*'Standard Thresholds'!$D$169+'Standard Thresholds'!$C$169),IF(F94&lt;=('Standard Thresholds'!$A$169),((F94-'Standard Thresholds'!$A$169)*'Standard Thresholds'!$D$169+'Standard Thresholds'!$C$169),IF(F94&lt;'Standard Thresholds'!$A$170,((F94-'Standard Thresholds'!$A$169)*'Standard Thresholds'!$D$170+'Standard Thresholds'!$C$170),IF(F94&gt;'Standard Thresholds'!$A$170,0,0))))))</f>
        <v>0</v>
      </c>
      <c r="G117" s="2055">
        <f>IF(G94&lt;='Standard Thresholds'!$A$167,'Standard Thresholds'!$C$167,IF(G94&lt;('Standard Thresholds'!$A$168),((((G94-'Standard Thresholds'!$A$167)*'Standard Thresholds'!$D$168)+'Standard Thresholds'!$C$168)+'Dist - Non Averaging'!$C$169),IF(G94&lt;('Standard Thresholds'!$A$169),((G94-'Standard Thresholds'!$A$168)*'Standard Thresholds'!$D$169+'Standard Thresholds'!$C$169),IF(G94&lt;=('Standard Thresholds'!$A$169),((G94-'Standard Thresholds'!$A$169)*'Standard Thresholds'!$D$169+'Standard Thresholds'!$C$169),IF(G94&lt;'Standard Thresholds'!$A$170,((G94-'Standard Thresholds'!$A$169)*'Standard Thresholds'!$D$170+'Standard Thresholds'!$C$170),IF(G94&gt;'Standard Thresholds'!$A$170,0,0))))))</f>
        <v>0</v>
      </c>
      <c r="H117" s="2055">
        <f>IF(H94&lt;='Standard Thresholds'!$A$167,'Standard Thresholds'!$C$167,IF(H94&lt;('Standard Thresholds'!$A$168),((((H94-'Standard Thresholds'!$A$167)*'Standard Thresholds'!$D$168)+'Standard Thresholds'!$C$168)+'Dist - Non Averaging'!$C$169),IF(H94&lt;('Standard Thresholds'!$A$169),((H94-'Standard Thresholds'!$A$168)*'Standard Thresholds'!$D$169+'Standard Thresholds'!$C$169),IF(H94&lt;=('Standard Thresholds'!$A$169),((H94-'Standard Thresholds'!$A$169)*'Standard Thresholds'!$D$169+'Standard Thresholds'!$C$169),IF(H94&lt;'Standard Thresholds'!$A$170,((H94-'Standard Thresholds'!$A$169)*'Standard Thresholds'!$D$170+'Standard Thresholds'!$C$170),IF(H94&gt;'Standard Thresholds'!$A$170,0,0))))))</f>
        <v>0</v>
      </c>
      <c r="I117" s="2055">
        <f>IF(I94&lt;='Standard Thresholds'!$A$167,'Standard Thresholds'!$C$167,IF(I94&lt;('Standard Thresholds'!$A$168),((((I94-'Standard Thresholds'!$A$167)*'Standard Thresholds'!$D$168)+'Standard Thresholds'!$C$168)+'Dist - Non Averaging'!$C$169),IF(I94&lt;('Standard Thresholds'!$A$169),((I94-'Standard Thresholds'!$A$168)*'Standard Thresholds'!$D$169+'Standard Thresholds'!$C$169),IF(I94&lt;=('Standard Thresholds'!$A$169),((I94-'Standard Thresholds'!$A$169)*'Standard Thresholds'!$D$169+'Standard Thresholds'!$C$169),IF(I94&lt;'Standard Thresholds'!$A$170,((I94-'Standard Thresholds'!$A$169)*'Standard Thresholds'!$D$170+'Standard Thresholds'!$C$170),IF(I94&gt;'Standard Thresholds'!$A$170,0,0))))))</f>
        <v>0</v>
      </c>
      <c r="J117" s="2055">
        <f>IF(J94&lt;='Standard Thresholds'!$A$167,'Standard Thresholds'!$C$167,IF(J94&lt;('Standard Thresholds'!$A$168),((((J94-'Standard Thresholds'!$A$167)*'Standard Thresholds'!$D$168)+'Standard Thresholds'!$C$168)+'Dist - Non Averaging'!$C$169),IF(J94&lt;('Standard Thresholds'!$A$169),((J94-'Standard Thresholds'!$A$168)*'Standard Thresholds'!$D$169+'Standard Thresholds'!$C$169),IF(J94&lt;=('Standard Thresholds'!$A$169),((J94-'Standard Thresholds'!$A$169)*'Standard Thresholds'!$D$169+'Standard Thresholds'!$C$169),IF(J94&lt;'Standard Thresholds'!$A$170,((J94-'Standard Thresholds'!$A$169)*'Standard Thresholds'!$D$170+'Standard Thresholds'!$C$170),IF(J94&gt;'Standard Thresholds'!$A$170,0,0))))))</f>
        <v>0</v>
      </c>
      <c r="K117" s="2055">
        <f>IF(K94&lt;='Standard Thresholds'!$A$167,'Standard Thresholds'!$C$167,IF(K94&lt;('Standard Thresholds'!$A$168),((((K94-'Standard Thresholds'!$A$167)*'Standard Thresholds'!$D$168)+'Standard Thresholds'!$C$168)+'Dist - Non Averaging'!$C$169),IF(K94&lt;('Standard Thresholds'!$A$169),((K94-'Standard Thresholds'!$A$168)*'Standard Thresholds'!$D$169+'Standard Thresholds'!$C$169),IF(K94&lt;=('Standard Thresholds'!$A$169),((K94-'Standard Thresholds'!$A$169)*'Standard Thresholds'!$D$169+'Standard Thresholds'!$C$169),IF(K94&lt;'Standard Thresholds'!$A$170,((K94-'Standard Thresholds'!$A$169)*'Standard Thresholds'!$D$170+'Standard Thresholds'!$C$170),IF(K94&gt;'Standard Thresholds'!$A$170,0,0))))))</f>
        <v>0</v>
      </c>
      <c r="L117" s="2055">
        <f>IF(L94&lt;='Standard Thresholds'!$A$167,'Standard Thresholds'!$C$167,IF(L94&lt;('Standard Thresholds'!$A$168),((((L94-'Standard Thresholds'!$A$167)*'Standard Thresholds'!$D$168)+'Standard Thresholds'!$C$168)+'Dist - Non Averaging'!$C$169),IF(L94&lt;('Standard Thresholds'!$A$169),((L94-'Standard Thresholds'!$A$168)*'Standard Thresholds'!$D$169+'Standard Thresholds'!$C$169),IF(L94&lt;=('Standard Thresholds'!$A$169),((L94-'Standard Thresholds'!$A$169)*'Standard Thresholds'!$D$169+'Standard Thresholds'!$C$169),IF(L94&lt;'Standard Thresholds'!$A$170,((L94-'Standard Thresholds'!$A$169)*'Standard Thresholds'!$D$170+'Standard Thresholds'!$C$170),IF(L94&gt;'Standard Thresholds'!$A$170,0,0))))))</f>
        <v>0</v>
      </c>
      <c r="M117" s="2055">
        <f>IF(M94&lt;='Standard Thresholds'!$A$167,'Standard Thresholds'!$C$167,IF(M94&lt;('Standard Thresholds'!$A$168),((((M94-'Standard Thresholds'!$A$167)*'Standard Thresholds'!$D$168)+'Standard Thresholds'!$C$168)+'Dist - Non Averaging'!$C$169),IF(M94&lt;('Standard Thresholds'!$A$169),((M94-'Standard Thresholds'!$A$168)*'Standard Thresholds'!$D$169+'Standard Thresholds'!$C$169),IF(M94&lt;=('Standard Thresholds'!$A$169),((M94-'Standard Thresholds'!$A$169)*'Standard Thresholds'!$D$169+'Standard Thresholds'!$C$169),IF(M94&lt;'Standard Thresholds'!$A$170,((M94-'Standard Thresholds'!$A$169)*'Standard Thresholds'!$D$170+'Standard Thresholds'!$C$170),IF(M94&gt;'Standard Thresholds'!$A$170,0,0))))))</f>
        <v>0</v>
      </c>
      <c r="N117" s="2055">
        <f>IF(N94&lt;='Standard Thresholds'!$A$167,'Standard Thresholds'!$C$167,IF(N94&lt;('Standard Thresholds'!$A$168),((((N94-'Standard Thresholds'!$A$167)*'Standard Thresholds'!$D$168)+'Standard Thresholds'!$C$168)+'Dist - Non Averaging'!$C$169),IF(N94&lt;('Standard Thresholds'!$A$169),((N94-'Standard Thresholds'!$A$168)*'Standard Thresholds'!$D$169+'Standard Thresholds'!$C$169),IF(N94&lt;=('Standard Thresholds'!$A$169),((N94-'Standard Thresholds'!$A$169)*'Standard Thresholds'!$D$169+'Standard Thresholds'!$C$169),IF(N94&lt;'Standard Thresholds'!$A$170,((N94-'Standard Thresholds'!$A$169)*'Standard Thresholds'!$D$170+'Standard Thresholds'!$C$170),IF(N94&gt;'Standard Thresholds'!$A$170,0,0))))))</f>
        <v>0</v>
      </c>
      <c r="O117" s="544"/>
      <c r="P117" s="544"/>
      <c r="Q117" s="544"/>
      <c r="R117" s="544"/>
      <c r="S117" s="544"/>
      <c r="T117" s="544"/>
      <c r="U117" s="544"/>
      <c r="V117" s="544"/>
      <c r="W117" s="544"/>
      <c r="X117" s="544"/>
      <c r="Y117" s="2061"/>
      <c r="Z117" s="2454"/>
      <c r="AA117" s="544"/>
      <c r="AB117" s="2061"/>
      <c r="AC117" s="2061"/>
      <c r="AD117" s="2061"/>
      <c r="AE117" s="2061"/>
      <c r="AF117" s="2061"/>
      <c r="AG117" s="2061"/>
      <c r="AH117" s="2061"/>
      <c r="AI117" s="545"/>
    </row>
    <row r="118" spans="1:36" ht="15.75" customHeight="1">
      <c r="A118" s="498"/>
      <c r="B118" s="502"/>
      <c r="C118" s="477"/>
      <c r="D118" s="504" t="s">
        <v>2060</v>
      </c>
      <c r="E118" s="2055">
        <f>IF(E94&lt;='Standard Thresholds'!$A$175,'Standard Thresholds'!$C$175,IF(E94&lt;('Standard Thresholds'!$A$176),((((E94-'Standard Thresholds'!$A$175)*'Standard Thresholds'!$D$176)+'Standard Thresholds'!$C$176)+'Dist - Non Averaging'!$C$169),IF(E94&lt;=('Standard Thresholds'!$A$178),((E94-'Standard Thresholds'!$A$176)*'Standard Thresholds'!$D$178+'Standard Thresholds'!$C$178),IF(E94&lt;=('Standard Thresholds'!$A$178),((E94-'Standard Thresholds'!$A$178)*'Standard Thresholds'!$D$178+'Standard Thresholds'!$C$178),IF(E94&gt;'Standard Thresholds'!$A$179,((E94-'Standard Thresholds'!$A$178)*'Standard Thresholds'!$D$179+'Standard Thresholds'!$C$179),IF(E94&gt;'Standard Thresholds'!$A$179,0,0))))))</f>
        <v>0</v>
      </c>
      <c r="F118" s="2055">
        <f>IF(F94&lt;='Standard Thresholds'!$A$175,'Standard Thresholds'!$C$175,IF(F94&lt;('Standard Thresholds'!$A$176),((((F94-'Standard Thresholds'!$A$175)*'Standard Thresholds'!$D$176)+'Standard Thresholds'!$C$176)+'Dist - Non Averaging'!$C$169),IF(F94&lt;=('Standard Thresholds'!$A$178),((F94-'Standard Thresholds'!$A$176)*'Standard Thresholds'!$D$178+'Standard Thresholds'!$C$178),IF(F94&lt;=('Standard Thresholds'!$A$178),((F94-'Standard Thresholds'!$A$178)*'Standard Thresholds'!$D$178+'Standard Thresholds'!$C$178),IF(F94&gt;'Standard Thresholds'!$A$179,((F94-'Standard Thresholds'!$A$178)*'Standard Thresholds'!$D$179+'Standard Thresholds'!$C$179),IF(F94&gt;'Standard Thresholds'!$A$179,0,0))))))</f>
        <v>0</v>
      </c>
      <c r="G118" s="2055">
        <f>IF(G94&lt;='Standard Thresholds'!$A$175,'Standard Thresholds'!$C$175,IF(G94&lt;('Standard Thresholds'!$A$176),((((G94-'Standard Thresholds'!$A$175)*'Standard Thresholds'!$D$176)+'Standard Thresholds'!$C$176)+'Dist - Non Averaging'!$C$169),IF(G94&lt;=('Standard Thresholds'!$A$178),((G94-'Standard Thresholds'!$A$176)*'Standard Thresholds'!$D$178+'Standard Thresholds'!$C$178),IF(G94&lt;=('Standard Thresholds'!$A$178),((G94-'Standard Thresholds'!$A$178)*'Standard Thresholds'!$D$178+'Standard Thresholds'!$C$178),IF(G94&gt;'Standard Thresholds'!$A$179,((G94-'Standard Thresholds'!$A$178)*'Standard Thresholds'!$D$179+'Standard Thresholds'!$C$179),IF(G94&gt;'Standard Thresholds'!$A$179,0,0))))))</f>
        <v>0</v>
      </c>
      <c r="H118" s="2055">
        <f>IF(H94&lt;='Standard Thresholds'!$A$175,'Standard Thresholds'!$C$175,IF(H94&lt;('Standard Thresholds'!$A$176),((((H94-'Standard Thresholds'!$A$175)*'Standard Thresholds'!$D$176)+'Standard Thresholds'!$C$176)+'Dist - Non Averaging'!$C$169),IF(H94&lt;=('Standard Thresholds'!$A$178),((H94-'Standard Thresholds'!$A$176)*'Standard Thresholds'!$D$178+'Standard Thresholds'!$C$178),IF(H94&lt;=('Standard Thresholds'!$A$178),((H94-'Standard Thresholds'!$A$178)*'Standard Thresholds'!$D$178+'Standard Thresholds'!$C$178),IF(H94&gt;'Standard Thresholds'!$A$179,((H94-'Standard Thresholds'!$A$178)*'Standard Thresholds'!$D$179+'Standard Thresholds'!$C$179),IF(H94&gt;'Standard Thresholds'!$A$179,0,0))))))</f>
        <v>0</v>
      </c>
      <c r="I118" s="2055">
        <f>IF(I94&lt;='Standard Thresholds'!$A$175,'Standard Thresholds'!$C$175,IF(I94&lt;('Standard Thresholds'!$A$176),((((I94-'Standard Thresholds'!$A$175)*'Standard Thresholds'!$D$176)+'Standard Thresholds'!$C$176)+'Dist - Non Averaging'!$C$169),IF(I94&lt;=('Standard Thresholds'!$A$178),((I94-'Standard Thresholds'!$A$176)*'Standard Thresholds'!$D$178+'Standard Thresholds'!$C$178),IF(I94&lt;=('Standard Thresholds'!$A$178),((I94-'Standard Thresholds'!$A$178)*'Standard Thresholds'!$D$178+'Standard Thresholds'!$C$178),IF(I94&gt;'Standard Thresholds'!$A$179,((I94-'Standard Thresholds'!$A$178)*'Standard Thresholds'!$D$179+'Standard Thresholds'!$C$179),IF(I94&gt;'Standard Thresholds'!$A$179,0,0))))))</f>
        <v>0</v>
      </c>
      <c r="J118" s="2055">
        <f>IF(J94&lt;='Standard Thresholds'!$A$175,'Standard Thresholds'!$C$175,IF(J94&lt;('Standard Thresholds'!$A$176),((((J94-'Standard Thresholds'!$A$175)*'Standard Thresholds'!$D$176)+'Standard Thresholds'!$C$176)+'Dist - Non Averaging'!$C$169),IF(J94&lt;=('Standard Thresholds'!$A$178),((J94-'Standard Thresholds'!$A$176)*'Standard Thresholds'!$D$178+'Standard Thresholds'!$C$178),IF(J94&lt;=('Standard Thresholds'!$A$178),((J94-'Standard Thresholds'!$A$178)*'Standard Thresholds'!$D$178+'Standard Thresholds'!$C$178),IF(J94&gt;'Standard Thresholds'!$A$179,((J94-'Standard Thresholds'!$A$178)*'Standard Thresholds'!$D$179+'Standard Thresholds'!$C$179),IF(J94&gt;'Standard Thresholds'!$A$179,0,0))))))</f>
        <v>0</v>
      </c>
      <c r="K118" s="2055">
        <f>IF(K94&lt;='Standard Thresholds'!$A$175,'Standard Thresholds'!$C$175,IF(K94&lt;('Standard Thresholds'!$A$176),((((K94-'Standard Thresholds'!$A$175)*'Standard Thresholds'!$D$176)+'Standard Thresholds'!$C$176)+'Dist - Non Averaging'!$C$169),IF(K94&lt;=('Standard Thresholds'!$A$178),((K94-'Standard Thresholds'!$A$176)*'Standard Thresholds'!$D$178+'Standard Thresholds'!$C$178),IF(K94&lt;=('Standard Thresholds'!$A$178),((K94-'Standard Thresholds'!$A$178)*'Standard Thresholds'!$D$178+'Standard Thresholds'!$C$178),IF(K94&gt;'Standard Thresholds'!$A$179,((K94-'Standard Thresholds'!$A$178)*'Standard Thresholds'!$D$179+'Standard Thresholds'!$C$179),IF(K94&gt;'Standard Thresholds'!$A$179,0,0))))))</f>
        <v>0</v>
      </c>
      <c r="L118" s="2055">
        <f>IF(L94&lt;='Standard Thresholds'!$A$175,'Standard Thresholds'!$C$175,IF(L94&lt;('Standard Thresholds'!$A$176),((((L94-'Standard Thresholds'!$A$175)*'Standard Thresholds'!$D$176)+'Standard Thresholds'!$C$176)+'Dist - Non Averaging'!$C$169),IF(L94&lt;=('Standard Thresholds'!$A$178),((L94-'Standard Thresholds'!$A$176)*'Standard Thresholds'!$D$178+'Standard Thresholds'!$C$178),IF(L94&lt;=('Standard Thresholds'!$A$178),((L94-'Standard Thresholds'!$A$178)*'Standard Thresholds'!$D$178+'Standard Thresholds'!$C$178),IF(L94&gt;'Standard Thresholds'!$A$179,((L94-'Standard Thresholds'!$A$178)*'Standard Thresholds'!$D$179+'Standard Thresholds'!$C$179),IF(L94&gt;'Standard Thresholds'!$A$179,0,0))))))</f>
        <v>0</v>
      </c>
      <c r="M118" s="2055">
        <f>IF(M94&lt;='Standard Thresholds'!$A$175,'Standard Thresholds'!$C$175,IF(M94&lt;('Standard Thresholds'!$A$176),((((M94-'Standard Thresholds'!$A$175)*'Standard Thresholds'!$D$176)+'Standard Thresholds'!$C$176)+'Dist - Non Averaging'!$C$169),IF(M94&lt;=('Standard Thresholds'!$A$178),((M94-'Standard Thresholds'!$A$176)*'Standard Thresholds'!$D$178+'Standard Thresholds'!$C$178),IF(M94&lt;=('Standard Thresholds'!$A$178),((M94-'Standard Thresholds'!$A$178)*'Standard Thresholds'!$D$178+'Standard Thresholds'!$C$178),IF(M94&gt;'Standard Thresholds'!$A$179,((M94-'Standard Thresholds'!$A$178)*'Standard Thresholds'!$D$179+'Standard Thresholds'!$C$179),IF(M94&gt;'Standard Thresholds'!$A$179,0,0))))))</f>
        <v>0</v>
      </c>
      <c r="N118" s="2055">
        <f>IF(N94&lt;='Standard Thresholds'!$A$175,'Standard Thresholds'!$C$175,IF(N94&lt;('Standard Thresholds'!$A$176),((((N94-'Standard Thresholds'!$A$175)*'Standard Thresholds'!$D$176)+'Standard Thresholds'!$C$176)+'Dist - Non Averaging'!$C$169),IF(N94&lt;=('Standard Thresholds'!$A$178),((N94-'Standard Thresholds'!$A$176)*'Standard Thresholds'!$D$178+'Standard Thresholds'!$C$178),IF(N94&lt;=('Standard Thresholds'!$A$178),((N94-'Standard Thresholds'!$A$178)*'Standard Thresholds'!$D$178+'Standard Thresholds'!$C$178),IF(N94&gt;'Standard Thresholds'!$A$179,((N94-'Standard Thresholds'!$A$178)*'Standard Thresholds'!$D$179+'Standard Thresholds'!$C$179),IF(N94&gt;'Standard Thresholds'!$A$179,0,0))))))</f>
        <v>0</v>
      </c>
      <c r="O118" s="544"/>
      <c r="P118" s="544"/>
      <c r="Q118" s="544"/>
      <c r="R118" s="544"/>
      <c r="S118" s="544"/>
      <c r="T118" s="544"/>
      <c r="U118" s="544"/>
      <c r="V118" s="544"/>
      <c r="W118" s="544"/>
      <c r="X118" s="544"/>
      <c r="Y118" s="2061"/>
      <c r="Z118" s="2454"/>
      <c r="AA118" s="544"/>
      <c r="AB118" s="2061"/>
      <c r="AC118" s="2061"/>
      <c r="AD118" s="2061"/>
      <c r="AE118" s="2061"/>
      <c r="AF118" s="2061"/>
      <c r="AG118" s="2061"/>
      <c r="AH118" s="2061"/>
      <c r="AI118" s="545"/>
    </row>
    <row r="119" spans="1:36" ht="15" customHeight="1">
      <c r="A119" s="498"/>
      <c r="B119" s="502"/>
      <c r="C119" s="477"/>
      <c r="D119" s="504" t="s">
        <v>1</v>
      </c>
      <c r="E119" s="565">
        <f t="shared" ref="E119:Y119" si="79">E66</f>
        <v>0</v>
      </c>
      <c r="F119" s="565">
        <f t="shared" si="79"/>
        <v>0</v>
      </c>
      <c r="G119" s="565">
        <f t="shared" si="79"/>
        <v>0</v>
      </c>
      <c r="H119" s="565">
        <f t="shared" si="79"/>
        <v>0</v>
      </c>
      <c r="I119" s="565">
        <f t="shared" si="79"/>
        <v>0</v>
      </c>
      <c r="J119" s="565">
        <f t="shared" si="79"/>
        <v>0</v>
      </c>
      <c r="K119" s="565">
        <f t="shared" si="79"/>
        <v>0</v>
      </c>
      <c r="L119" s="565">
        <f t="shared" si="79"/>
        <v>0</v>
      </c>
      <c r="M119" s="565">
        <f t="shared" si="79"/>
        <v>0</v>
      </c>
      <c r="N119" s="565">
        <f t="shared" si="79"/>
        <v>0</v>
      </c>
      <c r="O119" s="565">
        <f t="shared" si="79"/>
        <v>0</v>
      </c>
      <c r="P119" s="565">
        <f t="shared" si="79"/>
        <v>0</v>
      </c>
      <c r="Q119" s="565">
        <f t="shared" si="79"/>
        <v>0</v>
      </c>
      <c r="R119" s="565">
        <f t="shared" si="79"/>
        <v>0</v>
      </c>
      <c r="S119" s="565">
        <f t="shared" si="79"/>
        <v>0</v>
      </c>
      <c r="T119" s="565">
        <f t="shared" si="79"/>
        <v>0</v>
      </c>
      <c r="U119" s="565">
        <f t="shared" si="79"/>
        <v>0</v>
      </c>
      <c r="V119" s="565">
        <f t="shared" si="79"/>
        <v>0</v>
      </c>
      <c r="W119" s="565">
        <f t="shared" si="79"/>
        <v>0</v>
      </c>
      <c r="X119" s="565">
        <f t="shared" si="79"/>
        <v>0</v>
      </c>
      <c r="Y119" s="565">
        <f t="shared" si="79"/>
        <v>0</v>
      </c>
      <c r="Z119" s="2454"/>
      <c r="AA119" s="544"/>
      <c r="AB119" s="2061"/>
      <c r="AC119" s="2061"/>
      <c r="AD119" s="2061"/>
      <c r="AE119" s="2061"/>
      <c r="AF119" s="2061"/>
      <c r="AG119" s="2061"/>
      <c r="AH119" s="2061"/>
      <c r="AI119" s="545"/>
    </row>
    <row r="120" spans="1:36" ht="15" customHeight="1">
      <c r="A120" s="498"/>
      <c r="B120" s="502"/>
      <c r="C120" s="477"/>
      <c r="D120" s="488" t="s">
        <v>2</v>
      </c>
      <c r="E120" s="565">
        <f>E102</f>
        <v>0</v>
      </c>
      <c r="F120" s="565">
        <f t="shared" ref="F120:N120" si="80">F102</f>
        <v>0</v>
      </c>
      <c r="G120" s="565">
        <f t="shared" si="80"/>
        <v>0</v>
      </c>
      <c r="H120" s="565">
        <f t="shared" si="80"/>
        <v>0</v>
      </c>
      <c r="I120" s="565">
        <f t="shared" si="80"/>
        <v>0</v>
      </c>
      <c r="J120" s="565">
        <f t="shared" si="80"/>
        <v>0</v>
      </c>
      <c r="K120" s="565">
        <f t="shared" si="80"/>
        <v>0</v>
      </c>
      <c r="L120" s="565">
        <f t="shared" si="80"/>
        <v>0</v>
      </c>
      <c r="M120" s="565">
        <f t="shared" si="80"/>
        <v>0</v>
      </c>
      <c r="N120" s="565">
        <f t="shared" si="80"/>
        <v>0</v>
      </c>
      <c r="O120" s="1829"/>
      <c r="P120" s="1829"/>
      <c r="Q120" s="1829"/>
      <c r="R120" s="1829"/>
      <c r="S120" s="1829"/>
      <c r="T120" s="1829"/>
      <c r="U120" s="1829"/>
      <c r="V120" s="1829"/>
      <c r="W120" s="1829"/>
      <c r="X120" s="1829"/>
      <c r="Y120" s="2061"/>
      <c r="Z120" s="2454"/>
      <c r="AA120" s="544"/>
      <c r="AB120" s="2061"/>
      <c r="AC120" s="2061"/>
      <c r="AD120" s="2061"/>
      <c r="AE120" s="2061"/>
      <c r="AF120" s="2061"/>
      <c r="AG120" s="2061"/>
      <c r="AH120" s="2061"/>
      <c r="AI120" s="545"/>
    </row>
    <row r="121" spans="1:36" ht="15" hidden="1" customHeight="1" thickBot="1">
      <c r="A121" s="499"/>
      <c r="B121" s="506"/>
      <c r="C121" s="477"/>
      <c r="D121" s="504" t="s">
        <v>1537</v>
      </c>
      <c r="E121" s="566">
        <f ca="1">IF(E$115+E120=0,0,(E117+E118))</f>
        <v>0</v>
      </c>
      <c r="F121" s="566">
        <f t="shared" ref="F121:N121" ca="1" si="81">IF(F$115+F120=0,0,(F117+F118))</f>
        <v>0</v>
      </c>
      <c r="G121" s="566">
        <f t="shared" ca="1" si="81"/>
        <v>0</v>
      </c>
      <c r="H121" s="566">
        <f t="shared" ca="1" si="81"/>
        <v>0</v>
      </c>
      <c r="I121" s="566">
        <f t="shared" ca="1" si="81"/>
        <v>0</v>
      </c>
      <c r="J121" s="566">
        <f t="shared" ca="1" si="81"/>
        <v>0</v>
      </c>
      <c r="K121" s="566">
        <f t="shared" ca="1" si="81"/>
        <v>0</v>
      </c>
      <c r="L121" s="566">
        <f t="shared" ca="1" si="81"/>
        <v>0</v>
      </c>
      <c r="M121" s="566">
        <f t="shared" ca="1" si="81"/>
        <v>0</v>
      </c>
      <c r="N121" s="566">
        <f t="shared" ca="1" si="81"/>
        <v>0</v>
      </c>
      <c r="O121" s="1830"/>
      <c r="P121" s="1830"/>
      <c r="Q121" s="1830"/>
      <c r="R121" s="1830"/>
      <c r="S121" s="1830"/>
      <c r="T121" s="1830"/>
      <c r="U121" s="1830"/>
      <c r="V121" s="1830"/>
      <c r="W121" s="1830"/>
      <c r="X121" s="1830"/>
      <c r="Y121" s="2475"/>
      <c r="Z121" s="1544">
        <f t="shared" ref="Z121:AI121" si="82">IF(Z$94=0,0,IF(Z142&lt;Z103-Z127,Z142,Z103-Z127))</f>
        <v>0</v>
      </c>
      <c r="AA121" s="2055">
        <f t="shared" si="82"/>
        <v>0</v>
      </c>
      <c r="AB121" s="1527">
        <f t="shared" si="82"/>
        <v>0</v>
      </c>
      <c r="AC121" s="1527">
        <f t="shared" si="82"/>
        <v>0</v>
      </c>
      <c r="AD121" s="1527">
        <f t="shared" si="82"/>
        <v>0</v>
      </c>
      <c r="AE121" s="1527">
        <f t="shared" si="82"/>
        <v>0</v>
      </c>
      <c r="AF121" s="1527">
        <f t="shared" si="82"/>
        <v>0</v>
      </c>
      <c r="AG121" s="1527">
        <f t="shared" si="82"/>
        <v>0</v>
      </c>
      <c r="AH121" s="1527">
        <f t="shared" si="82"/>
        <v>0</v>
      </c>
      <c r="AI121" s="1544">
        <f t="shared" si="82"/>
        <v>0</v>
      </c>
    </row>
    <row r="122" spans="1:36" ht="15" customHeight="1">
      <c r="A122" s="498"/>
      <c r="B122" s="502"/>
      <c r="C122" s="477"/>
      <c r="D122" s="504"/>
      <c r="E122" s="567">
        <f ca="1">IF(E120&lt;0,E115-E120-E121-E127,E115-E120-E121-E127)</f>
        <v>0</v>
      </c>
      <c r="F122" s="567">
        <f t="shared" ref="F122:N122" ca="1" si="83">IF(F120&lt;0,F115-F120-F121-F127,F115-F120-F121-F127)</f>
        <v>0</v>
      </c>
      <c r="G122" s="567">
        <f t="shared" ca="1" si="83"/>
        <v>0</v>
      </c>
      <c r="H122" s="567">
        <f t="shared" ca="1" si="83"/>
        <v>0</v>
      </c>
      <c r="I122" s="567">
        <f t="shared" ca="1" si="83"/>
        <v>0</v>
      </c>
      <c r="J122" s="567">
        <f t="shared" ca="1" si="83"/>
        <v>0</v>
      </c>
      <c r="K122" s="567">
        <f t="shared" ca="1" si="83"/>
        <v>0</v>
      </c>
      <c r="L122" s="567">
        <f t="shared" ca="1" si="83"/>
        <v>0</v>
      </c>
      <c r="M122" s="567">
        <f t="shared" ca="1" si="83"/>
        <v>0</v>
      </c>
      <c r="N122" s="567">
        <f t="shared" ca="1" si="83"/>
        <v>0</v>
      </c>
      <c r="O122" s="568"/>
      <c r="P122" s="568"/>
      <c r="Q122" s="568"/>
      <c r="R122" s="568"/>
      <c r="S122" s="568"/>
      <c r="T122" s="568"/>
      <c r="U122" s="568"/>
      <c r="V122" s="568"/>
      <c r="W122" s="568"/>
      <c r="X122" s="568"/>
      <c r="Y122" s="1826"/>
      <c r="Z122" s="2476"/>
      <c r="AA122" s="568"/>
      <c r="AB122" s="1826"/>
      <c r="AC122" s="1826"/>
      <c r="AD122" s="1826"/>
      <c r="AE122" s="1826"/>
      <c r="AF122" s="1826"/>
      <c r="AG122" s="1826"/>
      <c r="AH122" s="1826"/>
      <c r="AI122" s="1190"/>
    </row>
    <row r="123" spans="1:36" ht="15" customHeight="1">
      <c r="A123" s="2477"/>
      <c r="B123" s="1825"/>
      <c r="C123" s="477"/>
      <c r="D123" s="1817" t="s">
        <v>1981</v>
      </c>
      <c r="E123" s="1823" t="str">
        <f t="shared" ref="E123:N123" si="84">+IF(SBE="YES", "SBE", "Not SBE")</f>
        <v>SBE</v>
      </c>
      <c r="F123" s="1823" t="str">
        <f t="shared" si="84"/>
        <v>SBE</v>
      </c>
      <c r="G123" s="1823" t="str">
        <f t="shared" si="84"/>
        <v>SBE</v>
      </c>
      <c r="H123" s="1823" t="str">
        <f t="shared" si="84"/>
        <v>SBE</v>
      </c>
      <c r="I123" s="1823" t="str">
        <f t="shared" si="84"/>
        <v>SBE</v>
      </c>
      <c r="J123" s="1823" t="str">
        <f t="shared" si="84"/>
        <v>SBE</v>
      </c>
      <c r="K123" s="1823" t="str">
        <f t="shared" si="84"/>
        <v>SBE</v>
      </c>
      <c r="L123" s="1823" t="str">
        <f t="shared" si="84"/>
        <v>SBE</v>
      </c>
      <c r="M123" s="1823" t="str">
        <f t="shared" si="84"/>
        <v>SBE</v>
      </c>
      <c r="N123" s="1823" t="str">
        <f t="shared" si="84"/>
        <v>SBE</v>
      </c>
      <c r="O123" s="1831" t="e">
        <f t="shared" ref="O123:X123" si="85">+IF(AND(SBE="YES", YEAR(Period_End)&gt;2015), COY_NORMAL_RATE+COY_SMALL_BUSINESS_RATE, COY_NORMAL_RATE)</f>
        <v>#N/A</v>
      </c>
      <c r="P123" s="1831" t="e">
        <f t="shared" si="85"/>
        <v>#N/A</v>
      </c>
      <c r="Q123" s="1831" t="e">
        <f t="shared" si="85"/>
        <v>#N/A</v>
      </c>
      <c r="R123" s="1831" t="e">
        <f t="shared" si="85"/>
        <v>#N/A</v>
      </c>
      <c r="S123" s="1831" t="e">
        <f t="shared" si="85"/>
        <v>#N/A</v>
      </c>
      <c r="T123" s="1831" t="e">
        <f t="shared" si="85"/>
        <v>#N/A</v>
      </c>
      <c r="U123" s="1831" t="e">
        <f t="shared" si="85"/>
        <v>#N/A</v>
      </c>
      <c r="V123" s="1831" t="e">
        <f t="shared" si="85"/>
        <v>#N/A</v>
      </c>
      <c r="W123" s="1831" t="e">
        <f t="shared" si="85"/>
        <v>#N/A</v>
      </c>
      <c r="X123" s="1831" t="e">
        <f t="shared" si="85"/>
        <v>#N/A</v>
      </c>
      <c r="Y123" s="1827"/>
      <c r="Z123" s="2478"/>
      <c r="AA123" s="2479"/>
      <c r="AB123" s="1826"/>
      <c r="AC123" s="1826"/>
      <c r="AD123" s="1826"/>
      <c r="AE123" s="1826"/>
      <c r="AF123" s="1826"/>
      <c r="AG123" s="1826"/>
      <c r="AH123" s="1826"/>
      <c r="AI123" s="1190"/>
    </row>
    <row r="124" spans="1:36" ht="15" hidden="1" customHeight="1">
      <c r="A124" s="2477"/>
      <c r="B124" s="1825"/>
      <c r="C124" s="477"/>
      <c r="D124" s="1820" t="s">
        <v>1982</v>
      </c>
      <c r="E124" s="1944">
        <v>0</v>
      </c>
      <c r="F124" s="1944">
        <v>0</v>
      </c>
      <c r="G124" s="1944">
        <v>0</v>
      </c>
      <c r="H124" s="1944">
        <v>0</v>
      </c>
      <c r="I124" s="1944">
        <v>0</v>
      </c>
      <c r="J124" s="1944">
        <v>0</v>
      </c>
      <c r="K124" s="1944">
        <v>0</v>
      </c>
      <c r="L124" s="1944">
        <v>0</v>
      </c>
      <c r="M124" s="1944">
        <v>0</v>
      </c>
      <c r="N124" s="1944">
        <v>0</v>
      </c>
      <c r="O124" s="1832"/>
      <c r="P124" s="1832"/>
      <c r="Q124" s="1832"/>
      <c r="R124" s="1832"/>
      <c r="S124" s="1832"/>
      <c r="T124" s="1832"/>
      <c r="U124" s="1832"/>
      <c r="V124" s="1832"/>
      <c r="W124" s="1832"/>
      <c r="X124" s="1832"/>
      <c r="Y124" s="1827"/>
      <c r="Z124" s="2478"/>
      <c r="AA124" s="2479"/>
      <c r="AB124" s="1826"/>
      <c r="AC124" s="1826"/>
      <c r="AD124" s="1826"/>
      <c r="AE124" s="1826"/>
      <c r="AF124" s="1826"/>
      <c r="AG124" s="1826"/>
      <c r="AH124" s="1826"/>
      <c r="AI124" s="1190"/>
    </row>
    <row r="125" spans="1:36" ht="15" hidden="1" customHeight="1">
      <c r="A125" s="2477"/>
      <c r="B125" s="1825"/>
      <c r="C125" s="477"/>
      <c r="D125" s="1820" t="s">
        <v>1983</v>
      </c>
      <c r="E125" s="1821">
        <f t="shared" ref="E125:N125" si="86">+IF(SBE="YES", IFERROR(E124/E94, 0), "NA")</f>
        <v>0</v>
      </c>
      <c r="F125" s="1821">
        <f t="shared" si="86"/>
        <v>0</v>
      </c>
      <c r="G125" s="1821">
        <f t="shared" si="86"/>
        <v>0</v>
      </c>
      <c r="H125" s="1821">
        <f t="shared" si="86"/>
        <v>0</v>
      </c>
      <c r="I125" s="1821">
        <f t="shared" si="86"/>
        <v>0</v>
      </c>
      <c r="J125" s="1821">
        <f t="shared" si="86"/>
        <v>0</v>
      </c>
      <c r="K125" s="1821">
        <f t="shared" si="86"/>
        <v>0</v>
      </c>
      <c r="L125" s="1821">
        <f t="shared" si="86"/>
        <v>0</v>
      </c>
      <c r="M125" s="1821">
        <f t="shared" si="86"/>
        <v>0</v>
      </c>
      <c r="N125" s="1821">
        <f t="shared" si="86"/>
        <v>0</v>
      </c>
      <c r="O125" s="1832"/>
      <c r="P125" s="1832"/>
      <c r="Q125" s="1832"/>
      <c r="R125" s="1832"/>
      <c r="S125" s="1832"/>
      <c r="T125" s="1832"/>
      <c r="U125" s="1832"/>
      <c r="V125" s="1832"/>
      <c r="W125" s="1832"/>
      <c r="X125" s="1832"/>
      <c r="Y125" s="1827"/>
      <c r="Z125" s="2478"/>
      <c r="AA125" s="2479"/>
      <c r="AB125" s="1826"/>
      <c r="AC125" s="1826"/>
      <c r="AD125" s="1826"/>
      <c r="AE125" s="1826"/>
      <c r="AF125" s="1826"/>
      <c r="AG125" s="1826"/>
      <c r="AH125" s="1826"/>
      <c r="AI125" s="1190"/>
    </row>
    <row r="126" spans="1:36" ht="15" customHeight="1">
      <c r="A126" s="2477"/>
      <c r="B126" s="1825"/>
      <c r="C126" s="477"/>
      <c r="D126" s="1820" t="s">
        <v>1984</v>
      </c>
      <c r="E126" s="1828">
        <f>IFERROR(+IF(AND(SBE="YES",YEAR(Period_End)&gt;2015,E124&gt;'Standard Thresholds'!#REF!),'Standard Thresholds'!#REF!,IF(AND(SBE="YES",YEAR(Period_End)&gt;2015,E124&lt;='Standard Thresholds'!#REF!),E124*'Standard Thresholds'!#REF!)),0)</f>
        <v>0</v>
      </c>
      <c r="F126" s="1828">
        <f>IFERROR(+IF(AND(SBE="YES",YEAR(Period_End)&gt;2015,F124&gt;'Standard Thresholds'!#REF!),'Standard Thresholds'!#REF!,IF(AND(SBE="YES",YEAR(Period_End)&gt;2015,F124&lt;='Standard Thresholds'!#REF!),F124*'Standard Thresholds'!#REF!)),0)</f>
        <v>0</v>
      </c>
      <c r="G126" s="1828">
        <f>IFERROR(+IF(AND(SBE="YES",YEAR(Period_End)&gt;2015,G124&gt;'Standard Thresholds'!#REF!),'Standard Thresholds'!#REF!,IF(AND(SBE="YES",YEAR(Period_End)&gt;2015,G124&lt;='Standard Thresholds'!#REF!),G124*'Standard Thresholds'!#REF!)),0)</f>
        <v>0</v>
      </c>
      <c r="H126" s="1828">
        <f>IFERROR(+IF(AND(SBE="YES",YEAR(Period_End)&gt;2015,H124&gt;'Standard Thresholds'!#REF!),'Standard Thresholds'!#REF!,IF(AND(SBE="YES",YEAR(Period_End)&gt;2015,H124&lt;='Standard Thresholds'!#REF!),H124*'Standard Thresholds'!#REF!)),0)</f>
        <v>0</v>
      </c>
      <c r="I126" s="1828">
        <f>IFERROR(+IF(AND(SBE="YES",YEAR(Period_End)&gt;2015,I124&gt;'Standard Thresholds'!#REF!),'Standard Thresholds'!#REF!,IF(AND(SBE="YES",YEAR(Period_End)&gt;2015,I124&lt;='Standard Thresholds'!#REF!),I124*'Standard Thresholds'!#REF!)),0)</f>
        <v>0</v>
      </c>
      <c r="J126" s="1828">
        <f>IFERROR(+IF(AND(SBE="YES",YEAR(Period_End)&gt;2015,J124&gt;'Standard Thresholds'!#REF!),'Standard Thresholds'!#REF!,IF(AND(SBE="YES",YEAR(Period_End)&gt;2015,J124&lt;='Standard Thresholds'!#REF!),J124*'Standard Thresholds'!#REF!)),0)</f>
        <v>0</v>
      </c>
      <c r="K126" s="1828">
        <f>IFERROR(+IF(AND(SBE="YES",YEAR(Period_End)&gt;2015,K124&gt;'Standard Thresholds'!#REF!),'Standard Thresholds'!#REF!,IF(AND(SBE="YES",YEAR(Period_End)&gt;2015,K124&lt;='Standard Thresholds'!#REF!),K124*'Standard Thresholds'!#REF!)),0)</f>
        <v>0</v>
      </c>
      <c r="L126" s="1828">
        <f>IFERROR(+IF(AND(SBE="YES",YEAR(Period_End)&gt;2015,L124&gt;'Standard Thresholds'!#REF!),'Standard Thresholds'!#REF!,IF(AND(SBE="YES",YEAR(Period_End)&gt;2015,L124&lt;='Standard Thresholds'!#REF!),L124*'Standard Thresholds'!#REF!)),0)</f>
        <v>0</v>
      </c>
      <c r="M126" s="1828">
        <f>IFERROR(+IF(AND(SBE="YES",YEAR(Period_End)&gt;2015,M124&gt;'Standard Thresholds'!#REF!),'Standard Thresholds'!#REF!,IF(AND(SBE="YES",YEAR(Period_End)&gt;2015,M124&lt;='Standard Thresholds'!#REF!),M124*'Standard Thresholds'!#REF!)),0)</f>
        <v>0</v>
      </c>
      <c r="N126" s="1828">
        <f>IFERROR(+IF(AND(SBE="YES",YEAR(Period_End)&gt;2015,N124&gt;'Standard Thresholds'!#REF!),'Standard Thresholds'!#REF!,IF(AND(SBE="YES",YEAR(Period_End)&gt;2015,N124&lt;='Standard Thresholds'!#REF!),N124*'Standard Thresholds'!#REF!)),0)</f>
        <v>0</v>
      </c>
      <c r="O126" s="1832"/>
      <c r="P126" s="1832"/>
      <c r="Q126" s="1832"/>
      <c r="R126" s="1832"/>
      <c r="S126" s="1832"/>
      <c r="T126" s="1832"/>
      <c r="U126" s="1832"/>
      <c r="V126" s="1832"/>
      <c r="W126" s="1832"/>
      <c r="X126" s="1832"/>
      <c r="Y126" s="1827"/>
      <c r="Z126" s="2478"/>
      <c r="AA126" s="2479"/>
      <c r="AB126" s="1826"/>
      <c r="AC126" s="1826"/>
      <c r="AD126" s="1826"/>
      <c r="AE126" s="1826"/>
      <c r="AF126" s="1826"/>
      <c r="AG126" s="1826"/>
      <c r="AH126" s="1826"/>
      <c r="AI126" s="1190"/>
    </row>
    <row r="127" spans="1:36" ht="15" customHeight="1">
      <c r="A127" s="487"/>
      <c r="B127" s="477"/>
      <c r="C127" s="477"/>
      <c r="D127" s="488" t="s">
        <v>3</v>
      </c>
      <c r="E127" s="2018">
        <v>0</v>
      </c>
      <c r="F127" s="2018">
        <v>0</v>
      </c>
      <c r="G127" s="2018">
        <v>0</v>
      </c>
      <c r="H127" s="2018">
        <v>0</v>
      </c>
      <c r="I127" s="2018">
        <v>0</v>
      </c>
      <c r="J127" s="2018">
        <v>0</v>
      </c>
      <c r="K127" s="2018">
        <v>0</v>
      </c>
      <c r="L127" s="2018">
        <v>0</v>
      </c>
      <c r="M127" s="2018">
        <v>0</v>
      </c>
      <c r="N127" s="2018">
        <v>0</v>
      </c>
      <c r="O127" s="2028">
        <v>0</v>
      </c>
      <c r="P127" s="2027">
        <v>0</v>
      </c>
      <c r="Q127" s="2029">
        <v>0</v>
      </c>
      <c r="R127" s="2029">
        <v>0</v>
      </c>
      <c r="S127" s="2029">
        <v>0</v>
      </c>
      <c r="T127" s="2029">
        <v>0</v>
      </c>
      <c r="U127" s="2029">
        <v>0</v>
      </c>
      <c r="V127" s="2029">
        <v>0</v>
      </c>
      <c r="W127" s="2029">
        <v>0</v>
      </c>
      <c r="X127" s="2030">
        <v>0</v>
      </c>
      <c r="Y127" s="2028">
        <v>0</v>
      </c>
      <c r="Z127" s="2480">
        <v>0</v>
      </c>
      <c r="AA127" s="2026">
        <v>0</v>
      </c>
      <c r="AB127" s="2031">
        <v>0</v>
      </c>
      <c r="AC127" s="2031">
        <v>0</v>
      </c>
      <c r="AD127" s="2031">
        <v>0</v>
      </c>
      <c r="AE127" s="2031">
        <v>0</v>
      </c>
      <c r="AF127" s="2031">
        <v>0</v>
      </c>
      <c r="AG127" s="2031">
        <v>0</v>
      </c>
      <c r="AH127" s="2031">
        <v>0</v>
      </c>
      <c r="AI127" s="2032">
        <v>0</v>
      </c>
    </row>
    <row r="128" spans="1:36" ht="15" customHeight="1">
      <c r="A128" s="487"/>
      <c r="B128" s="477"/>
      <c r="C128" s="477"/>
      <c r="D128" s="488" t="s">
        <v>1776</v>
      </c>
      <c r="E128" s="2026">
        <v>0</v>
      </c>
      <c r="F128" s="2027">
        <v>0</v>
      </c>
      <c r="G128" s="2026">
        <v>0</v>
      </c>
      <c r="H128" s="2026">
        <v>0</v>
      </c>
      <c r="I128" s="2026">
        <v>0</v>
      </c>
      <c r="J128" s="2027">
        <v>0</v>
      </c>
      <c r="K128" s="2027">
        <v>0</v>
      </c>
      <c r="L128" s="2027">
        <v>0</v>
      </c>
      <c r="M128" s="2027">
        <v>0</v>
      </c>
      <c r="N128" s="2027">
        <v>0</v>
      </c>
      <c r="O128" s="540"/>
      <c r="P128" s="540"/>
      <c r="Q128" s="540"/>
      <c r="R128" s="540"/>
      <c r="S128" s="540"/>
      <c r="T128" s="540"/>
      <c r="U128" s="540"/>
      <c r="V128" s="540"/>
      <c r="W128" s="540"/>
      <c r="X128" s="540"/>
      <c r="Y128" s="540"/>
      <c r="Z128" s="541"/>
      <c r="AA128" s="540"/>
      <c r="AB128" s="2033"/>
      <c r="AC128" s="2033"/>
      <c r="AD128" s="2033"/>
      <c r="AE128" s="2033"/>
      <c r="AF128" s="2033"/>
      <c r="AG128" s="2033"/>
      <c r="AH128" s="2033"/>
      <c r="AI128" s="2034"/>
    </row>
    <row r="129" spans="1:39" s="45" customFormat="1" ht="15" customHeight="1">
      <c r="A129" s="431"/>
      <c r="B129" s="130"/>
      <c r="C129" s="456"/>
      <c r="D129" s="1526" t="s">
        <v>1985</v>
      </c>
      <c r="E129" s="914"/>
      <c r="F129" s="914"/>
      <c r="G129" s="914"/>
      <c r="H129" s="914"/>
      <c r="I129" s="914"/>
      <c r="J129" s="915"/>
      <c r="K129" s="915"/>
      <c r="L129" s="915"/>
      <c r="M129" s="915"/>
      <c r="N129" s="915"/>
      <c r="O129" s="1967">
        <v>0</v>
      </c>
      <c r="P129" s="2037">
        <v>0</v>
      </c>
      <c r="Q129" s="2038">
        <v>0</v>
      </c>
      <c r="R129" s="2038">
        <v>0</v>
      </c>
      <c r="S129" s="2038">
        <v>0</v>
      </c>
      <c r="T129" s="2038">
        <v>0</v>
      </c>
      <c r="U129" s="2038">
        <v>0</v>
      </c>
      <c r="V129" s="2038">
        <v>0</v>
      </c>
      <c r="W129" s="2038">
        <v>0</v>
      </c>
      <c r="X129" s="2038">
        <v>0</v>
      </c>
      <c r="Y129" s="2375"/>
      <c r="Z129" s="2379"/>
      <c r="AA129" s="520"/>
      <c r="AB129" s="2403"/>
      <c r="AC129" s="2403"/>
      <c r="AD129" s="2403"/>
      <c r="AE129" s="2403"/>
      <c r="AF129" s="2403"/>
      <c r="AG129" s="2403"/>
      <c r="AH129" s="2403"/>
      <c r="AI129" s="1172"/>
      <c r="AM129" s="1"/>
    </row>
    <row r="130" spans="1:39" ht="16.5" customHeight="1" thickBot="1">
      <c r="A130" s="485" t="s">
        <v>1540</v>
      </c>
      <c r="B130" s="2043">
        <f ca="1">SUM(E130:AI130)</f>
        <v>0</v>
      </c>
      <c r="C130" s="477"/>
      <c r="D130" s="482" t="s">
        <v>1466</v>
      </c>
      <c r="E130" s="2035">
        <f ca="1">IF((E115-(E117+E118+E119+E120+E121+E127+E126+E128))&lt;0,0,(E115-(E119+E120+E121+E127+E126+E128)))</f>
        <v>0</v>
      </c>
      <c r="F130" s="2035">
        <f t="shared" ref="F130:N130" ca="1" si="87">IF((F115-(F117+F118+F119+F120+F121+F127+F126+F128))&lt;0,0,(F115-(F119+F120+F121+F127+F126+F128)))</f>
        <v>0</v>
      </c>
      <c r="G130" s="2035">
        <f t="shared" ca="1" si="87"/>
        <v>0</v>
      </c>
      <c r="H130" s="2035">
        <f t="shared" ca="1" si="87"/>
        <v>0</v>
      </c>
      <c r="I130" s="2035">
        <f t="shared" ca="1" si="87"/>
        <v>0</v>
      </c>
      <c r="J130" s="2035">
        <f t="shared" ca="1" si="87"/>
        <v>0</v>
      </c>
      <c r="K130" s="2035">
        <f t="shared" ca="1" si="87"/>
        <v>0</v>
      </c>
      <c r="L130" s="2035">
        <f t="shared" ca="1" si="87"/>
        <v>0</v>
      </c>
      <c r="M130" s="2035">
        <f t="shared" ca="1" si="87"/>
        <v>0</v>
      </c>
      <c r="N130" s="2035">
        <f t="shared" ca="1" si="87"/>
        <v>0</v>
      </c>
      <c r="O130" s="2035">
        <f t="shared" ref="O130:X130" si="88">(O115-(O119+O120+O121))</f>
        <v>0</v>
      </c>
      <c r="P130" s="2035">
        <f t="shared" si="88"/>
        <v>0</v>
      </c>
      <c r="Q130" s="2035">
        <f t="shared" si="88"/>
        <v>0</v>
      </c>
      <c r="R130" s="2035">
        <f t="shared" si="88"/>
        <v>0</v>
      </c>
      <c r="S130" s="2035">
        <f t="shared" si="88"/>
        <v>0</v>
      </c>
      <c r="T130" s="2035">
        <f t="shared" si="88"/>
        <v>0</v>
      </c>
      <c r="U130" s="2035">
        <f t="shared" si="88"/>
        <v>0</v>
      </c>
      <c r="V130" s="2035">
        <f t="shared" si="88"/>
        <v>0</v>
      </c>
      <c r="W130" s="2035">
        <f t="shared" si="88"/>
        <v>0</v>
      </c>
      <c r="X130" s="2035">
        <f t="shared" si="88"/>
        <v>0</v>
      </c>
      <c r="Y130" s="2035">
        <f>IF((Y115-(Y119+Y120+Y121))&lt;0,0,(Y115-(Y119+Y120+Y121)))</f>
        <v>0</v>
      </c>
      <c r="Z130" s="2036">
        <f t="shared" ref="Z130:AI130" si="89">IF((Z115-(Z119+Z120+Z121+Z127))&lt;0,0,(Z115-(Z119+Z120+Z121+Z127)))</f>
        <v>0</v>
      </c>
      <c r="AA130" s="2481">
        <f t="shared" si="89"/>
        <v>0</v>
      </c>
      <c r="AB130" s="2035">
        <f t="shared" si="89"/>
        <v>0</v>
      </c>
      <c r="AC130" s="2035">
        <f t="shared" si="89"/>
        <v>0</v>
      </c>
      <c r="AD130" s="2035">
        <f t="shared" si="89"/>
        <v>0</v>
      </c>
      <c r="AE130" s="2035">
        <f t="shared" si="89"/>
        <v>0</v>
      </c>
      <c r="AF130" s="2035">
        <f t="shared" si="89"/>
        <v>0</v>
      </c>
      <c r="AG130" s="2035">
        <f t="shared" si="89"/>
        <v>0</v>
      </c>
      <c r="AH130" s="2035">
        <f t="shared" si="89"/>
        <v>0</v>
      </c>
      <c r="AI130" s="2036">
        <f t="shared" si="89"/>
        <v>0</v>
      </c>
    </row>
    <row r="131" spans="1:39" ht="15.75" customHeight="1" thickTop="1">
      <c r="A131" s="487"/>
      <c r="B131" s="477"/>
      <c r="C131" s="477"/>
      <c r="D131" s="488"/>
      <c r="E131" s="558"/>
      <c r="F131" s="558"/>
      <c r="G131" s="558"/>
      <c r="H131" s="558"/>
      <c r="I131" s="558"/>
      <c r="J131" s="558"/>
      <c r="K131" s="558"/>
      <c r="L131" s="558"/>
      <c r="M131" s="558"/>
      <c r="N131" s="558"/>
      <c r="O131" s="544"/>
      <c r="P131" s="544"/>
      <c r="Q131" s="544"/>
      <c r="R131" s="544"/>
      <c r="S131" s="544"/>
      <c r="T131" s="544"/>
      <c r="U131" s="544"/>
      <c r="V131" s="544"/>
      <c r="W131" s="544"/>
      <c r="X131" s="544"/>
      <c r="Y131" s="2061"/>
      <c r="Z131" s="2454"/>
      <c r="AA131" s="544"/>
      <c r="AB131" s="2061"/>
      <c r="AC131" s="2061"/>
      <c r="AD131" s="2061"/>
      <c r="AE131" s="2061"/>
      <c r="AF131" s="2061"/>
      <c r="AG131" s="2061"/>
      <c r="AH131" s="2061"/>
      <c r="AI131" s="545"/>
    </row>
    <row r="132" spans="1:39" ht="15" customHeight="1">
      <c r="A132" s="487"/>
      <c r="B132" s="477"/>
      <c r="C132" s="477"/>
      <c r="D132" s="504" t="s">
        <v>4</v>
      </c>
      <c r="E132" s="2005">
        <v>0</v>
      </c>
      <c r="F132" s="2005">
        <v>0</v>
      </c>
      <c r="G132" s="2005">
        <v>0</v>
      </c>
      <c r="H132" s="2005">
        <v>0</v>
      </c>
      <c r="I132" s="2005">
        <v>0</v>
      </c>
      <c r="J132" s="2005">
        <v>0</v>
      </c>
      <c r="K132" s="2005">
        <v>0</v>
      </c>
      <c r="L132" s="2005">
        <v>0</v>
      </c>
      <c r="M132" s="2005">
        <v>0</v>
      </c>
      <c r="N132" s="2005">
        <v>0</v>
      </c>
      <c r="O132" s="544"/>
      <c r="P132" s="544"/>
      <c r="Q132" s="544"/>
      <c r="R132" s="544"/>
      <c r="S132" s="544"/>
      <c r="T132" s="544"/>
      <c r="U132" s="544"/>
      <c r="V132" s="544"/>
      <c r="W132" s="544"/>
      <c r="X132" s="544"/>
      <c r="Y132" s="2061"/>
      <c r="Z132" s="2454"/>
      <c r="AA132" s="544"/>
      <c r="AB132" s="2061"/>
      <c r="AC132" s="2061"/>
      <c r="AD132" s="2061"/>
      <c r="AE132" s="2061"/>
      <c r="AF132" s="2061"/>
      <c r="AG132" s="2061"/>
      <c r="AH132" s="2061"/>
      <c r="AI132" s="545"/>
    </row>
    <row r="133" spans="1:39" ht="15" customHeight="1">
      <c r="A133" s="487"/>
      <c r="B133" s="477"/>
      <c r="C133" s="477"/>
      <c r="D133" s="505" t="s">
        <v>5</v>
      </c>
      <c r="E133" s="911">
        <f t="shared" ref="E133:Y133" si="90">SUM(E134:E137)</f>
        <v>0</v>
      </c>
      <c r="F133" s="911">
        <f t="shared" si="90"/>
        <v>0</v>
      </c>
      <c r="G133" s="911">
        <f t="shared" si="90"/>
        <v>0</v>
      </c>
      <c r="H133" s="911">
        <f t="shared" si="90"/>
        <v>0</v>
      </c>
      <c r="I133" s="911">
        <f t="shared" si="90"/>
        <v>0</v>
      </c>
      <c r="J133" s="911">
        <f t="shared" si="90"/>
        <v>0</v>
      </c>
      <c r="K133" s="911">
        <f>SUM(K134:K137)</f>
        <v>0</v>
      </c>
      <c r="L133" s="911">
        <f>SUM(L134:L137)</f>
        <v>0</v>
      </c>
      <c r="M133" s="911">
        <f t="shared" si="90"/>
        <v>0</v>
      </c>
      <c r="N133" s="911">
        <f t="shared" si="90"/>
        <v>0</v>
      </c>
      <c r="O133" s="911">
        <f t="shared" si="90"/>
        <v>0</v>
      </c>
      <c r="P133" s="911">
        <f t="shared" si="90"/>
        <v>0</v>
      </c>
      <c r="Q133" s="911">
        <f>SUM(Q134:Q137)</f>
        <v>0</v>
      </c>
      <c r="R133" s="911">
        <f>SUM(R134:R137)</f>
        <v>0</v>
      </c>
      <c r="S133" s="911">
        <f>SUM(S134:S137)</f>
        <v>0</v>
      </c>
      <c r="T133" s="911">
        <f>SUM(T134:T137)</f>
        <v>0</v>
      </c>
      <c r="U133" s="911">
        <f t="shared" si="90"/>
        <v>0</v>
      </c>
      <c r="V133" s="911">
        <f>SUM(V134:V137)</f>
        <v>0</v>
      </c>
      <c r="W133" s="911">
        <f>SUM(W134:W137)</f>
        <v>0</v>
      </c>
      <c r="X133" s="911">
        <f t="shared" si="90"/>
        <v>0</v>
      </c>
      <c r="Y133" s="911">
        <f t="shared" si="90"/>
        <v>0</v>
      </c>
      <c r="Z133" s="2454"/>
      <c r="AA133" s="544"/>
      <c r="AB133" s="2061"/>
      <c r="AC133" s="2061"/>
      <c r="AD133" s="2061"/>
      <c r="AE133" s="2061"/>
      <c r="AF133" s="2061"/>
      <c r="AG133" s="2061"/>
      <c r="AH133" s="2061"/>
      <c r="AI133" s="545"/>
    </row>
    <row r="134" spans="1:39" ht="15" customHeight="1">
      <c r="A134" s="487"/>
      <c r="B134" s="477"/>
      <c r="C134" s="477"/>
      <c r="D134" s="505" t="s">
        <v>204</v>
      </c>
      <c r="E134" s="2005">
        <v>0</v>
      </c>
      <c r="F134" s="2005">
        <v>0</v>
      </c>
      <c r="G134" s="2005">
        <v>0</v>
      </c>
      <c r="H134" s="2005">
        <v>0</v>
      </c>
      <c r="I134" s="2005">
        <v>0</v>
      </c>
      <c r="J134" s="2005">
        <v>0</v>
      </c>
      <c r="K134" s="2005">
        <v>0</v>
      </c>
      <c r="L134" s="2005">
        <v>0</v>
      </c>
      <c r="M134" s="2005">
        <v>0</v>
      </c>
      <c r="N134" s="2005">
        <v>0</v>
      </c>
      <c r="O134" s="2005">
        <v>0</v>
      </c>
      <c r="P134" s="2005">
        <v>0</v>
      </c>
      <c r="Q134" s="2005">
        <v>0</v>
      </c>
      <c r="R134" s="2005">
        <v>0</v>
      </c>
      <c r="S134" s="2005">
        <v>0</v>
      </c>
      <c r="T134" s="2005">
        <v>0</v>
      </c>
      <c r="U134" s="2005">
        <v>0</v>
      </c>
      <c r="V134" s="2005">
        <v>0</v>
      </c>
      <c r="W134" s="2005">
        <v>0</v>
      </c>
      <c r="X134" s="2005">
        <v>0</v>
      </c>
      <c r="Y134" s="2005">
        <v>0</v>
      </c>
      <c r="Z134" s="2454"/>
      <c r="AA134" s="544"/>
      <c r="AB134" s="2061"/>
      <c r="AC134" s="2061"/>
      <c r="AD134" s="2061"/>
      <c r="AE134" s="2061"/>
      <c r="AF134" s="2061"/>
      <c r="AG134" s="2061"/>
      <c r="AH134" s="2061"/>
      <c r="AI134" s="545"/>
    </row>
    <row r="135" spans="1:39" ht="15" customHeight="1">
      <c r="A135" s="487"/>
      <c r="B135" s="477"/>
      <c r="C135" s="477"/>
      <c r="D135" s="505" t="s">
        <v>205</v>
      </c>
      <c r="E135" s="2005">
        <v>0</v>
      </c>
      <c r="F135" s="2005">
        <v>0</v>
      </c>
      <c r="G135" s="2005">
        <v>0</v>
      </c>
      <c r="H135" s="2005">
        <v>0</v>
      </c>
      <c r="I135" s="2005">
        <v>0</v>
      </c>
      <c r="J135" s="2005">
        <v>0</v>
      </c>
      <c r="K135" s="2005">
        <v>0</v>
      </c>
      <c r="L135" s="2005">
        <v>0</v>
      </c>
      <c r="M135" s="2005">
        <v>0</v>
      </c>
      <c r="N135" s="2005">
        <v>0</v>
      </c>
      <c r="O135" s="2005">
        <v>0</v>
      </c>
      <c r="P135" s="2005">
        <v>0</v>
      </c>
      <c r="Q135" s="2005">
        <v>0</v>
      </c>
      <c r="R135" s="2005">
        <v>0</v>
      </c>
      <c r="S135" s="2005">
        <v>0</v>
      </c>
      <c r="T135" s="2005">
        <v>0</v>
      </c>
      <c r="U135" s="2005">
        <v>0</v>
      </c>
      <c r="V135" s="2005">
        <v>0</v>
      </c>
      <c r="W135" s="2005">
        <v>0</v>
      </c>
      <c r="X135" s="2005">
        <v>0</v>
      </c>
      <c r="Y135" s="2005">
        <v>0</v>
      </c>
      <c r="Z135" s="2454"/>
      <c r="AA135" s="544"/>
      <c r="AB135" s="2061"/>
      <c r="AC135" s="2061"/>
      <c r="AD135" s="2061"/>
      <c r="AE135" s="2061"/>
      <c r="AF135" s="2061"/>
      <c r="AG135" s="2061"/>
      <c r="AH135" s="2061"/>
      <c r="AI135" s="545"/>
    </row>
    <row r="136" spans="1:39" ht="15" customHeight="1">
      <c r="A136" s="487"/>
      <c r="B136" s="477"/>
      <c r="C136" s="477"/>
      <c r="D136" s="505" t="s">
        <v>206</v>
      </c>
      <c r="E136" s="2005">
        <v>0</v>
      </c>
      <c r="F136" s="2005">
        <v>0</v>
      </c>
      <c r="G136" s="2005">
        <v>0</v>
      </c>
      <c r="H136" s="2005">
        <v>0</v>
      </c>
      <c r="I136" s="2005">
        <v>0</v>
      </c>
      <c r="J136" s="2005">
        <v>0</v>
      </c>
      <c r="K136" s="2005">
        <v>0</v>
      </c>
      <c r="L136" s="2005">
        <v>0</v>
      </c>
      <c r="M136" s="2005">
        <v>0</v>
      </c>
      <c r="N136" s="2005">
        <v>0</v>
      </c>
      <c r="O136" s="2005">
        <v>0</v>
      </c>
      <c r="P136" s="2005">
        <v>0</v>
      </c>
      <c r="Q136" s="2005">
        <v>0</v>
      </c>
      <c r="R136" s="2005">
        <v>0</v>
      </c>
      <c r="S136" s="2005">
        <v>0</v>
      </c>
      <c r="T136" s="2005">
        <v>0</v>
      </c>
      <c r="U136" s="2005">
        <v>0</v>
      </c>
      <c r="V136" s="2005">
        <v>0</v>
      </c>
      <c r="W136" s="2005">
        <v>0</v>
      </c>
      <c r="X136" s="2005">
        <v>0</v>
      </c>
      <c r="Y136" s="2005">
        <v>0</v>
      </c>
      <c r="Z136" s="2454"/>
      <c r="AA136" s="544"/>
      <c r="AB136" s="2061"/>
      <c r="AC136" s="2061"/>
      <c r="AD136" s="2061"/>
      <c r="AE136" s="2061"/>
      <c r="AF136" s="2061"/>
      <c r="AG136" s="2061"/>
      <c r="AH136" s="2061"/>
      <c r="AI136" s="545"/>
    </row>
    <row r="137" spans="1:39" ht="15" customHeight="1">
      <c r="A137" s="487"/>
      <c r="B137" s="477"/>
      <c r="C137" s="477"/>
      <c r="D137" s="505" t="s">
        <v>207</v>
      </c>
      <c r="E137" s="2005">
        <v>0</v>
      </c>
      <c r="F137" s="2005">
        <v>0</v>
      </c>
      <c r="G137" s="2005">
        <v>0</v>
      </c>
      <c r="H137" s="2005">
        <v>0</v>
      </c>
      <c r="I137" s="2005">
        <v>0</v>
      </c>
      <c r="J137" s="2005">
        <v>0</v>
      </c>
      <c r="K137" s="2005">
        <v>0</v>
      </c>
      <c r="L137" s="2005">
        <v>0</v>
      </c>
      <c r="M137" s="2005">
        <v>0</v>
      </c>
      <c r="N137" s="2005">
        <v>0</v>
      </c>
      <c r="O137" s="2005">
        <v>0</v>
      </c>
      <c r="P137" s="2005">
        <v>0</v>
      </c>
      <c r="Q137" s="2005">
        <v>0</v>
      </c>
      <c r="R137" s="2005">
        <v>0</v>
      </c>
      <c r="S137" s="2005">
        <v>0</v>
      </c>
      <c r="T137" s="2005">
        <v>0</v>
      </c>
      <c r="U137" s="2005">
        <v>0</v>
      </c>
      <c r="V137" s="2005">
        <v>0</v>
      </c>
      <c r="W137" s="2005">
        <v>0</v>
      </c>
      <c r="X137" s="2005">
        <v>0</v>
      </c>
      <c r="Y137" s="2005">
        <v>0</v>
      </c>
      <c r="Z137" s="2454"/>
      <c r="AA137" s="544"/>
      <c r="AB137" s="2061"/>
      <c r="AC137" s="2061"/>
      <c r="AD137" s="2061"/>
      <c r="AE137" s="2061"/>
      <c r="AF137" s="2061"/>
      <c r="AG137" s="2061"/>
      <c r="AH137" s="2061"/>
      <c r="AI137" s="545"/>
    </row>
    <row r="138" spans="1:39" ht="15" customHeight="1">
      <c r="A138" s="487"/>
      <c r="B138" s="477"/>
      <c r="C138" s="477"/>
      <c r="D138" s="505" t="s">
        <v>521</v>
      </c>
      <c r="E138" s="2005">
        <v>0</v>
      </c>
      <c r="F138" s="2005">
        <v>0</v>
      </c>
      <c r="G138" s="2005">
        <v>0</v>
      </c>
      <c r="H138" s="2005">
        <v>0</v>
      </c>
      <c r="I138" s="2005">
        <v>0</v>
      </c>
      <c r="J138" s="2005">
        <v>0</v>
      </c>
      <c r="K138" s="2005">
        <v>0</v>
      </c>
      <c r="L138" s="2005">
        <v>0</v>
      </c>
      <c r="M138" s="2005">
        <v>0</v>
      </c>
      <c r="N138" s="2005">
        <v>0</v>
      </c>
      <c r="O138" s="544"/>
      <c r="P138" s="544"/>
      <c r="Q138" s="544"/>
      <c r="R138" s="544"/>
      <c r="S138" s="544"/>
      <c r="T138" s="544"/>
      <c r="U138" s="544"/>
      <c r="V138" s="544"/>
      <c r="W138" s="544"/>
      <c r="X138" s="544"/>
      <c r="Y138" s="2061"/>
      <c r="Z138" s="2454"/>
      <c r="AA138" s="544"/>
      <c r="AB138" s="2061"/>
      <c r="AC138" s="2061"/>
      <c r="AD138" s="2061"/>
      <c r="AE138" s="2061"/>
      <c r="AF138" s="2061"/>
      <c r="AG138" s="2061"/>
      <c r="AH138" s="2061"/>
      <c r="AI138" s="545"/>
    </row>
    <row r="139" spans="1:39" ht="15" customHeight="1">
      <c r="A139" s="487"/>
      <c r="B139" s="477"/>
      <c r="C139" s="477"/>
      <c r="D139" s="505" t="s">
        <v>6</v>
      </c>
      <c r="E139" s="2005">
        <f t="shared" ref="E139:AI139" si="91">E63</f>
        <v>0</v>
      </c>
      <c r="F139" s="2005">
        <f t="shared" si="91"/>
        <v>0</v>
      </c>
      <c r="G139" s="2005">
        <f t="shared" si="91"/>
        <v>0</v>
      </c>
      <c r="H139" s="2005">
        <f t="shared" si="91"/>
        <v>0</v>
      </c>
      <c r="I139" s="2005">
        <f t="shared" si="91"/>
        <v>0</v>
      </c>
      <c r="J139" s="2005">
        <f t="shared" si="91"/>
        <v>0</v>
      </c>
      <c r="K139" s="2005">
        <f t="shared" si="91"/>
        <v>0</v>
      </c>
      <c r="L139" s="2005">
        <f t="shared" si="91"/>
        <v>0</v>
      </c>
      <c r="M139" s="2005">
        <f t="shared" si="91"/>
        <v>0</v>
      </c>
      <c r="N139" s="2005">
        <f t="shared" si="91"/>
        <v>0</v>
      </c>
      <c r="O139" s="2005">
        <f t="shared" si="91"/>
        <v>0</v>
      </c>
      <c r="P139" s="2005">
        <f t="shared" si="91"/>
        <v>0</v>
      </c>
      <c r="Q139" s="2005">
        <f t="shared" si="91"/>
        <v>0</v>
      </c>
      <c r="R139" s="2005">
        <f t="shared" si="91"/>
        <v>0</v>
      </c>
      <c r="S139" s="2005">
        <f t="shared" si="91"/>
        <v>0</v>
      </c>
      <c r="T139" s="2005">
        <f t="shared" si="91"/>
        <v>0</v>
      </c>
      <c r="U139" s="2005">
        <f t="shared" si="91"/>
        <v>0</v>
      </c>
      <c r="V139" s="2005">
        <f t="shared" si="91"/>
        <v>0</v>
      </c>
      <c r="W139" s="2005">
        <f t="shared" si="91"/>
        <v>0</v>
      </c>
      <c r="X139" s="2005">
        <f t="shared" si="91"/>
        <v>0</v>
      </c>
      <c r="Y139" s="2005">
        <f t="shared" si="91"/>
        <v>0</v>
      </c>
      <c r="Z139" s="2421">
        <f t="shared" si="91"/>
        <v>0</v>
      </c>
      <c r="AA139" s="2306">
        <f t="shared" si="91"/>
        <v>0</v>
      </c>
      <c r="AB139" s="2039">
        <f t="shared" si="91"/>
        <v>0</v>
      </c>
      <c r="AC139" s="2039">
        <f t="shared" si="91"/>
        <v>0</v>
      </c>
      <c r="AD139" s="2039">
        <f t="shared" si="91"/>
        <v>0</v>
      </c>
      <c r="AE139" s="2039">
        <f t="shared" si="91"/>
        <v>0</v>
      </c>
      <c r="AF139" s="2039">
        <f t="shared" si="91"/>
        <v>0</v>
      </c>
      <c r="AG139" s="2039">
        <f t="shared" si="91"/>
        <v>0</v>
      </c>
      <c r="AH139" s="2039">
        <f t="shared" si="91"/>
        <v>0</v>
      </c>
      <c r="AI139" s="2482">
        <f t="shared" si="91"/>
        <v>0</v>
      </c>
    </row>
    <row r="140" spans="1:39" ht="15.75" customHeight="1">
      <c r="A140" s="487"/>
      <c r="B140" s="477"/>
      <c r="C140" s="477"/>
      <c r="D140" s="504" t="s">
        <v>7</v>
      </c>
      <c r="E140" s="1557">
        <f t="shared" ref="E140:AI140" si="92">E25</f>
        <v>0</v>
      </c>
      <c r="F140" s="1557">
        <f t="shared" si="92"/>
        <v>0</v>
      </c>
      <c r="G140" s="1557">
        <f t="shared" si="92"/>
        <v>0</v>
      </c>
      <c r="H140" s="1557">
        <f t="shared" si="92"/>
        <v>0</v>
      </c>
      <c r="I140" s="1557">
        <f t="shared" si="92"/>
        <v>0</v>
      </c>
      <c r="J140" s="1557">
        <f t="shared" si="92"/>
        <v>0</v>
      </c>
      <c r="K140" s="1557">
        <f t="shared" si="92"/>
        <v>0</v>
      </c>
      <c r="L140" s="1557">
        <f t="shared" si="92"/>
        <v>0</v>
      </c>
      <c r="M140" s="1557">
        <f t="shared" si="92"/>
        <v>0</v>
      </c>
      <c r="N140" s="1557">
        <f t="shared" si="92"/>
        <v>0</v>
      </c>
      <c r="O140" s="1557">
        <f t="shared" si="92"/>
        <v>0</v>
      </c>
      <c r="P140" s="1557">
        <f t="shared" si="92"/>
        <v>0</v>
      </c>
      <c r="Q140" s="1557">
        <f t="shared" si="92"/>
        <v>0</v>
      </c>
      <c r="R140" s="1557">
        <f t="shared" si="92"/>
        <v>0</v>
      </c>
      <c r="S140" s="1557">
        <f t="shared" si="92"/>
        <v>0</v>
      </c>
      <c r="T140" s="1557">
        <f t="shared" si="92"/>
        <v>0</v>
      </c>
      <c r="U140" s="1557">
        <f t="shared" si="92"/>
        <v>0</v>
      </c>
      <c r="V140" s="1557">
        <f t="shared" si="92"/>
        <v>0</v>
      </c>
      <c r="W140" s="1557">
        <f t="shared" si="92"/>
        <v>0</v>
      </c>
      <c r="X140" s="1557">
        <f t="shared" si="92"/>
        <v>0</v>
      </c>
      <c r="Y140" s="1557">
        <f t="shared" si="92"/>
        <v>0</v>
      </c>
      <c r="Z140" s="2483">
        <f t="shared" si="92"/>
        <v>0</v>
      </c>
      <c r="AA140" s="2484">
        <f t="shared" si="92"/>
        <v>0</v>
      </c>
      <c r="AB140" s="1557">
        <f t="shared" si="92"/>
        <v>0</v>
      </c>
      <c r="AC140" s="1557">
        <f t="shared" si="92"/>
        <v>0</v>
      </c>
      <c r="AD140" s="1557">
        <f t="shared" si="92"/>
        <v>0</v>
      </c>
      <c r="AE140" s="1557">
        <f t="shared" si="92"/>
        <v>0</v>
      </c>
      <c r="AF140" s="1557">
        <f t="shared" si="92"/>
        <v>0</v>
      </c>
      <c r="AG140" s="1557">
        <f t="shared" si="92"/>
        <v>0</v>
      </c>
      <c r="AH140" s="1557">
        <f t="shared" si="92"/>
        <v>0</v>
      </c>
      <c r="AI140" s="2483">
        <f t="shared" si="92"/>
        <v>0</v>
      </c>
    </row>
    <row r="141" spans="1:39" ht="15" customHeight="1">
      <c r="A141" s="483"/>
      <c r="B141" s="464"/>
      <c r="C141" s="477"/>
      <c r="D141" s="504" t="s">
        <v>8</v>
      </c>
      <c r="E141" s="563">
        <f t="shared" ref="E141:AI141" si="93">E68</f>
        <v>0</v>
      </c>
      <c r="F141" s="563">
        <f t="shared" si="93"/>
        <v>0</v>
      </c>
      <c r="G141" s="563">
        <f t="shared" si="93"/>
        <v>0</v>
      </c>
      <c r="H141" s="563">
        <f t="shared" si="93"/>
        <v>0</v>
      </c>
      <c r="I141" s="563">
        <f t="shared" si="93"/>
        <v>0</v>
      </c>
      <c r="J141" s="563">
        <f t="shared" si="93"/>
        <v>0</v>
      </c>
      <c r="K141" s="563">
        <f t="shared" si="93"/>
        <v>0</v>
      </c>
      <c r="L141" s="563">
        <f t="shared" si="93"/>
        <v>0</v>
      </c>
      <c r="M141" s="563">
        <f t="shared" si="93"/>
        <v>0</v>
      </c>
      <c r="N141" s="563">
        <f t="shared" si="93"/>
        <v>0</v>
      </c>
      <c r="O141" s="563">
        <f t="shared" si="93"/>
        <v>0</v>
      </c>
      <c r="P141" s="563">
        <f t="shared" si="93"/>
        <v>0</v>
      </c>
      <c r="Q141" s="563">
        <f t="shared" si="93"/>
        <v>0</v>
      </c>
      <c r="R141" s="563">
        <f t="shared" si="93"/>
        <v>0</v>
      </c>
      <c r="S141" s="563">
        <f t="shared" si="93"/>
        <v>0</v>
      </c>
      <c r="T141" s="563">
        <f t="shared" si="93"/>
        <v>0</v>
      </c>
      <c r="U141" s="563">
        <f t="shared" si="93"/>
        <v>0</v>
      </c>
      <c r="V141" s="563">
        <f t="shared" si="93"/>
        <v>0</v>
      </c>
      <c r="W141" s="563">
        <f t="shared" si="93"/>
        <v>0</v>
      </c>
      <c r="X141" s="563">
        <f t="shared" si="93"/>
        <v>0</v>
      </c>
      <c r="Y141" s="564">
        <f t="shared" si="93"/>
        <v>0</v>
      </c>
      <c r="Z141" s="2485">
        <f t="shared" si="93"/>
        <v>0</v>
      </c>
      <c r="AA141" s="2486">
        <f t="shared" si="93"/>
        <v>0</v>
      </c>
      <c r="AB141" s="563">
        <f t="shared" si="93"/>
        <v>0</v>
      </c>
      <c r="AC141" s="563">
        <f t="shared" si="93"/>
        <v>0</v>
      </c>
      <c r="AD141" s="563">
        <f t="shared" si="93"/>
        <v>0</v>
      </c>
      <c r="AE141" s="563">
        <f t="shared" si="93"/>
        <v>0</v>
      </c>
      <c r="AF141" s="563">
        <f t="shared" si="93"/>
        <v>0</v>
      </c>
      <c r="AG141" s="563">
        <f t="shared" si="93"/>
        <v>0</v>
      </c>
      <c r="AH141" s="563">
        <f t="shared" si="93"/>
        <v>0</v>
      </c>
      <c r="AI141" s="551">
        <f t="shared" si="93"/>
        <v>0</v>
      </c>
    </row>
    <row r="142" spans="1:39" ht="15.75" customHeight="1">
      <c r="A142" s="483"/>
      <c r="B142" s="464"/>
      <c r="C142" s="477"/>
      <c r="D142" s="1525" t="s">
        <v>2072</v>
      </c>
      <c r="E142" s="528">
        <f>MIN(E103,E117+E118)</f>
        <v>0</v>
      </c>
      <c r="F142" s="528">
        <f t="shared" ref="F142:N142" si="94">MIN(F103,F117+F118)</f>
        <v>0</v>
      </c>
      <c r="G142" s="528">
        <f t="shared" si="94"/>
        <v>0</v>
      </c>
      <c r="H142" s="528">
        <f t="shared" si="94"/>
        <v>0</v>
      </c>
      <c r="I142" s="528">
        <f t="shared" si="94"/>
        <v>0</v>
      </c>
      <c r="J142" s="528">
        <f t="shared" si="94"/>
        <v>0</v>
      </c>
      <c r="K142" s="528">
        <f t="shared" si="94"/>
        <v>0</v>
      </c>
      <c r="L142" s="528">
        <f t="shared" si="94"/>
        <v>0</v>
      </c>
      <c r="M142" s="528">
        <f t="shared" si="94"/>
        <v>0</v>
      </c>
      <c r="N142" s="528">
        <f t="shared" si="94"/>
        <v>0</v>
      </c>
      <c r="O142" s="544"/>
      <c r="P142" s="544"/>
      <c r="Q142" s="544"/>
      <c r="R142" s="544"/>
      <c r="S142" s="544"/>
      <c r="T142" s="544"/>
      <c r="U142" s="544"/>
      <c r="V142" s="544"/>
      <c r="W142" s="544"/>
      <c r="X142" s="544"/>
      <c r="Y142" s="2061"/>
      <c r="Z142" s="2395">
        <f t="shared" ref="Z142:AI142" si="95">MIN(Z103,Z117+Z118)</f>
        <v>0</v>
      </c>
      <c r="AA142" s="529">
        <f t="shared" si="95"/>
        <v>0</v>
      </c>
      <c r="AB142" s="528">
        <f t="shared" si="95"/>
        <v>0</v>
      </c>
      <c r="AC142" s="528">
        <f t="shared" si="95"/>
        <v>0</v>
      </c>
      <c r="AD142" s="528">
        <f t="shared" si="95"/>
        <v>0</v>
      </c>
      <c r="AE142" s="528">
        <f t="shared" si="95"/>
        <v>0</v>
      </c>
      <c r="AF142" s="528">
        <f t="shared" si="95"/>
        <v>0</v>
      </c>
      <c r="AG142" s="528">
        <f t="shared" si="95"/>
        <v>0</v>
      </c>
      <c r="AH142" s="528">
        <f t="shared" si="95"/>
        <v>0</v>
      </c>
      <c r="AI142" s="2395">
        <f t="shared" si="95"/>
        <v>0</v>
      </c>
    </row>
    <row r="143" spans="1:39" ht="15" customHeight="1">
      <c r="A143" s="487"/>
      <c r="B143" s="477"/>
      <c r="C143" s="477"/>
      <c r="D143" s="505" t="s">
        <v>2225</v>
      </c>
      <c r="E143" s="2005"/>
      <c r="F143" s="2005"/>
      <c r="G143" s="2005"/>
      <c r="H143" s="2005"/>
      <c r="I143" s="2005"/>
      <c r="J143" s="2005"/>
      <c r="K143" s="2005"/>
      <c r="L143" s="2005"/>
      <c r="M143" s="2005"/>
      <c r="N143" s="2005"/>
      <c r="O143" s="2005"/>
      <c r="P143" s="2005"/>
      <c r="Q143" s="2005"/>
      <c r="R143" s="2005"/>
      <c r="S143" s="2005"/>
      <c r="T143" s="2005"/>
      <c r="U143" s="2005"/>
      <c r="V143" s="2005"/>
      <c r="W143" s="2005"/>
      <c r="X143" s="2005"/>
      <c r="Y143" s="2005"/>
      <c r="Z143" s="2421"/>
      <c r="AA143" s="2306"/>
      <c r="AB143" s="2039"/>
      <c r="AC143" s="2039"/>
      <c r="AD143" s="2039"/>
      <c r="AE143" s="2039"/>
      <c r="AF143" s="2039"/>
      <c r="AG143" s="2039"/>
      <c r="AH143" s="2039"/>
      <c r="AI143" s="2482"/>
    </row>
    <row r="144" spans="1:39" ht="15" customHeight="1">
      <c r="A144" s="483"/>
      <c r="B144" s="464"/>
      <c r="C144" s="477"/>
      <c r="D144" s="488" t="s">
        <v>1533</v>
      </c>
      <c r="E144" s="546">
        <f>E132+E133+E139+E140+E141+E138+E143</f>
        <v>0</v>
      </c>
      <c r="F144" s="546">
        <f t="shared" ref="F144:AI144" si="96">F132+F133+F139+F140+F141+F138+F143</f>
        <v>0</v>
      </c>
      <c r="G144" s="546">
        <f t="shared" si="96"/>
        <v>0</v>
      </c>
      <c r="H144" s="546">
        <f t="shared" si="96"/>
        <v>0</v>
      </c>
      <c r="I144" s="546">
        <f t="shared" si="96"/>
        <v>0</v>
      </c>
      <c r="J144" s="546">
        <f t="shared" si="96"/>
        <v>0</v>
      </c>
      <c r="K144" s="546">
        <f t="shared" si="96"/>
        <v>0</v>
      </c>
      <c r="L144" s="546">
        <f t="shared" si="96"/>
        <v>0</v>
      </c>
      <c r="M144" s="546">
        <f t="shared" si="96"/>
        <v>0</v>
      </c>
      <c r="N144" s="546">
        <f t="shared" si="96"/>
        <v>0</v>
      </c>
      <c r="O144" s="546">
        <f t="shared" si="96"/>
        <v>0</v>
      </c>
      <c r="P144" s="546">
        <f t="shared" si="96"/>
        <v>0</v>
      </c>
      <c r="Q144" s="546">
        <f t="shared" si="96"/>
        <v>0</v>
      </c>
      <c r="R144" s="546">
        <f t="shared" si="96"/>
        <v>0</v>
      </c>
      <c r="S144" s="546">
        <f t="shared" si="96"/>
        <v>0</v>
      </c>
      <c r="T144" s="546">
        <f t="shared" si="96"/>
        <v>0</v>
      </c>
      <c r="U144" s="546">
        <f t="shared" si="96"/>
        <v>0</v>
      </c>
      <c r="V144" s="546">
        <f t="shared" si="96"/>
        <v>0</v>
      </c>
      <c r="W144" s="546">
        <f t="shared" si="96"/>
        <v>0</v>
      </c>
      <c r="X144" s="546">
        <f t="shared" si="96"/>
        <v>0</v>
      </c>
      <c r="Y144" s="546">
        <f t="shared" si="96"/>
        <v>0</v>
      </c>
      <c r="Z144" s="2454">
        <f t="shared" si="96"/>
        <v>0</v>
      </c>
      <c r="AA144" s="2460">
        <f t="shared" si="96"/>
        <v>0</v>
      </c>
      <c r="AB144" s="546">
        <f t="shared" si="96"/>
        <v>0</v>
      </c>
      <c r="AC144" s="546">
        <f t="shared" si="96"/>
        <v>0</v>
      </c>
      <c r="AD144" s="546">
        <f t="shared" si="96"/>
        <v>0</v>
      </c>
      <c r="AE144" s="546">
        <f t="shared" si="96"/>
        <v>0</v>
      </c>
      <c r="AF144" s="546">
        <f t="shared" si="96"/>
        <v>0</v>
      </c>
      <c r="AG144" s="546">
        <f t="shared" si="96"/>
        <v>0</v>
      </c>
      <c r="AH144" s="546">
        <f t="shared" si="96"/>
        <v>0</v>
      </c>
      <c r="AI144" s="2454">
        <f t="shared" si="96"/>
        <v>0</v>
      </c>
    </row>
    <row r="145" spans="1:37" ht="16.5" customHeight="1" thickBot="1">
      <c r="A145" s="485" t="s">
        <v>1551</v>
      </c>
      <c r="B145" s="2043">
        <f ca="1">SUM(E145:AI145)</f>
        <v>0</v>
      </c>
      <c r="C145" s="477"/>
      <c r="D145" s="495" t="s">
        <v>1552</v>
      </c>
      <c r="E145" s="2040">
        <f t="shared" ref="E145:AI145" ca="1" si="97">E130-E144</f>
        <v>0</v>
      </c>
      <c r="F145" s="2040">
        <f t="shared" ca="1" si="97"/>
        <v>0</v>
      </c>
      <c r="G145" s="2040">
        <f t="shared" ca="1" si="97"/>
        <v>0</v>
      </c>
      <c r="H145" s="2040">
        <f t="shared" ca="1" si="97"/>
        <v>0</v>
      </c>
      <c r="I145" s="2040">
        <f t="shared" ca="1" si="97"/>
        <v>0</v>
      </c>
      <c r="J145" s="2040">
        <f t="shared" ca="1" si="97"/>
        <v>0</v>
      </c>
      <c r="K145" s="2040">
        <f t="shared" ca="1" si="97"/>
        <v>0</v>
      </c>
      <c r="L145" s="2040">
        <f t="shared" ca="1" si="97"/>
        <v>0</v>
      </c>
      <c r="M145" s="2040">
        <f t="shared" ca="1" si="97"/>
        <v>0</v>
      </c>
      <c r="N145" s="2040">
        <f t="shared" ca="1" si="97"/>
        <v>0</v>
      </c>
      <c r="O145" s="2040">
        <f t="shared" si="97"/>
        <v>0</v>
      </c>
      <c r="P145" s="2040">
        <f t="shared" si="97"/>
        <v>0</v>
      </c>
      <c r="Q145" s="2040">
        <f t="shared" si="97"/>
        <v>0</v>
      </c>
      <c r="R145" s="2040">
        <f t="shared" si="97"/>
        <v>0</v>
      </c>
      <c r="S145" s="2040">
        <f t="shared" si="97"/>
        <v>0</v>
      </c>
      <c r="T145" s="2040">
        <f t="shared" si="97"/>
        <v>0</v>
      </c>
      <c r="U145" s="2040">
        <f t="shared" si="97"/>
        <v>0</v>
      </c>
      <c r="V145" s="2040">
        <f t="shared" si="97"/>
        <v>0</v>
      </c>
      <c r="W145" s="2040">
        <f t="shared" si="97"/>
        <v>0</v>
      </c>
      <c r="X145" s="2040">
        <f t="shared" si="97"/>
        <v>0</v>
      </c>
      <c r="Y145" s="2040">
        <f t="shared" si="97"/>
        <v>0</v>
      </c>
      <c r="Z145" s="2487">
        <f t="shared" si="97"/>
        <v>0</v>
      </c>
      <c r="AA145" s="2488">
        <f t="shared" si="97"/>
        <v>0</v>
      </c>
      <c r="AB145" s="2041">
        <f t="shared" si="97"/>
        <v>0</v>
      </c>
      <c r="AC145" s="2041">
        <f t="shared" si="97"/>
        <v>0</v>
      </c>
      <c r="AD145" s="2041">
        <f t="shared" si="97"/>
        <v>0</v>
      </c>
      <c r="AE145" s="2041">
        <f t="shared" si="97"/>
        <v>0</v>
      </c>
      <c r="AF145" s="2041">
        <f t="shared" si="97"/>
        <v>0</v>
      </c>
      <c r="AG145" s="2041">
        <f t="shared" si="97"/>
        <v>0</v>
      </c>
      <c r="AH145" s="2041">
        <f t="shared" si="97"/>
        <v>0</v>
      </c>
      <c r="AI145" s="2042">
        <f t="shared" si="97"/>
        <v>0</v>
      </c>
    </row>
    <row r="146" spans="1:37" ht="16.5" customHeight="1" thickTop="1">
      <c r="A146" s="483"/>
      <c r="B146" s="437"/>
      <c r="C146" s="2496"/>
      <c r="D146" s="2497"/>
      <c r="E146" s="2489"/>
      <c r="F146" s="2490"/>
      <c r="G146" s="2490"/>
      <c r="H146" s="2490"/>
      <c r="I146" s="2490"/>
      <c r="J146" s="2490"/>
      <c r="K146" s="2490"/>
      <c r="L146" s="2490"/>
      <c r="M146" s="2490"/>
      <c r="N146" s="2490"/>
      <c r="O146" s="2490"/>
      <c r="P146" s="2490"/>
      <c r="Q146" s="2490"/>
      <c r="R146" s="2490"/>
      <c r="S146" s="2490"/>
      <c r="T146" s="2490"/>
      <c r="U146" s="2490"/>
      <c r="V146" s="2490"/>
      <c r="W146" s="2490"/>
      <c r="X146" s="2490"/>
      <c r="Y146" s="2490"/>
      <c r="Z146" s="2491"/>
      <c r="AA146" s="2490"/>
      <c r="AB146" s="2490"/>
      <c r="AC146" s="2490"/>
      <c r="AD146" s="2490"/>
      <c r="AE146" s="2490"/>
      <c r="AF146" s="2490"/>
      <c r="AG146" s="2490"/>
      <c r="AH146" s="2490"/>
      <c r="AI146" s="2491"/>
    </row>
    <row r="147" spans="1:37" ht="15" customHeight="1">
      <c r="A147" s="431"/>
      <c r="B147" s="464"/>
      <c r="C147" s="464"/>
      <c r="D147" s="464"/>
      <c r="E147" s="2492"/>
      <c r="F147" s="2492"/>
      <c r="G147" s="2492"/>
      <c r="H147" s="2492"/>
      <c r="I147" s="2492"/>
      <c r="J147" s="2492"/>
      <c r="K147" s="2492"/>
      <c r="L147" s="2492"/>
      <c r="M147" s="2492"/>
      <c r="N147" s="2492"/>
      <c r="O147" s="2492"/>
      <c r="P147" s="2492"/>
      <c r="Q147" s="2492"/>
      <c r="R147" s="2492"/>
      <c r="S147" s="2492"/>
      <c r="T147" s="2492"/>
      <c r="U147" s="2492"/>
      <c r="V147" s="2492"/>
      <c r="W147" s="2492"/>
      <c r="X147" s="2492"/>
      <c r="Y147" s="2492"/>
      <c r="Z147" s="2493"/>
      <c r="AA147" s="2492"/>
      <c r="AB147" s="2492"/>
      <c r="AC147" s="2492"/>
      <c r="AD147" s="2492"/>
      <c r="AE147" s="2492"/>
      <c r="AF147" s="2492"/>
      <c r="AG147" s="2492"/>
      <c r="AH147" s="2492"/>
      <c r="AI147" s="2493"/>
    </row>
    <row r="148" spans="1:37" ht="20.25" customHeight="1" thickBot="1">
      <c r="A148" s="912"/>
      <c r="B148" s="509"/>
      <c r="C148" s="509"/>
      <c r="D148" s="509"/>
      <c r="E148" s="2494"/>
      <c r="F148" s="2494"/>
      <c r="G148" s="2494"/>
      <c r="H148" s="2494"/>
      <c r="I148" s="2494"/>
      <c r="J148" s="2494"/>
      <c r="K148" s="2494"/>
      <c r="L148" s="2494"/>
      <c r="M148" s="2494"/>
      <c r="N148" s="2494"/>
      <c r="O148" s="2494"/>
      <c r="P148" s="2494"/>
      <c r="Q148" s="2494"/>
      <c r="R148" s="2494"/>
      <c r="S148" s="2494"/>
      <c r="T148" s="2494"/>
      <c r="U148" s="2494"/>
      <c r="V148" s="2494"/>
      <c r="W148" s="2494"/>
      <c r="X148" s="2494"/>
      <c r="Y148" s="2494"/>
      <c r="Z148" s="2495"/>
      <c r="AA148" s="2494"/>
      <c r="AB148" s="2494"/>
      <c r="AC148" s="2494"/>
      <c r="AD148" s="2494"/>
      <c r="AE148" s="2494"/>
      <c r="AF148" s="2494"/>
      <c r="AG148" s="2494"/>
      <c r="AH148" s="2494"/>
      <c r="AI148" s="2495"/>
    </row>
    <row r="149" spans="1:37" ht="15" customHeight="1">
      <c r="A149" s="500"/>
      <c r="B149" s="500"/>
      <c r="C149" s="500"/>
      <c r="D149" s="464"/>
      <c r="E149" s="507"/>
      <c r="F149" s="500"/>
      <c r="G149" s="500"/>
      <c r="H149" s="500"/>
      <c r="I149" s="500"/>
      <c r="J149" s="500"/>
      <c r="K149" s="500"/>
      <c r="L149" s="500"/>
      <c r="M149" s="500"/>
      <c r="N149" s="500"/>
      <c r="O149" s="500"/>
      <c r="P149" s="500"/>
      <c r="Q149" s="500"/>
      <c r="R149" s="500"/>
      <c r="S149" s="500"/>
      <c r="T149" s="500"/>
      <c r="U149" s="500"/>
      <c r="V149" s="500"/>
      <c r="W149" s="500"/>
      <c r="X149" s="500"/>
      <c r="Y149" s="500"/>
      <c r="Z149" s="500"/>
      <c r="AA149" s="500"/>
      <c r="AB149" s="500"/>
      <c r="AC149" s="500"/>
      <c r="AD149" s="500"/>
      <c r="AE149" s="500"/>
      <c r="AF149" s="500"/>
      <c r="AG149" s="500"/>
      <c r="AH149" s="500"/>
      <c r="AI149" s="500"/>
    </row>
    <row r="150" spans="1:37" ht="12.75" customHeight="1" thickBot="1">
      <c r="A150" s="628" t="s">
        <v>172</v>
      </c>
      <c r="B150" s="130"/>
      <c r="C150" s="450"/>
      <c r="D150" s="130"/>
      <c r="E150" s="130"/>
      <c r="F150" s="130"/>
      <c r="G150" s="130"/>
      <c r="H150" s="130"/>
      <c r="I150" s="130"/>
      <c r="J150" s="130"/>
      <c r="K150" s="130"/>
      <c r="L150" s="130"/>
      <c r="M150" s="130"/>
      <c r="N150" s="130"/>
      <c r="O150" s="130"/>
      <c r="P150" s="130"/>
      <c r="Q150" s="130"/>
      <c r="R150" s="130"/>
      <c r="S150" s="130"/>
      <c r="T150" s="130"/>
      <c r="U150" s="130"/>
      <c r="V150" s="130"/>
      <c r="W150" s="130"/>
      <c r="X150" s="130"/>
      <c r="Y150" s="130"/>
      <c r="Z150" s="465"/>
      <c r="AA150" s="465"/>
      <c r="AB150" s="465"/>
      <c r="AC150" s="465"/>
      <c r="AD150" s="465"/>
      <c r="AE150" s="465"/>
      <c r="AF150" s="465"/>
      <c r="AG150" s="465"/>
      <c r="AH150" s="465"/>
      <c r="AI150" s="465"/>
    </row>
    <row r="151" spans="1:37" ht="26.25" customHeight="1" thickBot="1">
      <c r="A151" s="3878"/>
      <c r="B151" s="3879"/>
      <c r="C151" s="3879"/>
      <c r="D151" s="3879"/>
      <c r="E151" s="3879"/>
      <c r="F151" s="3879"/>
      <c r="G151" s="3879"/>
      <c r="H151" s="3879"/>
      <c r="I151" s="3879"/>
      <c r="J151" s="3879"/>
      <c r="K151" s="3879"/>
      <c r="L151" s="3879"/>
      <c r="M151" s="3879"/>
      <c r="N151" s="3879"/>
      <c r="O151" s="3879"/>
      <c r="P151" s="3879"/>
      <c r="Q151" s="3879"/>
      <c r="R151" s="3879"/>
      <c r="S151" s="3879"/>
      <c r="T151" s="3879"/>
      <c r="U151" s="3879"/>
      <c r="V151" s="3879"/>
      <c r="W151" s="3879"/>
      <c r="X151" s="3879"/>
      <c r="Y151" s="3879"/>
      <c r="Z151" s="3879"/>
      <c r="AA151" s="3879"/>
      <c r="AB151" s="3879"/>
      <c r="AC151" s="3879"/>
      <c r="AD151" s="3879"/>
      <c r="AE151" s="3879"/>
      <c r="AF151" s="3879"/>
      <c r="AG151" s="3879"/>
      <c r="AH151" s="3879"/>
      <c r="AI151" s="3880"/>
      <c r="AK151" s="1676"/>
    </row>
    <row r="152" spans="1:37">
      <c r="A152" s="431"/>
      <c r="B152" s="130"/>
      <c r="C152" s="450"/>
      <c r="D152" s="130"/>
      <c r="E152" s="130"/>
      <c r="F152" s="130"/>
      <c r="G152" s="130"/>
      <c r="H152" s="130"/>
      <c r="I152" s="130"/>
      <c r="J152" s="130"/>
      <c r="K152" s="130"/>
      <c r="L152" s="130"/>
      <c r="M152" s="130"/>
      <c r="N152" s="130"/>
      <c r="O152" s="130"/>
      <c r="P152" s="130"/>
      <c r="Q152" s="130"/>
      <c r="R152" s="130"/>
      <c r="S152" s="130"/>
      <c r="T152" s="130"/>
      <c r="U152" s="130"/>
      <c r="V152" s="130"/>
      <c r="W152" s="130"/>
      <c r="X152" s="130"/>
      <c r="Y152" s="130"/>
      <c r="Z152" s="465"/>
      <c r="AA152" s="465"/>
      <c r="AB152" s="465"/>
      <c r="AC152" s="465"/>
      <c r="AD152" s="465"/>
      <c r="AE152" s="465"/>
      <c r="AF152" s="465"/>
      <c r="AG152" s="465"/>
      <c r="AH152" s="465"/>
      <c r="AI152" s="465"/>
    </row>
    <row r="153" spans="1:37" ht="12.75" customHeight="1">
      <c r="A153" s="431"/>
      <c r="B153" s="130"/>
      <c r="C153" s="450"/>
      <c r="D153" s="130"/>
      <c r="E153" s="130"/>
      <c r="F153" s="130"/>
      <c r="G153" s="130"/>
      <c r="H153" s="130"/>
      <c r="I153" s="130"/>
      <c r="J153" s="130"/>
      <c r="K153" s="130"/>
      <c r="L153" s="130"/>
      <c r="M153" s="130"/>
      <c r="N153" s="130"/>
      <c r="O153" s="130"/>
      <c r="P153" s="130"/>
      <c r="Q153" s="130"/>
      <c r="R153" s="130"/>
      <c r="S153" s="130"/>
      <c r="T153" s="130"/>
      <c r="U153" s="130"/>
      <c r="V153" s="130"/>
      <c r="W153" s="130"/>
      <c r="X153" s="130"/>
      <c r="Y153" s="130"/>
      <c r="Z153" s="465"/>
      <c r="AA153" s="465"/>
      <c r="AB153" s="465"/>
      <c r="AC153" s="465"/>
      <c r="AD153" s="465"/>
      <c r="AE153" s="465"/>
      <c r="AF153" s="465"/>
      <c r="AG153" s="465"/>
      <c r="AH153" s="465"/>
      <c r="AI153" s="465"/>
    </row>
    <row r="154" spans="1:37" ht="12.75" customHeight="1">
      <c r="A154" s="45"/>
      <c r="B154" s="45"/>
      <c r="C154" s="440"/>
      <c r="D154" s="45"/>
      <c r="E154" s="45"/>
      <c r="F154" s="45"/>
      <c r="G154" s="45"/>
      <c r="H154" s="45"/>
      <c r="I154" s="45"/>
      <c r="J154" s="130"/>
      <c r="K154" s="130"/>
      <c r="L154" s="130"/>
      <c r="M154" s="130"/>
      <c r="N154" s="130"/>
      <c r="O154" s="130"/>
      <c r="P154" s="130"/>
      <c r="Q154" s="130"/>
      <c r="R154" s="130"/>
      <c r="S154" s="130"/>
      <c r="T154" s="130"/>
      <c r="U154" s="130"/>
      <c r="V154" s="130"/>
      <c r="W154" s="130"/>
      <c r="X154" s="130"/>
      <c r="Y154" s="130"/>
      <c r="Z154" s="465"/>
      <c r="AA154" s="465"/>
      <c r="AB154" s="465"/>
      <c r="AC154" s="465"/>
      <c r="AD154" s="465"/>
      <c r="AE154" s="465"/>
      <c r="AF154" s="465"/>
      <c r="AG154" s="465"/>
      <c r="AH154" s="465"/>
      <c r="AI154" s="465"/>
    </row>
    <row r="155" spans="1:37" ht="27" customHeight="1">
      <c r="A155" s="3739" t="str">
        <f>CONCATENATE("In preparing these calculations we have relied on source information provided to us by ",'Input Info'!$C$6,". Although this source information is likely to be based on various assumptions and forecasts made by ",'Input Info'!$C$6,", we have relied on this information as being accurate and complete and have not sought to verify or vouch for any of the information provided.")</f>
        <v>In preparing these calculations we have relied on source information provided to us by Example Trust. Although this source information is likely to be based on various assumptions and forecasts made by Example Trust, we have relied on this information as being accurate and complete and have not sought to verify or vouch for any of the information provided.</v>
      </c>
      <c r="B155" s="3739"/>
      <c r="C155" s="3739"/>
      <c r="D155" s="3739"/>
      <c r="E155" s="3739"/>
      <c r="F155" s="3739"/>
      <c r="G155" s="3739"/>
      <c r="H155" s="3739"/>
      <c r="I155" s="3739"/>
      <c r="J155" s="3739"/>
      <c r="K155" s="3739"/>
      <c r="L155" s="3739"/>
      <c r="M155" s="3739"/>
      <c r="N155" s="3739"/>
      <c r="O155" s="3739"/>
      <c r="P155" s="3739"/>
      <c r="Q155" s="3739"/>
      <c r="R155" s="3739"/>
      <c r="S155" s="3739"/>
      <c r="T155" s="3739"/>
      <c r="U155" s="3739"/>
      <c r="V155" s="3739"/>
      <c r="W155" s="3739"/>
      <c r="X155" s="3739"/>
      <c r="Y155" s="3739"/>
      <c r="Z155" s="3739"/>
      <c r="AA155" s="3739"/>
      <c r="AB155" s="3739"/>
      <c r="AC155" s="3739"/>
      <c r="AD155" s="3739"/>
      <c r="AE155" s="3739"/>
      <c r="AF155" s="3739"/>
      <c r="AG155" s="3739"/>
      <c r="AH155" s="3739"/>
      <c r="AI155" s="3739"/>
    </row>
    <row r="156" spans="1:37" ht="27" customHeight="1">
      <c r="A156" s="3739" t="str">
        <f>CONCATENATE("Further, the estimates have been prepared at the request of and for the benefit of the above named client only, and neither ",'Input Info'!$N$5," or any member or employee of ",'Input Info'!$N$5," undertakes any responsibility in any way whatsoever to any person or company other than ",'Input Info'!$C$6," for any errors or omissions in the calculations or recommendations, however caused.")</f>
        <v>Further, the estimates have been prepared at the request of and for the benefit of the above named client only, and neither FINDEX or any member or employee of FINDEX undertakes any responsibility in any way whatsoever to any person or company other than Example Trust for any errors or omissions in the calculations or recommendations, however caused.</v>
      </c>
      <c r="B156" s="3739"/>
      <c r="C156" s="3739"/>
      <c r="D156" s="3739"/>
      <c r="E156" s="3739"/>
      <c r="F156" s="3739"/>
      <c r="G156" s="3739"/>
      <c r="H156" s="3739"/>
      <c r="I156" s="3739"/>
      <c r="J156" s="3739"/>
      <c r="K156" s="3739"/>
      <c r="L156" s="3739"/>
      <c r="M156" s="3739"/>
      <c r="N156" s="3739"/>
      <c r="O156" s="3739"/>
      <c r="P156" s="3739"/>
      <c r="Q156" s="3739"/>
      <c r="R156" s="3739"/>
      <c r="S156" s="3739"/>
      <c r="T156" s="3739"/>
      <c r="U156" s="3739"/>
      <c r="V156" s="3739"/>
      <c r="W156" s="3739"/>
      <c r="X156" s="3739"/>
      <c r="Y156" s="3739"/>
      <c r="Z156" s="3739"/>
      <c r="AA156" s="3739"/>
      <c r="AB156" s="3739"/>
      <c r="AC156" s="3739"/>
      <c r="AD156" s="3739"/>
      <c r="AE156" s="3739"/>
      <c r="AF156" s="3739"/>
      <c r="AG156" s="3739"/>
      <c r="AH156" s="3739"/>
      <c r="AI156" s="3739"/>
    </row>
  </sheetData>
  <sheetProtection selectLockedCells="1"/>
  <customSheetViews>
    <customSheetView guid="{BCBE45D4-3C45-4659-992E-5C5D3E9FD81C}" scale="85" fitToPage="1" hiddenRows="1">
      <pane xSplit="4" ySplit="18" topLeftCell="E19" activePane="bottomRight" state="frozenSplit"/>
      <selection pane="bottomRight" activeCell="E32" sqref="E32"/>
      <pageMargins left="0.59055118110236227" right="0.43307086614173229" top="0.6692913385826772" bottom="0.94488188976377963" header="0.51181102362204722" footer="0.39370078740157483"/>
      <printOptions horizontalCentered="1"/>
      <pageSetup paperSize="9" scale="32"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70" fitToPage="1" hiddenRows="1" hiddenColumns="1">
      <pane xSplit="4" ySplit="18" topLeftCell="E84" activePane="bottomRight" state="frozenSplit"/>
      <selection pane="bottomRight" activeCell="B79" activeCellId="1" sqref="E102 B79:B80"/>
      <pageMargins left="0.59055118110236227" right="0.43307086614173229" top="0.6692913385826772" bottom="0.94488188976377963" header="0.51181102362204722" footer="0.39370078740157483"/>
      <printOptions horizontalCentered="1"/>
      <pageSetup paperSize="9" scale="32" fitToHeight="999" orientation="portrait" blackAndWhite="1" r:id="rId2"/>
      <headerFooter alignWithMargins="0">
        <oddFooter>&amp;L&amp;8Copyright Crowe Horwath (Aust) Pty Ltd 2016.  All rights reserved.
&amp;Z&amp;F[&amp;A]&amp;R&amp;8&amp;P/&amp;N</oddFooter>
      </headerFooter>
    </customSheetView>
  </customSheetViews>
  <mergeCells count="5">
    <mergeCell ref="C2:Y4"/>
    <mergeCell ref="A6:AI6"/>
    <mergeCell ref="A156:AI156"/>
    <mergeCell ref="A151:AI151"/>
    <mergeCell ref="A155:AI155"/>
  </mergeCells>
  <phoneticPr fontId="0" type="noConversion"/>
  <dataValidations count="4">
    <dataValidation type="list" allowBlank="1" showInputMessage="1" showErrorMessage="1" sqref="E109:N109 Z109:AI109" xr:uid="{00000000-0002-0000-0C00-000000000000}">
      <formula1>"Yes,No"</formula1>
    </dataValidation>
    <dataValidation type="list" allowBlank="1" showInputMessage="1" showErrorMessage="1" sqref="E110:N110" xr:uid="{00000000-0002-0000-0C00-000001000000}">
      <formula1>Individuals_A</formula1>
    </dataValidation>
    <dataValidation type="list" allowBlank="1" showInputMessage="1" showErrorMessage="1" sqref="E14:AI14" xr:uid="{00000000-0002-0000-0C00-000002000000}">
      <formula1>HideShow</formula1>
    </dataValidation>
    <dataValidation type="list" allowBlank="1" showInputMessage="1" showErrorMessage="1" sqref="E13:N13" xr:uid="{70EA6986-7216-41CF-8182-C6A2C952B31B}">
      <formula1>$AS$9:$AS$11</formula1>
    </dataValidation>
  </dataValidations>
  <hyperlinks>
    <hyperlink ref="AM7" location="WP_Dividend_Summary" display="Back to Workpaper Index" xr:uid="{00000000-0004-0000-0C00-000000000000}"/>
    <hyperlink ref="AM7:AW7" location="WP_Tax_Dist_Averaging" display="Back to Workpaper Index" xr:uid="{00000000-0004-0000-0C00-000001000000}"/>
    <hyperlink ref="AV7" location="WP_Tax_Dist_Averaging" display="Back to Workpaper Index" xr:uid="{00000000-0004-0000-0C00-000002000000}"/>
    <hyperlink ref="AU7" location="WP_Tax_Dist_Averaging" display="Back to Workpaper Index" xr:uid="{00000000-0004-0000-0C00-000003000000}"/>
    <hyperlink ref="AT7" location="WP_Tax_Dist_Averaging" display="Back to Workpaper Index" xr:uid="{00000000-0004-0000-0C00-000004000000}"/>
    <hyperlink ref="AS7" location="WP_Tax_Dist_Averaging" display="Back to Workpaper Index" xr:uid="{00000000-0004-0000-0C00-000005000000}"/>
    <hyperlink ref="AQ7:AR7" location="WP_Tax_Dist_Averaging" display="Back to Workpaper Index" xr:uid="{00000000-0004-0000-0C00-000006000000}"/>
    <hyperlink ref="AR7" location="WP_Tax_Dist_Averaging" display="Back to Workpaper Index" xr:uid="{00000000-0004-0000-0C00-000007000000}"/>
    <hyperlink ref="AQ7" location="WP_Tax_Dist_Averaging" display="Back to Workpaper Index" xr:uid="{00000000-0004-0000-0C00-000008000000}"/>
    <hyperlink ref="AN7:AP7" location="WP_Tax_Dist_Averaging" display="Back to Workpaper Index" xr:uid="{00000000-0004-0000-0C00-000009000000}"/>
    <hyperlink ref="AP7" location="WP_Tax_Dist_Averaging" display="Back to Workpaper Index" xr:uid="{00000000-0004-0000-0C00-00000A000000}"/>
    <hyperlink ref="AN7" location="WP_Tax_Dist_Averaging" display="Back to Workpaper Index" xr:uid="{00000000-0004-0000-0C00-00000B000000}"/>
    <hyperlink ref="AN7" location="WP_Tax_Dist_Averaging" display="Back to Workpaper Index" xr:uid="{00000000-0004-0000-0C00-00000C000000}"/>
  </hyperlinks>
  <printOptions horizontalCentered="1"/>
  <pageMargins left="0" right="0" top="0" bottom="0" header="0" footer="0"/>
  <pageSetup paperSize="9" scale="57" orientation="portrait" r:id="rId3"/>
  <headerFooter alignWithMargins="0"/>
  <drawing r:id="rId4"/>
  <legacyDrawing r:id="rId5"/>
  <controls>
    <mc:AlternateContent xmlns:mc="http://schemas.openxmlformats.org/markup-compatibility/2006">
      <mc:Choice Requires="x14">
        <control shapeId="109908" r:id="rId6" name="SpinButton_Individuals">
          <controlPr defaultSize="0" autoLine="0" r:id="rId7">
            <anchor moveWithCells="1">
              <from>
                <xdr:col>0</xdr:col>
                <xdr:colOff>390525</xdr:colOff>
                <xdr:row>20</xdr:row>
                <xdr:rowOff>0</xdr:rowOff>
              </from>
              <to>
                <xdr:col>0</xdr:col>
                <xdr:colOff>733425</xdr:colOff>
                <xdr:row>22</xdr:row>
                <xdr:rowOff>0</xdr:rowOff>
              </to>
            </anchor>
          </controlPr>
        </control>
      </mc:Choice>
      <mc:Fallback>
        <control shapeId="109908" r:id="rId6" name="SpinButton_Individuals"/>
      </mc:Fallback>
    </mc:AlternateContent>
    <mc:AlternateContent xmlns:mc="http://schemas.openxmlformats.org/markup-compatibility/2006">
      <mc:Choice Requires="x14">
        <control shapeId="109909" r:id="rId8" name="SpinButton_Companies">
          <controlPr defaultSize="0" autoLine="0" r:id="rId7">
            <anchor moveWithCells="1">
              <from>
                <xdr:col>0</xdr:col>
                <xdr:colOff>390525</xdr:colOff>
                <xdr:row>21</xdr:row>
                <xdr:rowOff>180975</xdr:rowOff>
              </from>
              <to>
                <xdr:col>0</xdr:col>
                <xdr:colOff>733425</xdr:colOff>
                <xdr:row>23</xdr:row>
                <xdr:rowOff>180975</xdr:rowOff>
              </to>
            </anchor>
          </controlPr>
        </control>
      </mc:Choice>
      <mc:Fallback>
        <control shapeId="109909" r:id="rId8" name="SpinButton_Companies"/>
      </mc:Fallback>
    </mc:AlternateContent>
    <mc:AlternateContent xmlns:mc="http://schemas.openxmlformats.org/markup-compatibility/2006">
      <mc:Choice Requires="x14">
        <control shapeId="109910" r:id="rId9" name="SpinButton_SuperFunds">
          <controlPr defaultSize="0" autoLine="0" r:id="rId7">
            <anchor moveWithCells="1">
              <from>
                <xdr:col>0</xdr:col>
                <xdr:colOff>390525</xdr:colOff>
                <xdr:row>23</xdr:row>
                <xdr:rowOff>180975</xdr:rowOff>
              </from>
              <to>
                <xdr:col>0</xdr:col>
                <xdr:colOff>733425</xdr:colOff>
                <xdr:row>25</xdr:row>
                <xdr:rowOff>180975</xdr:rowOff>
              </to>
            </anchor>
          </controlPr>
        </control>
      </mc:Choice>
      <mc:Fallback>
        <control shapeId="109910" r:id="rId9" name="SpinButton_SuperFunds"/>
      </mc:Fallback>
    </mc:AlternateContent>
    <mc:AlternateContent xmlns:mc="http://schemas.openxmlformats.org/markup-compatibility/2006">
      <mc:Choice Requires="x14">
        <control shapeId="109911" r:id="rId10" name="SpinButton_ChildBeneficiaries">
          <controlPr defaultSize="0" autoLine="0" r:id="rId11">
            <anchor moveWithCells="1">
              <from>
                <xdr:col>0</xdr:col>
                <xdr:colOff>390525</xdr:colOff>
                <xdr:row>34</xdr:row>
                <xdr:rowOff>0</xdr:rowOff>
              </from>
              <to>
                <xdr:col>0</xdr:col>
                <xdr:colOff>733425</xdr:colOff>
                <xdr:row>35</xdr:row>
                <xdr:rowOff>190500</xdr:rowOff>
              </to>
            </anchor>
          </controlPr>
        </control>
      </mc:Choice>
      <mc:Fallback>
        <control shapeId="109911" r:id="rId10" name="SpinButton_ChildBeneficiaries"/>
      </mc:Fallback>
    </mc:AlternateContent>
    <mc:AlternateContent xmlns:mc="http://schemas.openxmlformats.org/markup-compatibility/2006">
      <mc:Choice Requires="x14">
        <control shapeId="109912" r:id="rId12" name="Label_Individuals">
          <controlPr defaultSize="0" autoLine="0" r:id="rId13">
            <anchor moveWithCells="1">
              <from>
                <xdr:col>1</xdr:col>
                <xdr:colOff>0</xdr:colOff>
                <xdr:row>20</xdr:row>
                <xdr:rowOff>0</xdr:rowOff>
              </from>
              <to>
                <xdr:col>2</xdr:col>
                <xdr:colOff>114300</xdr:colOff>
                <xdr:row>21</xdr:row>
                <xdr:rowOff>171450</xdr:rowOff>
              </to>
            </anchor>
          </controlPr>
        </control>
      </mc:Choice>
      <mc:Fallback>
        <control shapeId="109912" r:id="rId12" name="Label_Individuals"/>
      </mc:Fallback>
    </mc:AlternateContent>
    <mc:AlternateContent xmlns:mc="http://schemas.openxmlformats.org/markup-compatibility/2006">
      <mc:Choice Requires="x14">
        <control shapeId="109913" r:id="rId14" name="Label_Companies">
          <controlPr defaultSize="0" autoLine="0" r:id="rId15">
            <anchor moveWithCells="1">
              <from>
                <xdr:col>1</xdr:col>
                <xdr:colOff>0</xdr:colOff>
                <xdr:row>21</xdr:row>
                <xdr:rowOff>180975</xdr:rowOff>
              </from>
              <to>
                <xdr:col>2</xdr:col>
                <xdr:colOff>114300</xdr:colOff>
                <xdr:row>23</xdr:row>
                <xdr:rowOff>161925</xdr:rowOff>
              </to>
            </anchor>
          </controlPr>
        </control>
      </mc:Choice>
      <mc:Fallback>
        <control shapeId="109913" r:id="rId14" name="Label_Companies"/>
      </mc:Fallback>
    </mc:AlternateContent>
    <mc:AlternateContent xmlns:mc="http://schemas.openxmlformats.org/markup-compatibility/2006">
      <mc:Choice Requires="x14">
        <control shapeId="109914" r:id="rId16" name="Label_Superfunds">
          <controlPr defaultSize="0" autoLine="0" r:id="rId17">
            <anchor moveWithCells="1">
              <from>
                <xdr:col>1</xdr:col>
                <xdr:colOff>0</xdr:colOff>
                <xdr:row>23</xdr:row>
                <xdr:rowOff>180975</xdr:rowOff>
              </from>
              <to>
                <xdr:col>2</xdr:col>
                <xdr:colOff>114300</xdr:colOff>
                <xdr:row>25</xdr:row>
                <xdr:rowOff>161925</xdr:rowOff>
              </to>
            </anchor>
          </controlPr>
        </control>
      </mc:Choice>
      <mc:Fallback>
        <control shapeId="109914" r:id="rId16" name="Label_Superfunds"/>
      </mc:Fallback>
    </mc:AlternateContent>
    <mc:AlternateContent xmlns:mc="http://schemas.openxmlformats.org/markup-compatibility/2006">
      <mc:Choice Requires="x14">
        <control shapeId="109915" r:id="rId18" name="Label_ChildBeneficiaries">
          <controlPr defaultSize="0" autoLine="0" r:id="rId19">
            <anchor moveWithCells="1">
              <from>
                <xdr:col>1</xdr:col>
                <xdr:colOff>0</xdr:colOff>
                <xdr:row>34</xdr:row>
                <xdr:rowOff>0</xdr:rowOff>
              </from>
              <to>
                <xdr:col>2</xdr:col>
                <xdr:colOff>114300</xdr:colOff>
                <xdr:row>35</xdr:row>
                <xdr:rowOff>161925</xdr:rowOff>
              </to>
            </anchor>
          </controlPr>
        </control>
      </mc:Choice>
      <mc:Fallback>
        <control shapeId="109915" r:id="rId18" name="Label_ChildBeneficiaries"/>
      </mc:Fallback>
    </mc:AlternateContent>
    <mc:AlternateContent xmlns:mc="http://schemas.openxmlformats.org/markup-compatibility/2006">
      <mc:Choice Requires="x14">
        <control shapeId="109851" r:id="rId20" name="Button 283">
          <controlPr defaultSize="0" print="0" autoFill="0" autoPict="0" macro="[0]!ShowAllAveraging">
            <anchor moveWithCells="1" sizeWithCells="1">
              <from>
                <xdr:col>37</xdr:col>
                <xdr:colOff>0</xdr:colOff>
                <xdr:row>13</xdr:row>
                <xdr:rowOff>0</xdr:rowOff>
              </from>
              <to>
                <xdr:col>38</xdr:col>
                <xdr:colOff>0</xdr:colOff>
                <xdr:row>14</xdr:row>
                <xdr:rowOff>0</xdr:rowOff>
              </to>
            </anchor>
          </controlPr>
        </control>
      </mc:Choice>
    </mc:AlternateContent>
    <mc:AlternateContent xmlns:mc="http://schemas.openxmlformats.org/markup-compatibility/2006">
      <mc:Choice Requires="x14">
        <control shapeId="109852" r:id="rId21" name="Button 284">
          <controlPr defaultSize="0" print="0" autoFill="0" autoPict="0" macro="[0]!Help_Distribution_Averaging">
            <anchor moveWithCells="1">
              <from>
                <xdr:col>41</xdr:col>
                <xdr:colOff>0</xdr:colOff>
                <xdr:row>3</xdr:row>
                <xdr:rowOff>0</xdr:rowOff>
              </from>
              <to>
                <xdr:col>42</xdr:col>
                <xdr:colOff>228600</xdr:colOff>
                <xdr:row>5</xdr:row>
                <xdr:rowOff>190500</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Drought_WO_s105_Sheet">
    <tabColor theme="8" tint="0.79998168889431442"/>
    <pageSetUpPr fitToPage="1"/>
  </sheetPr>
  <dimension ref="A1:G41"/>
  <sheetViews>
    <sheetView zoomScaleNormal="100" workbookViewId="0">
      <selection sqref="A1:F1"/>
    </sheetView>
  </sheetViews>
  <sheetFormatPr defaultColWidth="9.140625" defaultRowHeight="12.75"/>
  <cols>
    <col min="1" max="1" width="31.28515625" style="32" customWidth="1"/>
    <col min="2" max="6" width="13.28515625" style="32" customWidth="1"/>
    <col min="7" max="7" width="8.28515625" style="1" hidden="1" customWidth="1"/>
    <col min="8" max="16384" width="9.140625" style="32"/>
  </cols>
  <sheetData>
    <row r="1" spans="1:7">
      <c r="E1" s="2613" t="s">
        <v>2425</v>
      </c>
      <c r="F1" s="3576" t="s">
        <v>2758</v>
      </c>
    </row>
    <row r="2" spans="1:7" ht="15.75">
      <c r="A2" s="206"/>
      <c r="B2" s="43"/>
      <c r="E2" s="71" t="s">
        <v>2426</v>
      </c>
      <c r="F2" s="2622"/>
    </row>
    <row r="3" spans="1:7" ht="15.75">
      <c r="A3" s="2611"/>
      <c r="B3" s="43"/>
      <c r="E3" s="1613"/>
      <c r="F3" s="2261"/>
    </row>
    <row r="4" spans="1:7" ht="15.75">
      <c r="A4" s="206"/>
      <c r="B4" s="43"/>
      <c r="D4" s="11"/>
      <c r="E4" s="2731" t="s">
        <v>1163</v>
      </c>
      <c r="F4" s="2731" t="s">
        <v>1262</v>
      </c>
    </row>
    <row r="5" spans="1:7" ht="15.75">
      <c r="A5" s="206"/>
      <c r="B5" s="43"/>
      <c r="D5" s="71" t="s">
        <v>332</v>
      </c>
      <c r="E5" s="2617" t="str">
        <f>IF(PreparedBy="","",PreparedBy)</f>
        <v/>
      </c>
      <c r="F5" s="2630" t="str">
        <f>IF(DatePrepared="","",DatePrepared)</f>
        <v/>
      </c>
    </row>
    <row r="6" spans="1:7" ht="15.75">
      <c r="A6" s="206"/>
      <c r="B6" s="43"/>
      <c r="D6" s="71" t="s">
        <v>333</v>
      </c>
      <c r="E6" s="2632"/>
      <c r="F6" s="2631"/>
    </row>
    <row r="7" spans="1:7" ht="15.75">
      <c r="A7" s="206"/>
      <c r="B7" s="43"/>
      <c r="D7" s="71"/>
      <c r="E7" s="27"/>
      <c r="F7" s="1583"/>
    </row>
    <row r="8" spans="1:7" ht="15.75">
      <c r="A8" s="3704" t="s">
        <v>480</v>
      </c>
      <c r="B8" s="3705"/>
      <c r="C8" s="3705"/>
      <c r="D8" s="3705"/>
      <c r="E8" s="3705"/>
      <c r="F8" s="3706"/>
      <c r="G8" s="32"/>
    </row>
    <row r="9" spans="1:7" ht="15.75">
      <c r="A9" s="3881" t="s">
        <v>481</v>
      </c>
      <c r="B9" s="3881"/>
      <c r="C9" s="3881"/>
      <c r="D9" s="3881"/>
      <c r="E9" s="3881"/>
      <c r="F9" s="3881"/>
      <c r="G9" s="32"/>
    </row>
    <row r="10" spans="1:7">
      <c r="E10" s="3882" t="s">
        <v>2526</v>
      </c>
      <c r="F10" s="3882"/>
      <c r="G10" s="32"/>
    </row>
    <row r="11" spans="1:7" ht="15.75">
      <c r="A11" s="222" t="str">
        <f>"CLIENT NAME:   "&amp;'WP Index'!E3</f>
        <v>CLIENT NAME:   Example Trust</v>
      </c>
      <c r="E11" s="44" t="s">
        <v>952</v>
      </c>
      <c r="F11" s="36">
        <f>'WP Index'!E5</f>
        <v>45108</v>
      </c>
      <c r="G11" s="32"/>
    </row>
    <row r="12" spans="1:7">
      <c r="A12" s="9" t="str">
        <f>"CLIENT CODE:   "&amp;'WP Index'!E4</f>
        <v>CLIENT CODE:   99999</v>
      </c>
      <c r="E12" s="47" t="s">
        <v>951</v>
      </c>
      <c r="F12" s="47">
        <f>'WP Index'!G5</f>
        <v>45473</v>
      </c>
    </row>
    <row r="13" spans="1:7">
      <c r="E13" s="129"/>
      <c r="F13" s="129"/>
    </row>
    <row r="14" spans="1:7">
      <c r="A14" s="106"/>
      <c r="B14" s="106"/>
      <c r="C14" s="106"/>
      <c r="D14" s="106"/>
      <c r="E14" s="129"/>
      <c r="F14" s="129"/>
    </row>
    <row r="15" spans="1:7">
      <c r="A15" s="22" t="s">
        <v>482</v>
      </c>
      <c r="B15" s="123"/>
      <c r="C15" s="45"/>
      <c r="D15" s="45"/>
      <c r="E15" s="45"/>
      <c r="F15" s="45"/>
    </row>
    <row r="16" spans="1:7">
      <c r="A16" s="45"/>
      <c r="B16" s="45"/>
      <c r="C16" s="45"/>
      <c r="E16" s="11" t="s">
        <v>461</v>
      </c>
      <c r="F16" s="11" t="s">
        <v>1128</v>
      </c>
      <c r="G16" s="6" t="s">
        <v>1286</v>
      </c>
    </row>
    <row r="17" spans="1:7">
      <c r="A17" s="45"/>
      <c r="B17" s="45"/>
      <c r="C17" s="45"/>
      <c r="E17" s="130"/>
      <c r="F17" s="130"/>
    </row>
    <row r="18" spans="1:7">
      <c r="A18" s="45" t="s">
        <v>483</v>
      </c>
      <c r="B18" s="45"/>
      <c r="C18" s="45"/>
      <c r="E18" s="2907"/>
      <c r="F18" s="2908"/>
    </row>
    <row r="19" spans="1:7">
      <c r="A19" s="45"/>
      <c r="B19" s="45"/>
      <c r="C19" s="45"/>
      <c r="E19" s="193"/>
      <c r="F19" s="410"/>
    </row>
    <row r="20" spans="1:7">
      <c r="A20" s="45" t="str">
        <f>"Income Tax Value at "&amp;TEXT(F11,"d mmmm yyyy")</f>
        <v>Income Tax Value at 1 July 2023</v>
      </c>
      <c r="B20" s="45"/>
      <c r="C20" s="45"/>
      <c r="E20" s="2907"/>
      <c r="F20" s="2909"/>
    </row>
    <row r="21" spans="1:7">
      <c r="A21" s="4" t="s">
        <v>484</v>
      </c>
      <c r="B21" s="45"/>
      <c r="C21" s="45"/>
      <c r="E21" s="2907"/>
      <c r="F21" s="2909"/>
    </row>
    <row r="22" spans="1:7">
      <c r="A22" s="1" t="s">
        <v>470</v>
      </c>
      <c r="B22" s="45"/>
      <c r="C22" s="45"/>
      <c r="E22" s="2907"/>
      <c r="F22" s="2910"/>
    </row>
    <row r="23" spans="1:7">
      <c r="A23" s="45"/>
      <c r="B23" s="45"/>
      <c r="C23" s="45"/>
      <c r="E23" s="194"/>
      <c r="F23" s="410"/>
    </row>
    <row r="24" spans="1:7" ht="13.5" thickBot="1">
      <c r="A24" s="3" t="s">
        <v>1129</v>
      </c>
      <c r="B24" s="45"/>
      <c r="C24" s="45"/>
      <c r="E24" s="195">
        <f>SUM(E19:E22)</f>
        <v>0</v>
      </c>
      <c r="F24" s="415">
        <f>SUM(F19:F22)</f>
        <v>0</v>
      </c>
    </row>
    <row r="25" spans="1:7" s="35" customFormat="1" ht="13.5" thickTop="1">
      <c r="A25" s="45"/>
      <c r="B25" s="45"/>
      <c r="C25" s="45"/>
      <c r="E25" s="193"/>
      <c r="F25" s="410"/>
      <c r="G25" s="1"/>
    </row>
    <row r="26" spans="1:7">
      <c r="A26" s="45" t="s">
        <v>485</v>
      </c>
      <c r="B26" s="45"/>
      <c r="C26" s="45"/>
      <c r="E26" s="194"/>
      <c r="F26" s="356" t="str">
        <f>IF(F24&gt;0,F24/E24,"")</f>
        <v/>
      </c>
    </row>
    <row r="27" spans="1:7">
      <c r="A27" s="3" t="s">
        <v>486</v>
      </c>
      <c r="B27" s="3"/>
      <c r="C27" s="3"/>
      <c r="E27" s="416">
        <f>E18</f>
        <v>0</v>
      </c>
      <c r="F27" s="357" t="str">
        <f>IF(F24&gt;0,E27*F26,"")</f>
        <v/>
      </c>
    </row>
    <row r="28" spans="1:7">
      <c r="A28" s="3" t="s">
        <v>487</v>
      </c>
      <c r="B28" s="3"/>
      <c r="C28" s="3"/>
      <c r="E28" s="132"/>
      <c r="F28" s="357" t="str">
        <f>IF(F24&gt;0,F18-F27,"")</f>
        <v/>
      </c>
    </row>
    <row r="29" spans="1:7">
      <c r="A29" s="45" t="s">
        <v>488</v>
      </c>
      <c r="B29" s="45"/>
      <c r="C29" s="45"/>
      <c r="E29" s="133"/>
      <c r="F29" s="162" t="str">
        <f>IF(F24&gt;0,F28/E18,"")</f>
        <v/>
      </c>
    </row>
    <row r="30" spans="1:7">
      <c r="A30" s="45"/>
      <c r="B30" s="45"/>
      <c r="C30" s="45"/>
      <c r="E30" s="134"/>
      <c r="F30" s="124"/>
    </row>
    <row r="31" spans="1:7">
      <c r="A31" s="45"/>
      <c r="B31" s="45"/>
      <c r="C31" s="45"/>
      <c r="D31" s="45"/>
      <c r="E31" s="45"/>
      <c r="F31" s="45"/>
    </row>
    <row r="32" spans="1:7">
      <c r="A32" s="78"/>
      <c r="B32" s="191">
        <f>$F$12</f>
        <v>45473</v>
      </c>
      <c r="C32" s="192" t="str">
        <f>"30-Jun-"&amp;TEXT((YEAR($F$12)+1),"##")</f>
        <v>30-Jun-2025</v>
      </c>
      <c r="D32" s="192" t="str">
        <f>"30-Jun-"&amp;TEXT((YEAR($F$12)+2),"##")</f>
        <v>30-Jun-2026</v>
      </c>
      <c r="E32" s="192" t="str">
        <f>"30-Jun-"&amp;TEXT((YEAR($F$12)+3),"##")</f>
        <v>30-Jun-2027</v>
      </c>
      <c r="F32" s="192" t="str">
        <f>"30-Jun-"&amp;TEXT((YEAR($F$12)+4),"##")</f>
        <v>30-Jun-2028</v>
      </c>
    </row>
    <row r="33" spans="1:7">
      <c r="A33" s="3"/>
      <c r="B33" s="45"/>
      <c r="C33" s="45"/>
      <c r="D33" s="45"/>
      <c r="E33" s="45"/>
      <c r="F33" s="45"/>
    </row>
    <row r="34" spans="1:7">
      <c r="A34" s="126" t="s">
        <v>962</v>
      </c>
      <c r="B34" s="417">
        <f>IF(F28="",0,+F28)</f>
        <v>0</v>
      </c>
      <c r="C34" s="417">
        <f>B38</f>
        <v>0</v>
      </c>
      <c r="D34" s="417">
        <f>C38</f>
        <v>0</v>
      </c>
      <c r="E34" s="417">
        <f>D38</f>
        <v>0</v>
      </c>
      <c r="F34" s="417">
        <f>E38</f>
        <v>0</v>
      </c>
    </row>
    <row r="35" spans="1:7">
      <c r="A35" s="126"/>
      <c r="B35" s="406"/>
      <c r="C35" s="406"/>
      <c r="D35" s="406"/>
      <c r="E35" s="406"/>
      <c r="F35" s="406"/>
    </row>
    <row r="36" spans="1:7" ht="24" customHeight="1">
      <c r="A36" s="136" t="s">
        <v>979</v>
      </c>
      <c r="B36" s="418">
        <f>IF($F$28="",0,$F$28/5)</f>
        <v>0</v>
      </c>
      <c r="C36" s="418">
        <f>IF($F$28="",0,$F$28/5)</f>
        <v>0</v>
      </c>
      <c r="D36" s="418">
        <f>IF($F$28="",0,$F$28/5)</f>
        <v>0</v>
      </c>
      <c r="E36" s="418">
        <f>IF($F$28="",0,$F$28/5)</f>
        <v>0</v>
      </c>
      <c r="F36" s="418">
        <f>IF($F$28="",0,$F$28/5)</f>
        <v>0</v>
      </c>
    </row>
    <row r="37" spans="1:7" s="35" customFormat="1">
      <c r="A37" s="3"/>
      <c r="B37" s="418"/>
      <c r="C37" s="418"/>
      <c r="D37" s="418"/>
      <c r="E37" s="418"/>
      <c r="F37" s="418"/>
      <c r="G37" s="1"/>
    </row>
    <row r="38" spans="1:7" ht="13.5" thickBot="1">
      <c r="A38" s="12" t="s">
        <v>232</v>
      </c>
      <c r="B38" s="399">
        <f>IF(B34="",0,B34-B36)</f>
        <v>0</v>
      </c>
      <c r="C38" s="399">
        <f>IF(C34="",0,C34-C36)</f>
        <v>0</v>
      </c>
      <c r="D38" s="399">
        <f>IF(D34="",0,D34-D36)</f>
        <v>0</v>
      </c>
      <c r="E38" s="399">
        <f>IF(E34="",0,E34-E36)</f>
        <v>0</v>
      </c>
      <c r="F38" s="399">
        <f>IF(F34="",0,F34-F36)</f>
        <v>0</v>
      </c>
    </row>
    <row r="39" spans="1:7" ht="13.5" thickTop="1"/>
    <row r="40" spans="1:7">
      <c r="A40" s="35" t="s">
        <v>172</v>
      </c>
    </row>
    <row r="41" spans="1:7" ht="63" customHeight="1">
      <c r="A41" s="3774"/>
      <c r="B41" s="3775"/>
      <c r="C41" s="3775"/>
      <c r="D41" s="3775"/>
      <c r="E41" s="3775"/>
      <c r="F41" s="3776"/>
    </row>
  </sheetData>
  <customSheetViews>
    <customSheetView guid="{BCBE45D4-3C45-4659-992E-5C5D3E9FD81C}" fitToPage="1" hiddenColumns="1">
      <selection activeCell="L39" sqref="L39"/>
      <pageMargins left="0.59055118110236227" right="0.43307086614173229" top="0.6692913385826772" bottom="0.94488188976377963" header="0.51181102362204722" footer="0.39370078740157483"/>
      <printOptions horizontalCentered="1"/>
      <pageSetup paperSize="9" scale="96"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C30" sqref="C30"/>
      <pageMargins left="0.59055118110236227" right="0.43307086614173229" top="0.6692913385826772" bottom="0.94488188976377963" header="0.51181102362204722" footer="0.39370078740157483"/>
      <printOptions horizontalCentered="1"/>
      <pageSetup paperSize="9" scale="96" fitToHeight="999" orientation="portrait" blackAndWhite="1" r:id="rId2"/>
      <headerFooter alignWithMargins="0">
        <oddFooter>&amp;L&amp;8Copyright Crowe Horwath (Aust) Pty Ltd 2016.  All rights reserved.
&amp;Z&amp;F[&amp;A]&amp;R&amp;8&amp;P/&amp;N</oddFooter>
      </headerFooter>
    </customSheetView>
  </customSheetViews>
  <mergeCells count="4">
    <mergeCell ref="A8:F8"/>
    <mergeCell ref="A9:F9"/>
    <mergeCell ref="E10:F10"/>
    <mergeCell ref="A41:F41"/>
  </mergeCells>
  <phoneticPr fontId="26" type="noConversion"/>
  <dataValidations count="1">
    <dataValidation allowBlank="1" showErrorMessage="1" errorTitle="Profit Absorption" error="Profit from forced disposal of livestock must be declared within the five succeeding years._x000a_" sqref="B38:F38" xr:uid="{00000000-0002-0000-0E00-000000000000}"/>
  </dataValidations>
  <hyperlinks>
    <hyperlink ref="E10" location="'WP Index'!E94" display="Back to Workpaper Index" xr:uid="{00000000-0004-0000-0E00-000000000000}"/>
    <hyperlink ref="E10:F10" location="WPIndex!A1" display="Back to WP Index" xr:uid="{00000000-0004-0000-0E00-000001000000}"/>
  </hyperlinks>
  <printOptions horizontalCentered="1"/>
  <pageMargins left="0.59055118110236227" right="0.43307086614173229" top="0.6692913385826772" bottom="0.94488188976377963" header="0.51181102362204722" footer="0.39370078740157483"/>
  <pageSetup paperSize="9" scale="96" fitToHeight="999" orientation="portrait" blackAndWhite="1" r:id="rId3"/>
  <headerFooter alignWithMargins="0">
    <oddFooter>&amp;L&amp;8© Findex (Aust) Pty Ltd.  All rights reserved.&amp;R&amp;8&amp;P/&amp;N</oddFooter>
  </headerFooter>
  <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Drought_WO_s110_Sheet">
    <tabColor theme="8" tint="0.79998168889431442"/>
    <pageSetUpPr fitToPage="1"/>
  </sheetPr>
  <dimension ref="A1:H49"/>
  <sheetViews>
    <sheetView zoomScaleNormal="100" workbookViewId="0">
      <selection sqref="A1:F1"/>
    </sheetView>
  </sheetViews>
  <sheetFormatPr defaultColWidth="9.140625" defaultRowHeight="12.75"/>
  <cols>
    <col min="1" max="1" width="36.5703125" style="32" customWidth="1"/>
    <col min="2" max="7" width="12.140625" style="32" customWidth="1"/>
    <col min="8" max="8" width="8.28515625" style="1" hidden="1" customWidth="1"/>
    <col min="9" max="16384" width="9.140625" style="32"/>
  </cols>
  <sheetData>
    <row r="1" spans="1:8">
      <c r="F1" s="2613" t="s">
        <v>2425</v>
      </c>
      <c r="G1" s="3576" t="s">
        <v>2758</v>
      </c>
    </row>
    <row r="2" spans="1:8" ht="15.75">
      <c r="A2" s="206"/>
      <c r="B2" s="43"/>
      <c r="F2" s="71" t="s">
        <v>2426</v>
      </c>
      <c r="G2" s="2622"/>
    </row>
    <row r="3" spans="1:8" ht="15.75">
      <c r="A3" s="2611"/>
      <c r="B3" s="43"/>
      <c r="F3" s="1613"/>
      <c r="G3" s="2261"/>
    </row>
    <row r="4" spans="1:8" ht="15.75">
      <c r="A4" s="206"/>
      <c r="B4" s="43"/>
      <c r="E4" s="11"/>
      <c r="F4" s="2731" t="s">
        <v>1163</v>
      </c>
      <c r="G4" s="2731" t="s">
        <v>1262</v>
      </c>
    </row>
    <row r="5" spans="1:8" ht="15.75">
      <c r="A5" s="206"/>
      <c r="B5" s="43"/>
      <c r="E5" s="71" t="s">
        <v>332</v>
      </c>
      <c r="F5" s="2617" t="str">
        <f>IF(PreparedBy="","",PreparedBy)</f>
        <v/>
      </c>
      <c r="G5" s="2630" t="str">
        <f>IF(DatePrepared="","",DatePrepared)</f>
        <v/>
      </c>
    </row>
    <row r="6" spans="1:8" ht="15.75">
      <c r="A6" s="206"/>
      <c r="B6" s="43"/>
      <c r="E6" s="71" t="s">
        <v>333</v>
      </c>
      <c r="F6" s="2632"/>
      <c r="G6" s="2631"/>
    </row>
    <row r="7" spans="1:8" s="1147" customFormat="1" ht="3.75" customHeight="1">
      <c r="A7" s="206"/>
      <c r="B7" s="43"/>
      <c r="E7" s="71"/>
      <c r="F7" s="27"/>
      <c r="G7" s="330"/>
      <c r="H7" s="8"/>
    </row>
    <row r="8" spans="1:8" ht="15.75">
      <c r="A8" s="3704" t="s">
        <v>1297</v>
      </c>
      <c r="B8" s="3705"/>
      <c r="C8" s="3705"/>
      <c r="D8" s="3705"/>
      <c r="E8" s="3705"/>
      <c r="F8" s="3705"/>
      <c r="G8" s="3706"/>
      <c r="H8" s="32"/>
    </row>
    <row r="9" spans="1:8" ht="15.75">
      <c r="A9" s="3881" t="s">
        <v>1298</v>
      </c>
      <c r="B9" s="3881"/>
      <c r="C9" s="3881"/>
      <c r="D9" s="3881"/>
      <c r="E9" s="3881"/>
      <c r="F9" s="3881"/>
      <c r="G9" s="3881"/>
      <c r="H9" s="32"/>
    </row>
    <row r="10" spans="1:8">
      <c r="F10" s="3882" t="s">
        <v>2526</v>
      </c>
      <c r="G10" s="3882"/>
      <c r="H10" s="32"/>
    </row>
    <row r="11" spans="1:8" ht="15.75">
      <c r="A11" s="222" t="str">
        <f>"CLIENT NAME:   "&amp;'WP Index'!E3</f>
        <v>CLIENT NAME:   Example Trust</v>
      </c>
      <c r="F11" s="44" t="s">
        <v>952</v>
      </c>
      <c r="G11" s="36">
        <f>'WP Index'!E5</f>
        <v>45108</v>
      </c>
      <c r="H11" s="32"/>
    </row>
    <row r="12" spans="1:8">
      <c r="A12" s="9" t="str">
        <f>"CLIENT CODE:   "&amp;'WP Index'!E4</f>
        <v>CLIENT CODE:   99999</v>
      </c>
      <c r="F12" s="47" t="s">
        <v>951</v>
      </c>
      <c r="G12" s="47">
        <f>'WP Index'!G5</f>
        <v>45473</v>
      </c>
    </row>
    <row r="13" spans="1:8">
      <c r="F13" s="129"/>
      <c r="G13" s="129"/>
    </row>
    <row r="14" spans="1:8">
      <c r="A14" s="106"/>
      <c r="B14" s="106"/>
      <c r="C14" s="106"/>
      <c r="D14" s="106"/>
      <c r="E14" s="106"/>
      <c r="F14" s="129"/>
      <c r="G14" s="129"/>
    </row>
    <row r="15" spans="1:8">
      <c r="A15" s="22" t="s">
        <v>482</v>
      </c>
      <c r="B15" s="123"/>
      <c r="C15" s="45"/>
      <c r="D15" s="45"/>
      <c r="E15" s="45"/>
      <c r="F15" s="11" t="s">
        <v>461</v>
      </c>
      <c r="G15" s="11" t="s">
        <v>1128</v>
      </c>
      <c r="H15" s="6" t="s">
        <v>1286</v>
      </c>
    </row>
    <row r="16" spans="1:8">
      <c r="A16" s="45"/>
      <c r="B16" s="45"/>
      <c r="C16" s="45"/>
      <c r="D16" s="45"/>
    </row>
    <row r="17" spans="1:8">
      <c r="A17" s="45" t="s">
        <v>483</v>
      </c>
      <c r="B17" s="45"/>
      <c r="C17" s="45"/>
      <c r="D17" s="45"/>
      <c r="F17" s="2907"/>
      <c r="G17" s="2733"/>
    </row>
    <row r="18" spans="1:8">
      <c r="A18" s="45"/>
      <c r="B18" s="45"/>
      <c r="C18" s="45"/>
      <c r="D18" s="45"/>
      <c r="F18" s="193"/>
      <c r="G18" s="419"/>
    </row>
    <row r="19" spans="1:8">
      <c r="A19" s="45" t="str">
        <f>"Income Tax Value at "&amp;TEXT(G11,"d mmmm yyyy")</f>
        <v>Income Tax Value at 1 July 2023</v>
      </c>
      <c r="B19" s="45"/>
      <c r="C19" s="45"/>
      <c r="D19" s="45"/>
      <c r="F19" s="2912"/>
      <c r="G19" s="2911"/>
    </row>
    <row r="20" spans="1:8">
      <c r="A20" s="4" t="s">
        <v>484</v>
      </c>
      <c r="B20" s="45"/>
      <c r="C20" s="45"/>
      <c r="D20" s="45"/>
      <c r="F20" s="2913"/>
      <c r="G20" s="2914"/>
    </row>
    <row r="21" spans="1:8">
      <c r="A21" s="1" t="s">
        <v>470</v>
      </c>
      <c r="B21" s="45"/>
      <c r="C21" s="45"/>
      <c r="D21" s="45"/>
      <c r="F21" s="2916"/>
      <c r="G21" s="2915"/>
    </row>
    <row r="22" spans="1:8">
      <c r="A22" s="45"/>
      <c r="B22" s="45"/>
      <c r="C22" s="45"/>
      <c r="D22" s="45"/>
      <c r="F22" s="197"/>
      <c r="G22" s="419"/>
    </row>
    <row r="23" spans="1:8" ht="13.5" thickBot="1">
      <c r="A23" s="3" t="s">
        <v>1129</v>
      </c>
      <c r="B23" s="45"/>
      <c r="C23" s="45"/>
      <c r="D23" s="45"/>
      <c r="F23" s="195">
        <f>SUM(F18:F21)</f>
        <v>0</v>
      </c>
      <c r="G23" s="415">
        <f>SUM(G18:G21)</f>
        <v>0</v>
      </c>
    </row>
    <row r="24" spans="1:8" s="35" customFormat="1" ht="13.5" thickTop="1">
      <c r="A24" s="45"/>
      <c r="B24" s="45"/>
      <c r="C24" s="45"/>
      <c r="D24" s="45"/>
      <c r="F24" s="193"/>
      <c r="G24" s="419"/>
      <c r="H24" s="1"/>
    </row>
    <row r="25" spans="1:8">
      <c r="A25" s="45" t="s">
        <v>485</v>
      </c>
      <c r="B25" s="45"/>
      <c r="C25" s="45"/>
      <c r="D25" s="45"/>
      <c r="F25" s="197"/>
      <c r="G25" s="356" t="str">
        <f>IF(G23&gt;0,G23/F23,"")</f>
        <v/>
      </c>
    </row>
    <row r="26" spans="1:8">
      <c r="A26" s="3" t="s">
        <v>486</v>
      </c>
      <c r="B26" s="3"/>
      <c r="C26" s="3"/>
      <c r="D26" s="3"/>
      <c r="F26" s="196">
        <f>F17</f>
        <v>0</v>
      </c>
      <c r="G26" s="357" t="str">
        <f>IF(G23&gt;0,F26*G25,"")</f>
        <v/>
      </c>
    </row>
    <row r="27" spans="1:8">
      <c r="A27" s="3" t="s">
        <v>487</v>
      </c>
      <c r="B27" s="3"/>
      <c r="C27" s="3"/>
      <c r="D27" s="3"/>
      <c r="F27" s="132"/>
      <c r="G27" s="178" t="str">
        <f>IF(G23&gt;0,G17-G26,"")</f>
        <v/>
      </c>
    </row>
    <row r="28" spans="1:8">
      <c r="A28" s="45" t="s">
        <v>488</v>
      </c>
      <c r="B28" s="45"/>
      <c r="C28" s="45"/>
      <c r="D28" s="45"/>
      <c r="F28" s="135"/>
      <c r="G28" s="162" t="str">
        <f>IF(G23&gt;0,G27/F17,"")</f>
        <v/>
      </c>
    </row>
    <row r="29" spans="1:8">
      <c r="A29" s="45"/>
      <c r="B29" s="45"/>
      <c r="C29" s="45"/>
      <c r="D29" s="45"/>
      <c r="F29" s="134"/>
      <c r="G29" s="124"/>
    </row>
    <row r="30" spans="1:8">
      <c r="A30" s="45" t="s">
        <v>1299</v>
      </c>
      <c r="B30" s="45"/>
      <c r="C30" s="45"/>
      <c r="D30" s="45"/>
      <c r="E30" s="45"/>
      <c r="F30" s="45"/>
      <c r="G30" s="2917"/>
    </row>
    <row r="31" spans="1:8">
      <c r="A31" s="45"/>
      <c r="B31" s="45"/>
      <c r="C31" s="125"/>
      <c r="D31" s="125"/>
      <c r="E31" s="125"/>
      <c r="F31" s="125"/>
      <c r="G31" s="45"/>
    </row>
    <row r="32" spans="1:8">
      <c r="A32" s="45"/>
      <c r="B32" s="45"/>
      <c r="C32" s="45"/>
      <c r="D32" s="45"/>
      <c r="E32" s="45"/>
      <c r="F32" s="45"/>
      <c r="G32" s="45"/>
    </row>
    <row r="33" spans="1:8">
      <c r="A33" s="78"/>
      <c r="B33" s="128" t="str">
        <f>"30-Jun-"&amp;TEXT((YEAR($G$12)-5),"##")</f>
        <v>30-Jun-2019</v>
      </c>
      <c r="C33" s="128" t="str">
        <f>"30-Jun-"&amp;TEXT((YEAR($G$12)-4),"##")</f>
        <v>30-Jun-2020</v>
      </c>
      <c r="D33" s="128" t="str">
        <f>"30-Jun-"&amp;TEXT((YEAR($G$12)-3),"##")</f>
        <v>30-Jun-2021</v>
      </c>
      <c r="E33" s="128" t="str">
        <f>"30-Jun-"&amp;TEXT((YEAR($G$12)-2),"##")</f>
        <v>30-Jun-2022</v>
      </c>
      <c r="F33" s="128" t="str">
        <f>"30-Jun-"&amp;TEXT((YEAR($G$12)-1),"##")</f>
        <v>30-Jun-2023</v>
      </c>
      <c r="G33" s="127">
        <f>$G$12</f>
        <v>45473</v>
      </c>
    </row>
    <row r="34" spans="1:8">
      <c r="A34" s="3"/>
      <c r="B34" s="45"/>
      <c r="C34" s="45"/>
      <c r="D34" s="45"/>
      <c r="E34" s="45"/>
      <c r="F34" s="45"/>
      <c r="G34" s="45"/>
    </row>
    <row r="35" spans="1:8" ht="25.5" customHeight="1">
      <c r="A35" s="136" t="str">
        <f>"Balance Unabsorbed at "&amp;TEXT(G12,"d mmmm ")&amp;TEXT((YEAR($G$12)-1),"##")</f>
        <v>Balance Unabsorbed at 30 June 2023</v>
      </c>
      <c r="B35" s="2909"/>
      <c r="C35" s="2909"/>
      <c r="D35" s="2909"/>
      <c r="E35" s="2909"/>
      <c r="F35" s="2909"/>
      <c r="G35" s="2909"/>
    </row>
    <row r="36" spans="1:8">
      <c r="A36" s="136"/>
      <c r="B36" s="420"/>
      <c r="C36" s="420"/>
      <c r="D36" s="420"/>
      <c r="E36" s="420"/>
      <c r="F36" s="420"/>
      <c r="G36" s="420"/>
    </row>
    <row r="37" spans="1:8" ht="26.25" customHeight="1">
      <c r="A37" s="136" t="str">
        <f>"Amount to be included as assessable income in "&amp;TEXT(YEAR(G12),"#")</f>
        <v>Amount to be included as assessable income in 2024</v>
      </c>
      <c r="B37" s="2909"/>
      <c r="C37" s="2909"/>
      <c r="D37" s="2909"/>
      <c r="E37" s="2909"/>
      <c r="F37" s="2909"/>
      <c r="G37" s="2909"/>
    </row>
    <row r="38" spans="1:8" s="35" customFormat="1">
      <c r="A38" s="137"/>
      <c r="B38" s="421"/>
      <c r="C38" s="421"/>
      <c r="D38" s="421"/>
      <c r="E38" s="421"/>
      <c r="F38" s="421"/>
      <c r="G38" s="421"/>
      <c r="H38" s="1"/>
    </row>
    <row r="39" spans="1:8" ht="26.25" customHeight="1">
      <c r="A39" s="136" t="str">
        <f>"Amount applied in reduction of cost of livestock purchased at $"&amp;G30&amp;" per head"</f>
        <v>Amount applied in reduction of cost of livestock purchased at $ per head</v>
      </c>
      <c r="B39" s="2909"/>
      <c r="C39" s="2909"/>
      <c r="D39" s="2909"/>
      <c r="E39" s="2909"/>
      <c r="F39" s="2909"/>
      <c r="G39" s="2909"/>
    </row>
    <row r="40" spans="1:8" s="35" customFormat="1">
      <c r="A40" s="137"/>
      <c r="B40" s="421"/>
      <c r="C40" s="421"/>
      <c r="D40" s="421"/>
      <c r="E40" s="421"/>
      <c r="F40" s="421"/>
      <c r="G40" s="421"/>
      <c r="H40" s="1"/>
    </row>
    <row r="41" spans="1:8" ht="25.5" customHeight="1" thickBot="1">
      <c r="A41" s="138" t="str">
        <f>"Unabsorbed at "&amp;TEXT(G12,"d mmmm yyyy")</f>
        <v>Unabsorbed at 30 June 2024</v>
      </c>
      <c r="B41" s="422">
        <f>B35-B37-B39</f>
        <v>0</v>
      </c>
      <c r="C41" s="422">
        <f>C35-C37-C39</f>
        <v>0</v>
      </c>
      <c r="D41" s="422">
        <f>D35-D37-D39</f>
        <v>0</v>
      </c>
      <c r="E41" s="422">
        <f>E35-E37-E39</f>
        <v>0</v>
      </c>
      <c r="F41" s="422">
        <f>F35-F37-F39</f>
        <v>0</v>
      </c>
      <c r="G41" s="423">
        <f>IF(G23&gt;0,G27,0)</f>
        <v>0</v>
      </c>
    </row>
    <row r="42" spans="1:8" ht="13.5" thickTop="1">
      <c r="B42" s="424"/>
      <c r="C42" s="424"/>
      <c r="D42" s="424"/>
      <c r="E42" s="424"/>
      <c r="F42" s="424"/>
      <c r="G42" s="424"/>
    </row>
    <row r="43" spans="1:8">
      <c r="B43" s="424"/>
      <c r="C43" s="424"/>
      <c r="D43" s="424"/>
      <c r="E43" s="424"/>
      <c r="F43" s="424"/>
      <c r="G43" s="424"/>
    </row>
    <row r="44" spans="1:8">
      <c r="A44" s="136" t="str">
        <f>"Total Unabsorbed Profit at "&amp;TEXT($G$12,"d mmmm yyyy")</f>
        <v>Total Unabsorbed Profit at 30 June 2024</v>
      </c>
      <c r="B44" s="424"/>
      <c r="C44" s="424"/>
      <c r="D44" s="424"/>
      <c r="E44" s="424"/>
      <c r="F44" s="424"/>
      <c r="G44" s="425">
        <f>SUM(B41:G41)</f>
        <v>0</v>
      </c>
    </row>
    <row r="45" spans="1:8">
      <c r="B45" s="424"/>
      <c r="C45" s="424"/>
      <c r="D45" s="424"/>
      <c r="E45" s="424"/>
      <c r="F45" s="424"/>
      <c r="G45" s="424"/>
    </row>
    <row r="46" spans="1:8">
      <c r="A46" s="35" t="s">
        <v>1300</v>
      </c>
      <c r="B46" s="424"/>
      <c r="C46" s="424"/>
      <c r="D46" s="424"/>
      <c r="E46" s="424"/>
      <c r="F46" s="424"/>
      <c r="G46" s="361">
        <f>SUM(B37:G37)+SUM(B39:G39)</f>
        <v>0</v>
      </c>
    </row>
    <row r="47" spans="1:8">
      <c r="B47" s="424"/>
      <c r="C47" s="424"/>
      <c r="D47" s="424"/>
      <c r="E47" s="424"/>
      <c r="F47" s="424"/>
      <c r="G47" s="424"/>
    </row>
    <row r="48" spans="1:8">
      <c r="A48" s="35" t="s">
        <v>172</v>
      </c>
    </row>
    <row r="49" spans="1:7" ht="53.25" customHeight="1">
      <c r="A49" s="3742"/>
      <c r="B49" s="3743"/>
      <c r="C49" s="3743"/>
      <c r="D49" s="3743"/>
      <c r="E49" s="3743"/>
      <c r="F49" s="3743"/>
      <c r="G49" s="3744"/>
    </row>
  </sheetData>
  <customSheetViews>
    <customSheetView guid="{BCBE45D4-3C45-4659-992E-5C5D3E9FD81C}" fitToPage="1" hiddenColumns="1" topLeftCell="A19">
      <selection activeCell="S70" sqref="S70"/>
      <pageMargins left="0.59055118110236227" right="0.43307086614173229" top="0.6692913385826772" bottom="0.94488188976377963" header="0.51181102362204722" footer="0.39370078740157483"/>
      <printOptions horizontalCentered="1"/>
      <pageSetup paperSize="9" scale="86"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L45" sqref="L45"/>
      <pageMargins left="0.59055118110236227" right="0.43307086614173229" top="0.6692913385826772" bottom="0.94488188976377963" header="0.51181102362204722" footer="0.39370078740157483"/>
      <printOptions horizontalCentered="1"/>
      <pageSetup paperSize="9" scale="86" fitToHeight="999" orientation="portrait" blackAndWhite="1" r:id="rId2"/>
      <headerFooter alignWithMargins="0">
        <oddFooter>&amp;L&amp;8Copyright Crowe Horwath (Aust) Pty Ltd 2016.  All rights reserved.
&amp;Z&amp;F[&amp;A]&amp;R&amp;8&amp;P/&amp;N</oddFooter>
      </headerFooter>
    </customSheetView>
  </customSheetViews>
  <mergeCells count="4">
    <mergeCell ref="A8:G8"/>
    <mergeCell ref="A9:G9"/>
    <mergeCell ref="F10:G10"/>
    <mergeCell ref="A49:G49"/>
  </mergeCells>
  <phoneticPr fontId="26" type="noConversion"/>
  <dataValidations count="1">
    <dataValidation allowBlank="1" showErrorMessage="1" errorTitle="Profit Absorption" error="Profit from forced disposal of livestock must be declared within the five succeeding years._x000a_" sqref="B41:G41" xr:uid="{00000000-0002-0000-0F00-000000000000}"/>
  </dataValidations>
  <hyperlinks>
    <hyperlink ref="F10" location="'WP Index'!E94" display="Back to Workpaper Index" xr:uid="{2743ED06-43FE-49FA-B3E1-967595632FDE}"/>
    <hyperlink ref="F10:G10" location="WPIndex!A1" display="Back to WP Index" xr:uid="{3896E3C2-2816-4D7E-9284-147354A241EA}"/>
  </hyperlinks>
  <printOptions horizontalCentered="1"/>
  <pageMargins left="0.59055118110236227" right="0.43307086614173229" top="0.6692913385826772" bottom="0.94488188976377963" header="0.51181102362204722" footer="0.39370078740157483"/>
  <pageSetup paperSize="9" scale="85" fitToHeight="999" orientation="portrait" blackAndWhite="1" r:id="rId3"/>
  <headerFooter alignWithMargins="0">
    <oddFooter>&amp;L&amp;8© Findex (Aust) Pty Ltd.  All rights reserved.&amp;R&amp;8&amp;P/&amp;N</oddFooter>
  </headerFooter>
  <drawing r:id="rId4"/>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8" tint="0.79998168889431442"/>
  </sheetPr>
  <dimension ref="A1:AK162"/>
  <sheetViews>
    <sheetView zoomScaleNormal="100" workbookViewId="0">
      <selection sqref="A1:F1"/>
    </sheetView>
  </sheetViews>
  <sheetFormatPr defaultRowHeight="12.75"/>
  <cols>
    <col min="1" max="1" width="23.5703125" customWidth="1"/>
    <col min="2" max="2" width="33.85546875" customWidth="1"/>
    <col min="3" max="3" width="16.140625" customWidth="1"/>
    <col min="5" max="5" width="19.140625" customWidth="1"/>
    <col min="6" max="6" width="7.85546875" customWidth="1"/>
    <col min="7" max="7" width="12.85546875" bestFit="1" customWidth="1"/>
    <col min="8" max="8" width="12.5703125" customWidth="1"/>
    <col min="10" max="10" width="8.85546875" style="1603"/>
    <col min="11" max="11" width="0" style="1603" hidden="1" customWidth="1"/>
    <col min="12" max="37" width="8.85546875" style="1603"/>
  </cols>
  <sheetData>
    <row r="1" spans="1:11">
      <c r="A1" s="1603"/>
      <c r="B1" s="1603"/>
      <c r="C1" s="1603"/>
      <c r="D1" s="1603"/>
      <c r="E1" s="1603"/>
      <c r="F1" s="1603"/>
      <c r="G1" s="3103" t="s">
        <v>2425</v>
      </c>
      <c r="H1" s="3576" t="s">
        <v>2758</v>
      </c>
      <c r="I1" s="1603"/>
    </row>
    <row r="2" spans="1:11" ht="15.75">
      <c r="A2" s="2708"/>
      <c r="B2" s="2709"/>
      <c r="C2" s="2709"/>
      <c r="D2" s="2709"/>
      <c r="E2" s="2709"/>
      <c r="F2" s="2709"/>
      <c r="G2" s="1614"/>
      <c r="H2" s="1614"/>
      <c r="I2" s="1614"/>
    </row>
    <row r="3" spans="1:11">
      <c r="A3" s="2708"/>
      <c r="B3" s="2710"/>
      <c r="C3" s="2710"/>
      <c r="D3" s="2710"/>
      <c r="E3" s="2710"/>
      <c r="F3" s="2711"/>
      <c r="G3" s="2712" t="s">
        <v>1163</v>
      </c>
      <c r="H3" s="2712" t="s">
        <v>1262</v>
      </c>
      <c r="I3" s="1618"/>
    </row>
    <row r="4" spans="1:11" ht="16.5" customHeight="1">
      <c r="A4" s="2708"/>
      <c r="B4" s="2710"/>
      <c r="C4" s="2710"/>
      <c r="D4" s="2710"/>
      <c r="E4" s="2710"/>
      <c r="F4" s="2712" t="s">
        <v>332</v>
      </c>
      <c r="G4" s="2624" t="str">
        <f>IF(PreparedBy="","",PreparedBy)</f>
        <v/>
      </c>
      <c r="H4" s="2623" t="str">
        <f>IF(DatePrepared="","",DatePrepared)</f>
        <v/>
      </c>
      <c r="I4" s="1618"/>
    </row>
    <row r="5" spans="1:11" ht="16.5" customHeight="1">
      <c r="A5" s="2708"/>
      <c r="B5" s="2710"/>
      <c r="C5" s="2710"/>
      <c r="D5" s="2710"/>
      <c r="E5" s="2710"/>
      <c r="F5" s="2712" t="s">
        <v>333</v>
      </c>
      <c r="G5" s="2625"/>
      <c r="H5" s="2626"/>
      <c r="I5" s="1618"/>
    </row>
    <row r="6" spans="1:11" ht="15.75">
      <c r="A6" s="2708"/>
      <c r="B6" s="2709"/>
      <c r="C6" s="2709"/>
      <c r="D6" s="2709"/>
      <c r="E6" s="2709"/>
      <c r="F6" s="2709"/>
      <c r="G6" s="2709"/>
      <c r="H6" s="2709"/>
      <c r="I6" s="1618"/>
    </row>
    <row r="7" spans="1:11" ht="15.75">
      <c r="A7" s="3697" t="s">
        <v>1832</v>
      </c>
      <c r="B7" s="3698"/>
      <c r="C7" s="3698"/>
      <c r="D7" s="3698"/>
      <c r="E7" s="3698"/>
      <c r="F7" s="3698"/>
      <c r="G7" s="3698"/>
      <c r="H7" s="3699"/>
      <c r="I7" s="1614"/>
    </row>
    <row r="8" spans="1:11">
      <c r="A8" s="2710"/>
      <c r="B8" s="1619"/>
      <c r="C8" s="1619"/>
      <c r="D8" s="1619"/>
      <c r="E8" s="1619"/>
      <c r="F8" s="1620"/>
      <c r="G8" s="1619"/>
      <c r="H8" s="3248" t="s">
        <v>2526</v>
      </c>
      <c r="I8" s="1614"/>
    </row>
    <row r="9" spans="1:11" ht="15.75">
      <c r="A9" s="222" t="str">
        <f>"CLIENT NAME:   "&amp;'WP Index'!E3</f>
        <v>CLIENT NAME:   Example Trust</v>
      </c>
      <c r="B9" s="1619"/>
      <c r="C9" s="1619"/>
      <c r="D9" s="1619"/>
      <c r="E9" s="1619"/>
      <c r="F9" s="1620"/>
      <c r="G9" s="1619"/>
      <c r="H9" s="1619"/>
      <c r="I9" s="1614"/>
    </row>
    <row r="10" spans="1:11">
      <c r="A10" s="9" t="str">
        <f>"CLIENT CODE:   "&amp;'WP Index'!E4</f>
        <v>CLIENT CODE:   99999</v>
      </c>
      <c r="B10" s="1619"/>
      <c r="C10" s="1619"/>
      <c r="D10" s="1619"/>
      <c r="E10" s="1619"/>
      <c r="F10" s="1620"/>
      <c r="G10" s="2712" t="s">
        <v>951</v>
      </c>
      <c r="H10" s="47">
        <f>'WP Index'!G5</f>
        <v>45473</v>
      </c>
      <c r="I10" s="1614"/>
    </row>
    <row r="11" spans="1:11">
      <c r="A11" s="2710"/>
      <c r="B11" s="1619"/>
      <c r="C11" s="1619"/>
      <c r="D11" s="1619"/>
      <c r="E11" s="1619"/>
      <c r="F11" s="1620"/>
      <c r="G11" s="1619"/>
      <c r="H11" s="1619"/>
      <c r="I11" s="1614"/>
    </row>
    <row r="12" spans="1:11" ht="15">
      <c r="A12" s="1623" t="s">
        <v>1833</v>
      </c>
      <c r="B12" s="1624"/>
      <c r="C12" s="1624"/>
      <c r="D12" s="1624"/>
      <c r="E12" s="1619"/>
      <c r="F12" s="1625"/>
      <c r="G12" s="1625"/>
      <c r="H12" s="1619"/>
      <c r="I12" s="1626"/>
    </row>
    <row r="13" spans="1:11" ht="15">
      <c r="A13" s="1623"/>
      <c r="B13" s="1624"/>
      <c r="C13" s="1624"/>
      <c r="D13" s="1624"/>
      <c r="E13" s="1624"/>
      <c r="F13" s="1625"/>
      <c r="G13" s="1625"/>
      <c r="H13" s="1619"/>
      <c r="I13" s="1614"/>
      <c r="K13" s="1614" t="s">
        <v>2037</v>
      </c>
    </row>
    <row r="14" spans="1:11" ht="15">
      <c r="A14" s="1623" t="s">
        <v>2448</v>
      </c>
      <c r="B14" s="1624"/>
      <c r="C14" s="1624"/>
      <c r="D14" s="1624"/>
      <c r="E14" s="2627" t="s">
        <v>2037</v>
      </c>
      <c r="F14" s="1625"/>
      <c r="G14" s="1625"/>
      <c r="H14" s="1619"/>
      <c r="I14" s="1614"/>
      <c r="K14" s="1614" t="s">
        <v>2304</v>
      </c>
    </row>
    <row r="15" spans="1:11" ht="15">
      <c r="A15" s="1624"/>
      <c r="B15" s="1619"/>
      <c r="C15" s="1619"/>
      <c r="D15" s="1619"/>
      <c r="E15" s="1614"/>
      <c r="F15" s="1625"/>
      <c r="G15" s="1625"/>
      <c r="H15" s="2710"/>
      <c r="I15" s="2710"/>
      <c r="K15" s="1614" t="s">
        <v>2306</v>
      </c>
    </row>
    <row r="16" spans="1:11" ht="15">
      <c r="A16" s="1623" t="s">
        <v>1834</v>
      </c>
      <c r="B16" s="1619"/>
      <c r="C16" s="1619"/>
      <c r="D16" s="1619"/>
      <c r="E16" s="1614"/>
      <c r="F16" s="1625"/>
      <c r="G16" s="1625"/>
      <c r="H16" s="2710"/>
      <c r="I16" s="2710"/>
    </row>
    <row r="17" spans="1:9" ht="15">
      <c r="A17" s="1624" t="s">
        <v>1835</v>
      </c>
      <c r="B17" s="1619"/>
      <c r="C17" s="1619"/>
      <c r="D17" s="1619"/>
      <c r="E17" s="2627">
        <v>0</v>
      </c>
      <c r="F17" s="1625"/>
      <c r="G17" s="1625"/>
      <c r="H17" s="2710"/>
      <c r="I17" s="2710"/>
    </row>
    <row r="18" spans="1:9" ht="15">
      <c r="A18" s="1624" t="s">
        <v>1836</v>
      </c>
      <c r="B18" s="1619"/>
      <c r="C18" s="1619"/>
      <c r="D18" s="1619"/>
      <c r="E18" s="2628">
        <v>0</v>
      </c>
      <c r="F18" s="1625"/>
      <c r="G18" s="1625"/>
      <c r="H18" s="2710"/>
      <c r="I18" s="2710"/>
    </row>
    <row r="19" spans="1:9" ht="15">
      <c r="A19" s="1624" t="s">
        <v>1837</v>
      </c>
      <c r="B19" s="1619"/>
      <c r="C19" s="1619"/>
      <c r="D19" s="1619"/>
      <c r="E19" s="1627">
        <f>SUM(E17:E18)</f>
        <v>0</v>
      </c>
      <c r="F19" s="1625"/>
      <c r="G19" s="1625"/>
      <c r="H19" s="2710"/>
      <c r="I19" s="2710"/>
    </row>
    <row r="20" spans="1:9" ht="15">
      <c r="A20" s="1624" t="s">
        <v>1838</v>
      </c>
      <c r="B20" s="1619"/>
      <c r="C20" s="1619"/>
      <c r="D20" s="1619"/>
      <c r="E20" s="2627">
        <v>0</v>
      </c>
      <c r="F20" s="1625"/>
      <c r="G20" s="1625"/>
      <c r="H20" s="2710"/>
      <c r="I20" s="2710"/>
    </row>
    <row r="21" spans="1:9" ht="15">
      <c r="A21" s="1624" t="s">
        <v>1839</v>
      </c>
      <c r="B21" s="1619"/>
      <c r="C21" s="1619"/>
      <c r="D21" s="1619"/>
      <c r="E21" s="2627">
        <v>0</v>
      </c>
      <c r="F21" s="1625"/>
      <c r="G21" s="1625"/>
      <c r="H21" s="1625"/>
      <c r="I21" s="1625"/>
    </row>
    <row r="22" spans="1:9" ht="15">
      <c r="A22" s="1624" t="s">
        <v>1840</v>
      </c>
      <c r="B22" s="1619"/>
      <c r="C22" s="1619"/>
      <c r="D22" s="1619"/>
      <c r="E22" s="2628">
        <v>0</v>
      </c>
      <c r="F22" s="1625"/>
      <c r="G22" s="1625"/>
      <c r="H22" s="1625"/>
      <c r="I22" s="1625"/>
    </row>
    <row r="23" spans="1:9" ht="15">
      <c r="A23" s="1623" t="str">
        <f>"Averaging income for current year ("&amp;(YEAR(H10)-1&amp;"/"&amp;RIGHT(YEAR(H10-2),2))&amp;")"</f>
        <v>Averaging income for current year (2023/24)</v>
      </c>
      <c r="B23" s="1619"/>
      <c r="C23" s="1619"/>
      <c r="D23" s="1619"/>
      <c r="E23" s="1628">
        <f>IF(SUM(E19:E22)&lt;0,0,SUM(E19:E22))</f>
        <v>0</v>
      </c>
      <c r="F23" s="1625"/>
      <c r="G23" s="1625"/>
      <c r="H23" s="1625"/>
      <c r="I23" s="1625"/>
    </row>
    <row r="24" spans="1:9" ht="15">
      <c r="A24" s="1624"/>
      <c r="B24" s="1619"/>
      <c r="C24" s="1619"/>
      <c r="D24" s="1619"/>
      <c r="E24" s="1629"/>
      <c r="F24" s="1625"/>
      <c r="G24" s="1625"/>
      <c r="H24" s="1625"/>
      <c r="I24" s="1625"/>
    </row>
    <row r="25" spans="1:9" ht="15">
      <c r="A25" s="1623" t="s">
        <v>1841</v>
      </c>
      <c r="B25" s="1619"/>
      <c r="C25" s="1619"/>
      <c r="D25" s="1619"/>
      <c r="E25" s="1629"/>
      <c r="F25" s="1625"/>
      <c r="G25" s="1625"/>
      <c r="H25" s="1625"/>
      <c r="I25" s="1625"/>
    </row>
    <row r="26" spans="1:9" ht="15">
      <c r="A26" s="1624" t="str">
        <f>YEAR($H$10)-5&amp;"/"&amp;RIGHT(YEAR($H$10)-4,2)</f>
        <v>2019/20</v>
      </c>
      <c r="B26" s="1619"/>
      <c r="C26" s="1619"/>
      <c r="D26" s="1619"/>
      <c r="E26" s="2629">
        <v>0</v>
      </c>
      <c r="F26" s="1625"/>
      <c r="G26" s="1625"/>
      <c r="H26" s="1625"/>
      <c r="I26" s="1625"/>
    </row>
    <row r="27" spans="1:9" ht="15">
      <c r="A27" s="1624" t="str">
        <f>YEAR($H$10)-4&amp;"/"&amp;RIGHT(YEAR($H$10)-3,2)</f>
        <v>2020/21</v>
      </c>
      <c r="B27" s="1619"/>
      <c r="C27" s="1619"/>
      <c r="D27" s="1619"/>
      <c r="E27" s="2629">
        <v>0</v>
      </c>
      <c r="F27" s="1625"/>
      <c r="G27" s="1625"/>
      <c r="H27" s="1625"/>
      <c r="I27" s="1625"/>
    </row>
    <row r="28" spans="1:9" ht="15">
      <c r="A28" s="1624" t="str">
        <f>YEAR($H$10)-3&amp;"/"&amp;RIGHT(YEAR($H$10)-2,2)</f>
        <v>2021/22</v>
      </c>
      <c r="B28" s="1619"/>
      <c r="C28" s="1619"/>
      <c r="D28" s="1619"/>
      <c r="E28" s="2629">
        <v>0</v>
      </c>
      <c r="F28" s="1625"/>
      <c r="G28" s="1625"/>
      <c r="H28" s="1625"/>
      <c r="I28" s="1625"/>
    </row>
    <row r="29" spans="1:9" ht="15">
      <c r="A29" s="1624" t="str">
        <f>YEAR($H$10)-2&amp;"/"&amp;RIGHT(YEAR($H$10)-1,2)</f>
        <v>2022/23</v>
      </c>
      <c r="B29" s="1619"/>
      <c r="C29" s="1619"/>
      <c r="D29" s="1619"/>
      <c r="E29" s="2629">
        <v>0</v>
      </c>
      <c r="F29" s="1625"/>
      <c r="G29" s="1625"/>
      <c r="H29" s="1625"/>
      <c r="I29" s="1625"/>
    </row>
    <row r="30" spans="1:9" ht="15">
      <c r="A30" s="2710"/>
      <c r="B30" s="1619"/>
      <c r="C30" s="1619"/>
      <c r="D30" s="1619"/>
      <c r="E30" s="1614"/>
      <c r="F30" s="1619"/>
      <c r="G30" s="1625"/>
      <c r="H30" s="1625"/>
      <c r="I30" s="1625"/>
    </row>
    <row r="31" spans="1:9" ht="15">
      <c r="A31" s="1624" t="s">
        <v>1843</v>
      </c>
      <c r="B31" s="1619"/>
      <c r="C31" s="1619"/>
      <c r="D31" s="1619"/>
      <c r="E31" s="1630">
        <f>COUNT(E26:E29)</f>
        <v>4</v>
      </c>
      <c r="F31" s="1625"/>
      <c r="G31" s="1619"/>
      <c r="H31" s="1619"/>
      <c r="I31" s="1620"/>
    </row>
    <row r="32" spans="1:9" ht="15">
      <c r="A32" s="1624"/>
      <c r="B32" s="1619"/>
      <c r="C32" s="1619"/>
      <c r="D32" s="1619"/>
      <c r="E32" s="1629"/>
      <c r="F32" s="1625"/>
      <c r="G32" s="1625"/>
      <c r="H32" s="1625"/>
      <c r="I32" s="1625"/>
    </row>
    <row r="33" spans="1:9" ht="15">
      <c r="A33" s="1623" t="s">
        <v>1579</v>
      </c>
      <c r="B33" s="1619"/>
      <c r="C33" s="1619"/>
      <c r="D33" s="1619"/>
      <c r="E33" s="1631">
        <f>IF(E29="N",0,IF(E28="n",(E23+E29)/(E31+1),IF(E27="N",(E23+E29+E28)/(E31+1),IF(E26="N",(E23+E29+E28+E27)/(E31+1),(E23+E29+E28+E27+E26)/(E31+1)))))</f>
        <v>0</v>
      </c>
      <c r="F33" s="1625"/>
      <c r="G33" s="1625"/>
      <c r="H33" s="1625"/>
      <c r="I33" s="1625"/>
    </row>
    <row r="34" spans="1:9" ht="15">
      <c r="A34" s="1624"/>
      <c r="B34" s="1619"/>
      <c r="C34" s="1619"/>
      <c r="D34" s="1619"/>
      <c r="E34" s="1629"/>
      <c r="F34" s="1619"/>
      <c r="G34" s="1625"/>
      <c r="H34" s="1625"/>
      <c r="I34" s="1625"/>
    </row>
    <row r="35" spans="1:9">
      <c r="A35" s="1624" t="s">
        <v>1844</v>
      </c>
      <c r="B35" s="1619"/>
      <c r="C35" s="1619"/>
      <c r="D35" s="1619"/>
      <c r="E35" s="1627">
        <f>IF(E33&lt;0,0,IF(E14="Resident",VLOOKUP(E33,'Standard Thresholds'!$A$39:$C$43,2)*(E33-VLOOKUP(E33,'Standard Thresholds'!$A$39:$C$43,1))+VLOOKUP(E33,'Standard Thresholds'!$A$39:$C$43,3),IF(E14="Non-resident",VLOOKUP(E33,'Standard Thresholds'!$A$47:$C$49,2)*(E33-VLOOKUP(E33,'Standard Thresholds'!$A$47:$C$49,1))+VLOOKUP(E33,'Standard Thresholds'!$A$47:$C$49,3),IF(E14="Working holiday maker",VLOOKUP(E33,'Standard Thresholds'!$A$53:$C$56,2)*(E33-VLOOKUP(E33,'Standard Thresholds'!$A$53:$C$56,1))+VLOOKUP(E33,'Standard Thresholds'!$A$53:$C$56,3),0))))</f>
        <v>0</v>
      </c>
      <c r="F35" s="1619"/>
      <c r="G35" s="1619"/>
      <c r="H35" s="1619"/>
      <c r="I35" s="1620"/>
    </row>
    <row r="36" spans="1:9">
      <c r="A36" s="1624" t="s">
        <v>1845</v>
      </c>
      <c r="B36" s="1619"/>
      <c r="C36" s="1619"/>
      <c r="D36" s="1619"/>
      <c r="E36" s="1632">
        <f>IFERROR(E35/E33,0)</f>
        <v>0</v>
      </c>
      <c r="F36" s="1619"/>
      <c r="G36" s="1619"/>
      <c r="H36" s="1619"/>
      <c r="I36" s="1620"/>
    </row>
    <row r="37" spans="1:9">
      <c r="A37" s="1624"/>
      <c r="B37" s="1619"/>
      <c r="C37" s="1619"/>
      <c r="D37" s="1619"/>
      <c r="E37" s="1629"/>
      <c r="F37" s="1619"/>
      <c r="G37" s="1619"/>
      <c r="H37" s="1619"/>
      <c r="I37" s="1620"/>
    </row>
    <row r="38" spans="1:9">
      <c r="A38" s="1623" t="s">
        <v>1846</v>
      </c>
      <c r="B38" s="1619"/>
      <c r="C38" s="1619"/>
      <c r="D38" s="1619"/>
      <c r="E38" s="1631">
        <f>IF(E17&lt;5000,(E17+MAX(E18,0)),IF(E17&lt;10000,(10000-E17+MAX(E18,0)),IF(E17&gt;=10000,MAX(E18,0),0)))</f>
        <v>0</v>
      </c>
      <c r="F38" s="1619"/>
      <c r="G38" s="1619"/>
      <c r="H38" s="1619"/>
      <c r="I38" s="1620"/>
    </row>
    <row r="39" spans="1:9">
      <c r="A39" s="1624"/>
      <c r="B39" s="1619"/>
      <c r="C39" s="1619"/>
      <c r="D39" s="1619"/>
      <c r="E39" s="1629"/>
      <c r="F39" s="1619"/>
      <c r="G39" s="1619"/>
      <c r="H39" s="1619"/>
      <c r="I39" s="1620"/>
    </row>
    <row r="40" spans="1:9">
      <c r="A40" s="1624" t="s">
        <v>1847</v>
      </c>
      <c r="B40" s="1619"/>
      <c r="C40" s="1619"/>
      <c r="D40" s="1619"/>
      <c r="E40" s="1627">
        <f>E23*E36</f>
        <v>0</v>
      </c>
      <c r="F40" s="1619"/>
      <c r="G40" s="1619"/>
      <c r="H40" s="1619"/>
      <c r="I40" s="1620"/>
    </row>
    <row r="41" spans="1:9">
      <c r="A41" s="1624" t="s">
        <v>1848</v>
      </c>
      <c r="B41" s="1619"/>
      <c r="C41" s="1619"/>
      <c r="D41" s="1619"/>
      <c r="E41" s="1627">
        <f>IF(E23&lt;0,0,IF(E14="Resident",VLOOKUP(E23,'Standard Thresholds'!$A$39:$C$43,2)*(E23-VLOOKUP(E23,'Standard Thresholds'!$A$39:$C$43,1))+VLOOKUP(E23,'Standard Thresholds'!$A$39:$C$43,3),IF(E14="Non-resident",VLOOKUP(E23,'Standard Thresholds'!$A$47:$C$49,2)*(E23-VLOOKUP(E23,'Standard Thresholds'!$A$47:$C$49,1))+VLOOKUP(E23,'Standard Thresholds'!$A$47:$C$49,3),IF(E14="Working holiday maker",VLOOKUP(E23,'Standard Thresholds'!$A$53:$C$56,2)*(E23-VLOOKUP(E23,'Standard Thresholds'!$A$53:$C$56,1))+VLOOKUP(E23,'Standard Thresholds'!$A$53:$C$56,3),0))))</f>
        <v>0</v>
      </c>
      <c r="F41" s="1619"/>
      <c r="G41" s="1619"/>
      <c r="H41" s="1619"/>
      <c r="I41" s="1620"/>
    </row>
    <row r="42" spans="1:9">
      <c r="A42" s="1624" t="s">
        <v>1586</v>
      </c>
      <c r="B42" s="1619"/>
      <c r="C42" s="1619"/>
      <c r="D42" s="1619"/>
      <c r="E42" s="1627">
        <f>E41-E40</f>
        <v>0</v>
      </c>
      <c r="F42" s="1619"/>
      <c r="G42" s="1619"/>
      <c r="H42" s="1619"/>
      <c r="I42" s="1620"/>
    </row>
    <row r="43" spans="1:9">
      <c r="A43" s="1624"/>
      <c r="B43" s="1619"/>
      <c r="C43" s="1619"/>
      <c r="D43" s="1619"/>
      <c r="E43" s="1629"/>
      <c r="F43" s="1619"/>
      <c r="G43" s="1619"/>
      <c r="H43" s="1619"/>
      <c r="I43" s="1620"/>
    </row>
    <row r="44" spans="1:9">
      <c r="A44" s="1623" t="s">
        <v>1849</v>
      </c>
      <c r="B44" s="1619"/>
      <c r="C44" s="1619"/>
      <c r="D44" s="1619"/>
      <c r="E44" s="1631">
        <f>IF(OR(E23=0,E31=0),0,(E41-E40)*(E38/E23))</f>
        <v>0</v>
      </c>
      <c r="F44" s="1619"/>
      <c r="G44" s="1619"/>
      <c r="H44" s="1619"/>
      <c r="I44" s="1620"/>
    </row>
    <row r="45" spans="1:9">
      <c r="A45" s="1624"/>
      <c r="B45" s="1619"/>
      <c r="C45" s="1619"/>
      <c r="D45" s="1619"/>
      <c r="E45" s="1629"/>
      <c r="F45" s="1619"/>
      <c r="G45" s="1619"/>
      <c r="H45" s="1619"/>
      <c r="I45" s="1620"/>
    </row>
    <row r="46" spans="1:9">
      <c r="A46" s="1624" t="s">
        <v>1850</v>
      </c>
      <c r="B46" s="1619"/>
      <c r="C46" s="1619"/>
      <c r="D46" s="1619"/>
      <c r="E46" s="1627">
        <f>E41</f>
        <v>0</v>
      </c>
      <c r="F46" s="1619"/>
      <c r="G46" s="1619"/>
      <c r="H46" s="1619"/>
      <c r="I46" s="1620"/>
    </row>
    <row r="47" spans="1:9">
      <c r="A47" s="1624" t="s">
        <v>1851</v>
      </c>
      <c r="B47" s="1619"/>
      <c r="C47" s="1619"/>
      <c r="D47" s="1619"/>
      <c r="E47" s="1627">
        <f>-E44</f>
        <v>0</v>
      </c>
      <c r="F47" s="1619"/>
      <c r="G47" s="1619"/>
      <c r="H47" s="1619"/>
      <c r="I47" s="1620"/>
    </row>
    <row r="48" spans="1:9" ht="13.5" thickBot="1">
      <c r="A48" s="1623" t="s">
        <v>1852</v>
      </c>
      <c r="B48" s="1619"/>
      <c r="C48" s="1619"/>
      <c r="D48" s="1619"/>
      <c r="E48" s="1633">
        <f>E46+E47</f>
        <v>0</v>
      </c>
      <c r="F48" s="1619"/>
      <c r="G48" s="1619"/>
      <c r="H48" s="1619"/>
      <c r="I48" s="1620"/>
    </row>
    <row r="49" spans="1:9" ht="15.75" thickTop="1">
      <c r="A49" s="1625"/>
      <c r="B49" s="1619"/>
      <c r="C49" s="1619"/>
      <c r="D49" s="1619"/>
      <c r="E49" s="1603"/>
      <c r="F49" s="1619"/>
      <c r="G49" s="1619"/>
      <c r="H49" s="1619"/>
      <c r="I49" s="1620"/>
    </row>
    <row r="50" spans="1:9">
      <c r="A50" s="2710"/>
      <c r="B50" s="1619"/>
      <c r="C50" s="1619"/>
      <c r="D50" s="1619"/>
      <c r="E50" s="1619"/>
      <c r="F50" s="1620"/>
      <c r="G50" s="1619"/>
      <c r="H50" s="1619"/>
      <c r="I50" s="1620"/>
    </row>
    <row r="51" spans="1:9">
      <c r="A51" s="2710"/>
      <c r="B51" s="1619"/>
      <c r="C51" s="1619"/>
      <c r="D51" s="1619"/>
      <c r="E51" s="1619"/>
      <c r="F51" s="1620"/>
      <c r="G51" s="1619"/>
      <c r="H51" s="1619"/>
      <c r="I51" s="1614"/>
    </row>
    <row r="52" spans="1:9">
      <c r="A52" s="2710"/>
      <c r="B52" s="1619"/>
      <c r="C52" s="1619"/>
      <c r="D52" s="1619"/>
      <c r="E52" s="1619"/>
      <c r="F52" s="1620"/>
      <c r="G52" s="1619"/>
      <c r="H52" s="1619"/>
      <c r="I52" s="1614"/>
    </row>
    <row r="53" spans="1:9">
      <c r="A53" s="2710"/>
      <c r="B53" s="1619"/>
      <c r="C53" s="1619"/>
      <c r="D53" s="1619"/>
      <c r="E53" s="1619"/>
      <c r="F53" s="1620"/>
      <c r="G53" s="1619"/>
      <c r="H53" s="1619"/>
      <c r="I53" s="1614"/>
    </row>
    <row r="54" spans="1:9">
      <c r="A54" s="2710"/>
      <c r="B54" s="1619"/>
      <c r="C54" s="1619"/>
      <c r="D54" s="1619"/>
      <c r="E54" s="1619"/>
      <c r="F54" s="1620"/>
      <c r="G54" s="1619"/>
      <c r="H54" s="1619"/>
      <c r="I54" s="1614"/>
    </row>
    <row r="55" spans="1:9" s="1603" customFormat="1">
      <c r="A55" s="2710"/>
      <c r="B55" s="1619"/>
      <c r="C55" s="1619"/>
      <c r="D55" s="1619"/>
      <c r="E55" s="1619"/>
      <c r="F55" s="1620"/>
      <c r="G55" s="1619"/>
      <c r="H55" s="1619"/>
      <c r="I55" s="1614"/>
    </row>
    <row r="56" spans="1:9" s="1603" customFormat="1">
      <c r="A56" s="2710"/>
      <c r="B56" s="1619"/>
      <c r="C56" s="1619"/>
      <c r="D56" s="1619"/>
      <c r="E56" s="1619"/>
      <c r="F56" s="1620"/>
      <c r="G56" s="1619"/>
      <c r="H56" s="1619"/>
      <c r="I56" s="1614"/>
    </row>
    <row r="57" spans="1:9" s="1603" customFormat="1">
      <c r="A57" s="2710"/>
      <c r="B57" s="1619"/>
      <c r="C57" s="1619"/>
      <c r="D57" s="1619"/>
      <c r="E57" s="1619"/>
      <c r="F57" s="1620"/>
      <c r="G57" s="1619"/>
      <c r="H57" s="1619"/>
      <c r="I57" s="1614"/>
    </row>
    <row r="58" spans="1:9" s="1603" customFormat="1">
      <c r="A58" s="2710"/>
      <c r="B58" s="1619"/>
      <c r="C58" s="1619"/>
      <c r="D58" s="1619"/>
      <c r="E58" s="1619"/>
      <c r="F58" s="1620"/>
      <c r="G58" s="1619"/>
      <c r="H58" s="1619"/>
      <c r="I58" s="1614"/>
    </row>
    <row r="59" spans="1:9" s="1603" customFormat="1">
      <c r="A59" s="2710"/>
      <c r="B59" s="1619"/>
      <c r="C59" s="1619"/>
      <c r="D59" s="1619"/>
      <c r="E59" s="1619"/>
      <c r="F59" s="1620"/>
      <c r="G59" s="1619"/>
      <c r="H59" s="1619"/>
      <c r="I59" s="1614"/>
    </row>
    <row r="60" spans="1:9" s="1603" customFormat="1"/>
    <row r="61" spans="1:9" s="1603" customFormat="1"/>
    <row r="62" spans="1:9" s="1603" customFormat="1"/>
    <row r="63" spans="1:9" s="1603" customFormat="1"/>
    <row r="64" spans="1:9" s="1603" customFormat="1"/>
    <row r="65" s="1603" customFormat="1"/>
    <row r="66" s="1603" customFormat="1"/>
    <row r="67" s="1603" customFormat="1"/>
    <row r="68" s="1603" customFormat="1"/>
    <row r="69" s="1603" customFormat="1"/>
    <row r="70" s="1603" customFormat="1"/>
    <row r="71" s="1603" customFormat="1"/>
    <row r="72" s="1603" customFormat="1"/>
    <row r="73" s="1603" customFormat="1"/>
    <row r="74" s="1603" customFormat="1"/>
    <row r="75" s="1603" customFormat="1"/>
    <row r="76" s="1603" customFormat="1"/>
    <row r="77" s="1603" customFormat="1"/>
    <row r="78" s="1603" customFormat="1"/>
    <row r="79" s="1603" customFormat="1"/>
    <row r="80" s="1603" customFormat="1"/>
    <row r="81" s="1603" customFormat="1"/>
    <row r="82" s="1603" customFormat="1"/>
    <row r="83" s="1603" customFormat="1"/>
    <row r="84" s="1603" customFormat="1"/>
    <row r="85" s="1603" customFormat="1"/>
    <row r="86" s="1603" customFormat="1"/>
    <row r="87" s="1603" customFormat="1"/>
    <row r="88" s="1603" customFormat="1"/>
    <row r="89" s="1603" customFormat="1"/>
    <row r="90" s="1603" customFormat="1"/>
    <row r="91" s="1603" customFormat="1"/>
    <row r="92" s="1603" customFormat="1"/>
    <row r="93" s="1603" customFormat="1"/>
    <row r="94" s="1603" customFormat="1"/>
    <row r="95" s="1603" customFormat="1"/>
    <row r="96" s="1603" customFormat="1"/>
    <row r="97" s="1603" customFormat="1"/>
    <row r="98" s="1603" customFormat="1"/>
    <row r="99" s="1603" customFormat="1"/>
    <row r="100" s="1603" customFormat="1"/>
    <row r="101" s="1603" customFormat="1"/>
    <row r="102" s="1603" customFormat="1"/>
    <row r="103" s="1603" customFormat="1"/>
    <row r="104" s="1603" customFormat="1"/>
    <row r="105" s="1603" customFormat="1"/>
    <row r="106" s="1603" customFormat="1"/>
    <row r="107" s="1603" customFormat="1"/>
    <row r="108" s="1603" customFormat="1"/>
    <row r="109" s="1603" customFormat="1"/>
    <row r="110" s="1603" customFormat="1"/>
    <row r="111" s="1603" customFormat="1"/>
    <row r="112" s="1603" customFormat="1"/>
    <row r="113" s="1603" customFormat="1"/>
    <row r="114" s="1603" customFormat="1"/>
    <row r="115" s="1603" customFormat="1"/>
    <row r="116" s="1603" customFormat="1"/>
    <row r="117" s="1603" customFormat="1"/>
    <row r="118" s="1603" customFormat="1"/>
    <row r="119" s="1603" customFormat="1"/>
    <row r="120" s="1603" customFormat="1"/>
    <row r="121" s="1603" customFormat="1"/>
    <row r="122" s="1603" customFormat="1"/>
    <row r="123" s="1603" customFormat="1"/>
    <row r="124" s="1603" customFormat="1"/>
    <row r="125" s="1603" customFormat="1"/>
    <row r="126" s="1603" customFormat="1"/>
    <row r="127" s="1603" customFormat="1"/>
    <row r="128" s="1603" customFormat="1"/>
    <row r="129" s="1603" customFormat="1"/>
    <row r="130" s="1603" customFormat="1"/>
    <row r="131" s="1603" customFormat="1"/>
    <row r="132" s="1603" customFormat="1"/>
    <row r="133" s="1603" customFormat="1"/>
    <row r="134" s="1603" customFormat="1"/>
    <row r="135" s="1603" customFormat="1"/>
    <row r="136" s="1603" customFormat="1"/>
    <row r="137" s="1603" customFormat="1"/>
    <row r="138" s="1603" customFormat="1"/>
    <row r="139" s="1603" customFormat="1"/>
    <row r="140" s="1603" customFormat="1"/>
    <row r="141" s="1603" customFormat="1"/>
    <row r="142" s="1603" customFormat="1"/>
    <row r="143" s="1603" customFormat="1"/>
    <row r="144" s="1603" customFormat="1"/>
    <row r="145" s="1603" customFormat="1"/>
    <row r="146" s="1603" customFormat="1"/>
    <row r="147" s="1603" customFormat="1"/>
    <row r="148" s="1603" customFormat="1"/>
    <row r="149" s="1603" customFormat="1"/>
    <row r="150" s="1603" customFormat="1"/>
    <row r="151" s="1603" customFormat="1"/>
    <row r="152" s="1603" customFormat="1"/>
    <row r="153" s="1603" customFormat="1"/>
    <row r="154" s="1603" customFormat="1"/>
    <row r="155" s="1603" customFormat="1"/>
    <row r="156" s="1603" customFormat="1"/>
    <row r="157" s="1603" customFormat="1"/>
    <row r="158" s="1603" customFormat="1"/>
    <row r="159" s="1603" customFormat="1"/>
    <row r="160" s="1603" customFormat="1"/>
    <row r="161" s="1603" customFormat="1"/>
    <row r="162" s="1603" customFormat="1"/>
  </sheetData>
  <customSheetViews>
    <customSheetView guid="{BCBE45D4-3C45-4659-992E-5C5D3E9FD81C}" showPageBreaks="1" fitToPage="1" printArea="1" topLeftCell="A19">
      <selection activeCell="H31" sqref="H31"/>
      <pageMargins left="0.59055118110236227" right="0.43307086614173229" top="0.6692913385826772" bottom="0.94488188976377963" header="0.51181102362204722" footer="0.39370078740157483"/>
      <printOptions horizontalCentered="1"/>
      <pageSetup paperSize="9" scale="7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printArea="1" topLeftCell="A16">
      <selection activeCell="C25" sqref="C25"/>
      <pageMargins left="0.59055118110236227" right="0.43307086614173229" top="0.6692913385826772" bottom="0.94488188976377963" header="0.51181102362204722" footer="0.39370078740157483"/>
      <printOptions horizontalCentered="1"/>
      <pageSetup paperSize="9" scale="70" fitToHeight="999" orientation="portrait" blackAndWhite="1" r:id="rId2"/>
      <headerFooter alignWithMargins="0">
        <oddFooter>&amp;L&amp;8Copyright Crowe Horwath (Aust) Pty Ltd 2016.  All rights reserved.
&amp;Z&amp;F[&amp;A]&amp;R&amp;8&amp;P/&amp;N</oddFooter>
      </headerFooter>
    </customSheetView>
  </customSheetViews>
  <mergeCells count="1">
    <mergeCell ref="A7:H7"/>
  </mergeCells>
  <dataValidations count="2">
    <dataValidation type="decimal" operator="lessThanOrEqual" allowBlank="1" showInputMessage="1" showErrorMessage="1" error="Enter a negative number." sqref="E20:E22" xr:uid="{7D6E4E96-B828-4E98-97D1-92CA51D03EB8}">
      <formula1>0</formula1>
    </dataValidation>
    <dataValidation type="list" allowBlank="1" showInputMessage="1" showErrorMessage="1" sqref="E14" xr:uid="{CBAED466-600D-49FA-8CAE-1D2F86D347C8}">
      <formula1>$K$13:$K$15</formula1>
    </dataValidation>
  </dataValidations>
  <hyperlinks>
    <hyperlink ref="H8" location="'WPIndex'!A1" display="Back to Workpaper Index" xr:uid="{2E2D401D-E586-4101-8831-1EBBC28CEB5B}"/>
  </hyperlinks>
  <printOptions horizontalCentered="1"/>
  <pageMargins left="0.59055118110236227" right="0.43307086614173229" top="0.6692913385826772" bottom="0.94488188976377963" header="0.51181102362204722" footer="0.39370078740157483"/>
  <pageSetup paperSize="9" scale="69" fitToHeight="999" orientation="portrait" r:id="rId3"/>
  <headerFooter alignWithMargins="0">
    <oddFooter>&amp;L&amp;8© Findex (Aust) Pty Ltd.  All rights reserved.&amp;R&amp;8&amp;P/&amp;N</oddFooter>
  </headerFooter>
  <drawing r:id="rId4"/>
  <legacyDrawing r:id="rId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Debtors_Sheet">
    <tabColor theme="8" tint="0.79998168889431442"/>
  </sheetPr>
  <dimension ref="A1:I67"/>
  <sheetViews>
    <sheetView zoomScaleNormal="100" workbookViewId="0">
      <selection sqref="A1:F1"/>
    </sheetView>
  </sheetViews>
  <sheetFormatPr defaultColWidth="9.140625" defaultRowHeight="12.75"/>
  <cols>
    <col min="1" max="1" width="43" style="1" customWidth="1"/>
    <col min="2" max="2" width="3.85546875" style="1" customWidth="1"/>
    <col min="3" max="3" width="10.28515625" style="14" customWidth="1"/>
    <col min="4" max="4" width="14.28515625" style="14" customWidth="1"/>
    <col min="5" max="5" width="12.85546875" style="14" bestFit="1" customWidth="1"/>
    <col min="6" max="6" width="15" style="1" customWidth="1"/>
    <col min="7" max="7" width="8.28515625" style="1" hidden="1" customWidth="1"/>
    <col min="8" max="16384" width="9.140625" style="1"/>
  </cols>
  <sheetData>
    <row r="1" spans="1:7" ht="15.75">
      <c r="A1" s="2609"/>
      <c r="B1" s="40"/>
      <c r="C1" s="40"/>
      <c r="E1" s="2613" t="s">
        <v>2425</v>
      </c>
      <c r="F1" s="3576" t="s">
        <v>2758</v>
      </c>
    </row>
    <row r="2" spans="1:7" ht="15.75">
      <c r="A2" s="2609"/>
      <c r="B2" s="40"/>
      <c r="C2" s="40"/>
      <c r="E2" s="71" t="s">
        <v>2426</v>
      </c>
      <c r="F2" s="2621"/>
    </row>
    <row r="3" spans="1:7" ht="15.75">
      <c r="A3" s="3069"/>
      <c r="B3" s="40"/>
      <c r="C3" s="40"/>
      <c r="E3" s="71"/>
      <c r="F3" s="71"/>
    </row>
    <row r="4" spans="1:7" s="32" customFormat="1">
      <c r="A4" s="206"/>
      <c r="D4" s="11"/>
      <c r="E4" s="11" t="s">
        <v>1163</v>
      </c>
      <c r="F4" s="709" t="s">
        <v>1262</v>
      </c>
    </row>
    <row r="5" spans="1:7" s="32" customFormat="1" ht="17.25" customHeight="1">
      <c r="A5" s="206"/>
      <c r="D5" s="71" t="s">
        <v>332</v>
      </c>
      <c r="E5" s="2617" t="str">
        <f>IF(PreparedBy="","",PreparedBy)</f>
        <v/>
      </c>
      <c r="F5" s="2618" t="str">
        <f>IF(DatePrepared="","",DatePrepared)</f>
        <v/>
      </c>
    </row>
    <row r="6" spans="1:7" s="32" customFormat="1" ht="17.25" customHeight="1">
      <c r="A6" s="206"/>
      <c r="D6" s="71" t="s">
        <v>333</v>
      </c>
      <c r="E6" s="2619"/>
      <c r="F6" s="2620"/>
    </row>
    <row r="7" spans="1:7" s="32" customFormat="1" ht="3.95" customHeight="1">
      <c r="A7" s="206"/>
      <c r="B7" s="43"/>
      <c r="C7" s="43"/>
      <c r="D7" s="43"/>
      <c r="E7" s="43"/>
    </row>
    <row r="8" spans="1:7" ht="15.75">
      <c r="A8" s="3777" t="str">
        <f>WP_Debtors_Summary</f>
        <v>Trade Debtors - Debtors Summary</v>
      </c>
      <c r="B8" s="3778"/>
      <c r="C8" s="3778"/>
      <c r="D8" s="3778"/>
      <c r="E8" s="3778"/>
      <c r="F8" s="3779"/>
    </row>
    <row r="9" spans="1:7">
      <c r="F9" s="3248" t="s">
        <v>2526</v>
      </c>
    </row>
    <row r="10" spans="1:7" s="37" customFormat="1" ht="15.75">
      <c r="A10" s="222" t="str">
        <f>"CLIENT NAME:   "&amp;'WP Index'!E3</f>
        <v>CLIENT NAME:   Example Trust</v>
      </c>
      <c r="G10" s="1"/>
    </row>
    <row r="11" spans="1:7" s="37" customFormat="1">
      <c r="A11" s="9" t="str">
        <f>"CLIENT CODE:   "&amp;'WP Index'!E4</f>
        <v>CLIENT CODE:   99999</v>
      </c>
      <c r="E11" s="47" t="s">
        <v>951</v>
      </c>
      <c r="F11" s="47">
        <f>'WP Index'!G5</f>
        <v>45473</v>
      </c>
      <c r="G11" s="1"/>
    </row>
    <row r="12" spans="1:7" s="37" customFormat="1" ht="8.25"/>
    <row r="13" spans="1:7" s="3" customFormat="1">
      <c r="A13" s="3" t="s">
        <v>988</v>
      </c>
      <c r="C13" s="159" t="s">
        <v>1099</v>
      </c>
      <c r="D13" s="159" t="s">
        <v>1109</v>
      </c>
      <c r="E13" s="159"/>
      <c r="F13" s="159" t="str">
        <f>IF('Input Info'!GST_Entity="YES","GST Inc","Amount")</f>
        <v>GST Inc</v>
      </c>
      <c r="G13" s="6" t="s">
        <v>1286</v>
      </c>
    </row>
    <row r="14" spans="1:7">
      <c r="A14" s="2614"/>
      <c r="C14" s="362">
        <f t="shared" ref="C14:C65" si="0">F14/11</f>
        <v>0</v>
      </c>
      <c r="D14" s="362">
        <f t="shared" ref="D14:D65" si="1">F14-C14</f>
        <v>0</v>
      </c>
      <c r="E14" s="362"/>
      <c r="F14" s="2616"/>
    </row>
    <row r="15" spans="1:7">
      <c r="A15" s="2614"/>
      <c r="C15" s="362">
        <f t="shared" si="0"/>
        <v>0</v>
      </c>
      <c r="D15" s="362">
        <f t="shared" si="1"/>
        <v>0</v>
      </c>
      <c r="E15" s="362"/>
      <c r="F15" s="2616"/>
    </row>
    <row r="16" spans="1:7">
      <c r="A16" s="2614"/>
      <c r="C16" s="362">
        <f t="shared" si="0"/>
        <v>0</v>
      </c>
      <c r="D16" s="362">
        <f t="shared" si="1"/>
        <v>0</v>
      </c>
      <c r="E16" s="362"/>
      <c r="F16" s="2616"/>
    </row>
    <row r="17" spans="1:9">
      <c r="A17" s="2615"/>
      <c r="C17" s="362">
        <f t="shared" si="0"/>
        <v>0</v>
      </c>
      <c r="D17" s="362">
        <f t="shared" si="1"/>
        <v>0</v>
      </c>
      <c r="E17" s="362"/>
      <c r="F17" s="2616"/>
    </row>
    <row r="18" spans="1:9">
      <c r="A18" s="2614"/>
      <c r="C18" s="362">
        <f t="shared" si="0"/>
        <v>0</v>
      </c>
      <c r="D18" s="362">
        <f t="shared" si="1"/>
        <v>0</v>
      </c>
      <c r="E18" s="362"/>
      <c r="F18" s="2616"/>
    </row>
    <row r="19" spans="1:9">
      <c r="A19" s="2614"/>
      <c r="C19" s="362">
        <f t="shared" si="0"/>
        <v>0</v>
      </c>
      <c r="D19" s="362">
        <f t="shared" si="1"/>
        <v>0</v>
      </c>
      <c r="E19" s="362"/>
      <c r="F19" s="2616"/>
    </row>
    <row r="20" spans="1:9">
      <c r="A20" s="2614"/>
      <c r="C20" s="362">
        <f t="shared" si="0"/>
        <v>0</v>
      </c>
      <c r="D20" s="362">
        <f t="shared" si="1"/>
        <v>0</v>
      </c>
      <c r="E20" s="362"/>
      <c r="F20" s="2616"/>
      <c r="I20" s="1479"/>
    </row>
    <row r="21" spans="1:9">
      <c r="A21" s="2614"/>
      <c r="C21" s="362">
        <f t="shared" si="0"/>
        <v>0</v>
      </c>
      <c r="D21" s="362">
        <f t="shared" si="1"/>
        <v>0</v>
      </c>
      <c r="E21" s="362"/>
      <c r="F21" s="2616"/>
    </row>
    <row r="22" spans="1:9">
      <c r="A22" s="2614"/>
      <c r="C22" s="362">
        <f t="shared" si="0"/>
        <v>0</v>
      </c>
      <c r="D22" s="362">
        <f t="shared" si="1"/>
        <v>0</v>
      </c>
      <c r="E22" s="362"/>
      <c r="F22" s="2616"/>
    </row>
    <row r="23" spans="1:9">
      <c r="A23" s="2614"/>
      <c r="C23" s="362">
        <f t="shared" si="0"/>
        <v>0</v>
      </c>
      <c r="D23" s="362">
        <f t="shared" si="1"/>
        <v>0</v>
      </c>
      <c r="E23" s="362"/>
      <c r="F23" s="2616"/>
    </row>
    <row r="24" spans="1:9">
      <c r="A24" s="2614"/>
      <c r="C24" s="362">
        <f t="shared" si="0"/>
        <v>0</v>
      </c>
      <c r="D24" s="362">
        <f t="shared" si="1"/>
        <v>0</v>
      </c>
      <c r="E24" s="362"/>
      <c r="F24" s="2616"/>
    </row>
    <row r="25" spans="1:9">
      <c r="A25" s="2614"/>
      <c r="C25" s="362">
        <f t="shared" si="0"/>
        <v>0</v>
      </c>
      <c r="D25" s="362">
        <f t="shared" si="1"/>
        <v>0</v>
      </c>
      <c r="E25" s="362"/>
      <c r="F25" s="2616"/>
    </row>
    <row r="26" spans="1:9">
      <c r="A26" s="2614"/>
      <c r="C26" s="362">
        <f t="shared" si="0"/>
        <v>0</v>
      </c>
      <c r="D26" s="362">
        <f t="shared" si="1"/>
        <v>0</v>
      </c>
      <c r="E26" s="362"/>
      <c r="F26" s="2616"/>
    </row>
    <row r="27" spans="1:9">
      <c r="A27" s="2614"/>
      <c r="C27" s="362">
        <f t="shared" si="0"/>
        <v>0</v>
      </c>
      <c r="D27" s="362">
        <f t="shared" si="1"/>
        <v>0</v>
      </c>
      <c r="E27" s="362"/>
      <c r="F27" s="2616"/>
    </row>
    <row r="28" spans="1:9">
      <c r="A28" s="2614"/>
      <c r="C28" s="362">
        <f t="shared" si="0"/>
        <v>0</v>
      </c>
      <c r="D28" s="362">
        <f t="shared" si="1"/>
        <v>0</v>
      </c>
      <c r="E28" s="362"/>
      <c r="F28" s="2616"/>
    </row>
    <row r="29" spans="1:9">
      <c r="A29" s="2614"/>
      <c r="C29" s="362">
        <f t="shared" si="0"/>
        <v>0</v>
      </c>
      <c r="D29" s="362">
        <f t="shared" si="1"/>
        <v>0</v>
      </c>
      <c r="E29" s="362"/>
      <c r="F29" s="2616"/>
    </row>
    <row r="30" spans="1:9">
      <c r="A30" s="2614"/>
      <c r="C30" s="362">
        <f t="shared" si="0"/>
        <v>0</v>
      </c>
      <c r="D30" s="362">
        <f t="shared" si="1"/>
        <v>0</v>
      </c>
      <c r="E30" s="362"/>
      <c r="F30" s="2616"/>
    </row>
    <row r="31" spans="1:9">
      <c r="A31" s="2614"/>
      <c r="C31" s="362">
        <f t="shared" si="0"/>
        <v>0</v>
      </c>
      <c r="D31" s="362">
        <f t="shared" si="1"/>
        <v>0</v>
      </c>
      <c r="E31" s="362"/>
      <c r="F31" s="2616"/>
    </row>
    <row r="32" spans="1:9">
      <c r="A32" s="2614"/>
      <c r="C32" s="362">
        <f t="shared" si="0"/>
        <v>0</v>
      </c>
      <c r="D32" s="362">
        <f t="shared" si="1"/>
        <v>0</v>
      </c>
      <c r="E32" s="362"/>
      <c r="F32" s="2616"/>
    </row>
    <row r="33" spans="1:6">
      <c r="A33" s="2614"/>
      <c r="C33" s="362">
        <f t="shared" si="0"/>
        <v>0</v>
      </c>
      <c r="D33" s="362">
        <f t="shared" si="1"/>
        <v>0</v>
      </c>
      <c r="E33" s="362"/>
      <c r="F33" s="2616"/>
    </row>
    <row r="34" spans="1:6">
      <c r="A34" s="2614"/>
      <c r="C34" s="362">
        <f t="shared" si="0"/>
        <v>0</v>
      </c>
      <c r="D34" s="362">
        <f t="shared" si="1"/>
        <v>0</v>
      </c>
      <c r="E34" s="362"/>
      <c r="F34" s="2616"/>
    </row>
    <row r="35" spans="1:6">
      <c r="A35" s="2614"/>
      <c r="C35" s="362">
        <f t="shared" si="0"/>
        <v>0</v>
      </c>
      <c r="D35" s="362">
        <f t="shared" si="1"/>
        <v>0</v>
      </c>
      <c r="E35" s="362"/>
      <c r="F35" s="2616"/>
    </row>
    <row r="36" spans="1:6">
      <c r="A36" s="2614"/>
      <c r="C36" s="362">
        <f t="shared" si="0"/>
        <v>0</v>
      </c>
      <c r="D36" s="362">
        <f t="shared" si="1"/>
        <v>0</v>
      </c>
      <c r="E36" s="362"/>
      <c r="F36" s="2616"/>
    </row>
    <row r="37" spans="1:6">
      <c r="A37" s="2614"/>
      <c r="C37" s="362">
        <f t="shared" si="0"/>
        <v>0</v>
      </c>
      <c r="D37" s="362">
        <f t="shared" si="1"/>
        <v>0</v>
      </c>
      <c r="E37" s="362"/>
      <c r="F37" s="2616"/>
    </row>
    <row r="38" spans="1:6">
      <c r="A38" s="2614"/>
      <c r="C38" s="362">
        <f t="shared" si="0"/>
        <v>0</v>
      </c>
      <c r="D38" s="362">
        <f t="shared" si="1"/>
        <v>0</v>
      </c>
      <c r="E38" s="362"/>
      <c r="F38" s="2616"/>
    </row>
    <row r="39" spans="1:6" hidden="1">
      <c r="A39" s="2614"/>
      <c r="C39" s="362">
        <f t="shared" si="0"/>
        <v>0</v>
      </c>
      <c r="D39" s="362">
        <f t="shared" si="1"/>
        <v>0</v>
      </c>
      <c r="E39" s="362"/>
      <c r="F39" s="2616"/>
    </row>
    <row r="40" spans="1:6" hidden="1">
      <c r="A40" s="2614"/>
      <c r="C40" s="362"/>
      <c r="D40" s="362">
        <f t="shared" si="1"/>
        <v>0</v>
      </c>
      <c r="E40" s="362"/>
      <c r="F40" s="2616"/>
    </row>
    <row r="41" spans="1:6" hidden="1">
      <c r="A41" s="2614"/>
      <c r="C41" s="362">
        <f t="shared" si="0"/>
        <v>0</v>
      </c>
      <c r="D41" s="362">
        <f t="shared" si="1"/>
        <v>0</v>
      </c>
      <c r="E41" s="362"/>
      <c r="F41" s="2616"/>
    </row>
    <row r="42" spans="1:6" hidden="1">
      <c r="A42" s="2614"/>
      <c r="C42" s="362">
        <f t="shared" si="0"/>
        <v>0</v>
      </c>
      <c r="D42" s="362">
        <f t="shared" si="1"/>
        <v>0</v>
      </c>
      <c r="E42" s="362"/>
      <c r="F42" s="2616"/>
    </row>
    <row r="43" spans="1:6" hidden="1">
      <c r="A43" s="2614"/>
      <c r="C43" s="362">
        <f t="shared" si="0"/>
        <v>0</v>
      </c>
      <c r="D43" s="362">
        <f t="shared" si="1"/>
        <v>0</v>
      </c>
      <c r="E43" s="362"/>
      <c r="F43" s="2616"/>
    </row>
    <row r="44" spans="1:6" hidden="1">
      <c r="A44" s="2614"/>
      <c r="C44" s="362">
        <f t="shared" si="0"/>
        <v>0</v>
      </c>
      <c r="D44" s="362">
        <f t="shared" si="1"/>
        <v>0</v>
      </c>
      <c r="E44" s="362"/>
      <c r="F44" s="2616"/>
    </row>
    <row r="45" spans="1:6" hidden="1">
      <c r="A45" s="2614"/>
      <c r="C45" s="362">
        <f t="shared" si="0"/>
        <v>0</v>
      </c>
      <c r="D45" s="362">
        <f t="shared" si="1"/>
        <v>0</v>
      </c>
      <c r="E45" s="362"/>
      <c r="F45" s="2616"/>
    </row>
    <row r="46" spans="1:6" hidden="1">
      <c r="A46" s="2614"/>
      <c r="C46" s="362">
        <f t="shared" si="0"/>
        <v>0</v>
      </c>
      <c r="D46" s="362">
        <f t="shared" si="1"/>
        <v>0</v>
      </c>
      <c r="E46" s="362"/>
      <c r="F46" s="2616"/>
    </row>
    <row r="47" spans="1:6" hidden="1">
      <c r="A47" s="2614"/>
      <c r="C47" s="362">
        <f t="shared" si="0"/>
        <v>0</v>
      </c>
      <c r="D47" s="362">
        <f t="shared" si="1"/>
        <v>0</v>
      </c>
      <c r="E47" s="362"/>
      <c r="F47" s="2616"/>
    </row>
    <row r="48" spans="1:6" hidden="1">
      <c r="A48" s="2614"/>
      <c r="C48" s="362">
        <f t="shared" si="0"/>
        <v>0</v>
      </c>
      <c r="D48" s="362">
        <f t="shared" si="1"/>
        <v>0</v>
      </c>
      <c r="E48" s="362"/>
      <c r="F48" s="2616"/>
    </row>
    <row r="49" spans="1:6" hidden="1">
      <c r="A49" s="2614"/>
      <c r="C49" s="362">
        <f t="shared" si="0"/>
        <v>0</v>
      </c>
      <c r="D49" s="362">
        <f t="shared" si="1"/>
        <v>0</v>
      </c>
      <c r="E49" s="362"/>
      <c r="F49" s="2616"/>
    </row>
    <row r="50" spans="1:6" hidden="1">
      <c r="A50" s="2614"/>
      <c r="C50" s="362">
        <f t="shared" si="0"/>
        <v>0</v>
      </c>
      <c r="D50" s="362">
        <f t="shared" si="1"/>
        <v>0</v>
      </c>
      <c r="E50" s="362"/>
      <c r="F50" s="2616"/>
    </row>
    <row r="51" spans="1:6" hidden="1">
      <c r="A51" s="2614"/>
      <c r="C51" s="362">
        <f t="shared" si="0"/>
        <v>0</v>
      </c>
      <c r="D51" s="362">
        <f t="shared" si="1"/>
        <v>0</v>
      </c>
      <c r="E51" s="362"/>
      <c r="F51" s="2616"/>
    </row>
    <row r="52" spans="1:6" hidden="1">
      <c r="A52" s="2614"/>
      <c r="C52" s="362">
        <f t="shared" si="0"/>
        <v>0</v>
      </c>
      <c r="D52" s="362">
        <f t="shared" si="1"/>
        <v>0</v>
      </c>
      <c r="E52" s="362"/>
      <c r="F52" s="2616"/>
    </row>
    <row r="53" spans="1:6" hidden="1">
      <c r="A53" s="2614"/>
      <c r="C53" s="362">
        <f t="shared" si="0"/>
        <v>0</v>
      </c>
      <c r="D53" s="362">
        <f t="shared" si="1"/>
        <v>0</v>
      </c>
      <c r="E53" s="362"/>
      <c r="F53" s="2616"/>
    </row>
    <row r="54" spans="1:6" hidden="1">
      <c r="A54" s="2614"/>
      <c r="C54" s="362">
        <f t="shared" si="0"/>
        <v>0</v>
      </c>
      <c r="D54" s="362">
        <f t="shared" si="1"/>
        <v>0</v>
      </c>
      <c r="E54" s="362"/>
      <c r="F54" s="2616"/>
    </row>
    <row r="55" spans="1:6" hidden="1">
      <c r="A55" s="2614"/>
      <c r="C55" s="362">
        <f t="shared" si="0"/>
        <v>0</v>
      </c>
      <c r="D55" s="362">
        <f t="shared" si="1"/>
        <v>0</v>
      </c>
      <c r="E55" s="362"/>
      <c r="F55" s="2616"/>
    </row>
    <row r="56" spans="1:6" hidden="1">
      <c r="A56" s="2614"/>
      <c r="C56" s="362">
        <f>F56/11</f>
        <v>0</v>
      </c>
      <c r="D56" s="362">
        <f>F56-C56</f>
        <v>0</v>
      </c>
      <c r="E56" s="362"/>
      <c r="F56" s="2616"/>
    </row>
    <row r="57" spans="1:6" hidden="1">
      <c r="A57" s="2614"/>
      <c r="C57" s="362">
        <f>F57/11</f>
        <v>0</v>
      </c>
      <c r="D57" s="362">
        <f>F57-C57</f>
        <v>0</v>
      </c>
      <c r="E57" s="362"/>
      <c r="F57" s="2616"/>
    </row>
    <row r="58" spans="1:6" hidden="1">
      <c r="A58" s="2614"/>
      <c r="C58" s="362">
        <f>F58/11</f>
        <v>0</v>
      </c>
      <c r="D58" s="362">
        <f>F58-C58</f>
        <v>0</v>
      </c>
      <c r="E58" s="362"/>
      <c r="F58" s="2616"/>
    </row>
    <row r="59" spans="1:6" hidden="1">
      <c r="A59" s="2614"/>
      <c r="C59" s="362">
        <f>F59/11</f>
        <v>0</v>
      </c>
      <c r="D59" s="362">
        <f>F59-C59</f>
        <v>0</v>
      </c>
      <c r="E59" s="362"/>
      <c r="F59" s="2616"/>
    </row>
    <row r="60" spans="1:6" hidden="1">
      <c r="A60" s="2614"/>
      <c r="C60" s="362">
        <f t="shared" si="0"/>
        <v>0</v>
      </c>
      <c r="D60" s="362">
        <f t="shared" si="1"/>
        <v>0</v>
      </c>
      <c r="E60" s="362"/>
      <c r="F60" s="2616"/>
    </row>
    <row r="61" spans="1:6" hidden="1">
      <c r="A61" s="2614"/>
      <c r="C61" s="362">
        <f t="shared" si="0"/>
        <v>0</v>
      </c>
      <c r="D61" s="362">
        <f t="shared" si="1"/>
        <v>0</v>
      </c>
      <c r="E61" s="362"/>
      <c r="F61" s="2616"/>
    </row>
    <row r="62" spans="1:6" hidden="1">
      <c r="A62" s="2614"/>
      <c r="C62" s="362">
        <f t="shared" si="0"/>
        <v>0</v>
      </c>
      <c r="D62" s="362">
        <f t="shared" si="1"/>
        <v>0</v>
      </c>
      <c r="E62" s="362"/>
      <c r="F62" s="2616"/>
    </row>
    <row r="63" spans="1:6" hidden="1">
      <c r="A63" s="2614"/>
      <c r="C63" s="362">
        <f t="shared" si="0"/>
        <v>0</v>
      </c>
      <c r="D63" s="362">
        <f t="shared" si="1"/>
        <v>0</v>
      </c>
      <c r="E63" s="362"/>
      <c r="F63" s="2616"/>
    </row>
    <row r="64" spans="1:6" hidden="1">
      <c r="A64" s="2614"/>
      <c r="C64" s="362">
        <f t="shared" si="0"/>
        <v>0</v>
      </c>
      <c r="D64" s="362">
        <f t="shared" si="1"/>
        <v>0</v>
      </c>
      <c r="E64" s="362"/>
      <c r="F64" s="2616"/>
    </row>
    <row r="65" spans="1:6" hidden="1">
      <c r="A65" s="2614"/>
      <c r="C65" s="362">
        <f t="shared" si="0"/>
        <v>0</v>
      </c>
      <c r="D65" s="362">
        <f t="shared" si="1"/>
        <v>0</v>
      </c>
      <c r="E65" s="362"/>
      <c r="F65" s="2616"/>
    </row>
    <row r="66" spans="1:6" ht="13.5" thickBot="1">
      <c r="A66" s="3" t="s">
        <v>1110</v>
      </c>
      <c r="C66" s="358">
        <f>SUM(C14:C65)</f>
        <v>0</v>
      </c>
      <c r="D66" s="358">
        <f>SUM(D14:D65)</f>
        <v>0</v>
      </c>
      <c r="E66" s="357"/>
      <c r="F66" s="358">
        <f>SUM(F14:F65)</f>
        <v>0</v>
      </c>
    </row>
    <row r="67" spans="1:6" ht="13.5" thickTop="1"/>
  </sheetData>
  <customSheetViews>
    <customSheetView guid="{BCBE45D4-3C45-4659-992E-5C5D3E9FD81C}" fitToPage="1" hiddenColumns="1" topLeftCell="A7">
      <selection activeCell="M33" sqref="M33"/>
      <pageMargins left="0.59055118110236227" right="0.43307086614173229" top="0.6692913385826772" bottom="0.94488188976377963" header="0.51181102362204722" footer="0.39370078740157483"/>
      <printOptions horizontalCentered="1"/>
      <pageSetup paperSize="9" scale="96"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topLeftCell="A25">
      <selection activeCell="K41" sqref="K41:K42"/>
      <pageMargins left="0.59055118110236227" right="0.43307086614173229" top="0.6692913385826772" bottom="0.94488188976377963" header="0.51181102362204722" footer="0.39370078740157483"/>
      <printOptions horizontalCentered="1"/>
      <pageSetup paperSize="9" scale="96" fitToHeight="999" orientation="portrait" blackAndWhite="1" r:id="rId2"/>
      <headerFooter alignWithMargins="0">
        <oddFooter>&amp;L&amp;8Copyright Crowe Horwath (Aust) Pty Ltd 2016.  All rights reserved.
&amp;Z&amp;F[&amp;A]&amp;R&amp;8&amp;P/&amp;N</oddFooter>
      </headerFooter>
    </customSheetView>
  </customSheetViews>
  <mergeCells count="1">
    <mergeCell ref="A8:F8"/>
  </mergeCells>
  <phoneticPr fontId="26" type="noConversion"/>
  <hyperlinks>
    <hyperlink ref="F9" location="'WPIndex'!A1" display="Back to Workpaper Index" xr:uid="{A8D8C4D2-C58E-4AB9-A0E4-ACAAA1D6A6B1}"/>
  </hyperlinks>
  <printOptions horizontalCentered="1"/>
  <pageMargins left="0.59055118110236227" right="0.43307086614173229" top="0.6692913385826772" bottom="0.94488188976377963" header="0.51181102362204722" footer="0.39370078740157483"/>
  <pageSetup paperSize="9" scale="94" fitToHeight="999" orientation="portrait" r:id="rId3"/>
  <headerFooter alignWithMargins="0">
    <oddFooter>&amp;L&amp;8© Findex (Aust) Pty Ltd.  All rights reserved.&amp;R&amp;8&amp;P/&amp;N</oddFooter>
  </headerFooter>
  <drawing r:id="rId4"/>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ank_Rec_Sheet">
    <tabColor theme="8" tint="0.79998168889431442"/>
  </sheetPr>
  <dimension ref="A1:J49"/>
  <sheetViews>
    <sheetView zoomScaleNormal="100" workbookViewId="0">
      <selection sqref="A1:F1"/>
    </sheetView>
  </sheetViews>
  <sheetFormatPr defaultColWidth="9.140625" defaultRowHeight="12.75"/>
  <cols>
    <col min="1" max="1" width="12.85546875" style="1" customWidth="1"/>
    <col min="2" max="3" width="12.140625" style="1" customWidth="1"/>
    <col min="4" max="5" width="11.5703125" style="1" customWidth="1"/>
    <col min="6" max="6" width="11.7109375" style="1" customWidth="1"/>
    <col min="7" max="7" width="3.42578125" style="1" customWidth="1"/>
    <col min="8" max="8" width="13.5703125" style="1" customWidth="1"/>
    <col min="9" max="9" width="14.140625" style="1" customWidth="1"/>
    <col min="10" max="10" width="8.28515625" style="1" hidden="1" customWidth="1"/>
    <col min="11" max="16384" width="9.140625" style="1"/>
  </cols>
  <sheetData>
    <row r="1" spans="1:10">
      <c r="H1" s="2613" t="s">
        <v>2425</v>
      </c>
      <c r="I1" s="3576" t="s">
        <v>2758</v>
      </c>
    </row>
    <row r="2" spans="1:10" ht="18" customHeight="1">
      <c r="A2" s="740"/>
      <c r="B2" s="740"/>
      <c r="C2" s="206"/>
      <c r="D2" s="40"/>
      <c r="E2" s="40"/>
      <c r="F2" s="40"/>
      <c r="G2" s="40"/>
      <c r="H2" s="71" t="s">
        <v>2426</v>
      </c>
      <c r="I2" s="2621"/>
    </row>
    <row r="3" spans="1:10" ht="18" customHeight="1">
      <c r="A3" s="740"/>
      <c r="B3" s="740"/>
      <c r="C3" s="2609"/>
      <c r="D3" s="40"/>
      <c r="E3" s="40"/>
      <c r="F3" s="40"/>
      <c r="G3" s="40"/>
      <c r="H3" s="40"/>
    </row>
    <row r="4" spans="1:10" s="32" customFormat="1">
      <c r="A4" s="206"/>
      <c r="G4" s="11"/>
      <c r="H4" s="11" t="s">
        <v>1163</v>
      </c>
      <c r="I4" s="709" t="s">
        <v>1262</v>
      </c>
    </row>
    <row r="5" spans="1:10" s="32" customFormat="1" ht="17.25" customHeight="1">
      <c r="A5" s="206"/>
      <c r="G5" s="71" t="s">
        <v>332</v>
      </c>
      <c r="H5" s="2617" t="str">
        <f>IF(PreparedBy="","",PreparedBy)</f>
        <v/>
      </c>
      <c r="I5" s="2618" t="str">
        <f>IF(DatePrepared="","",DatePrepared)</f>
        <v/>
      </c>
    </row>
    <row r="6" spans="1:10" s="32" customFormat="1" ht="17.25" customHeight="1">
      <c r="A6" s="206"/>
      <c r="G6" s="71" t="s">
        <v>333</v>
      </c>
      <c r="H6" s="2619"/>
      <c r="I6" s="2620"/>
    </row>
    <row r="7" spans="1:10" s="32" customFormat="1" ht="15.75">
      <c r="A7" s="206"/>
      <c r="B7" s="43"/>
      <c r="C7" s="43"/>
      <c r="D7" s="43"/>
      <c r="E7" s="43"/>
      <c r="F7" s="43"/>
      <c r="G7" s="43"/>
    </row>
    <row r="8" spans="1:10" ht="15.75">
      <c r="A8" s="3704" t="str">
        <f>WP_Bank_Reconciliation</f>
        <v>Cash at Bank - Bank Reconciliation</v>
      </c>
      <c r="B8" s="3705"/>
      <c r="C8" s="3705"/>
      <c r="D8" s="3705"/>
      <c r="E8" s="3705"/>
      <c r="F8" s="3705"/>
      <c r="G8" s="3705"/>
      <c r="H8" s="3705"/>
      <c r="I8" s="3706"/>
    </row>
    <row r="9" spans="1:10" s="37" customFormat="1">
      <c r="H9" s="3882" t="s">
        <v>2526</v>
      </c>
      <c r="I9" s="3882"/>
      <c r="J9" s="1"/>
    </row>
    <row r="10" spans="1:10" s="37" customFormat="1" ht="15.75">
      <c r="A10" s="222" t="str">
        <f>"CLIENT NAME:   "&amp;'WP Index'!E3</f>
        <v>CLIENT NAME:   Example Trust</v>
      </c>
      <c r="D10" s="13"/>
      <c r="E10" s="13"/>
      <c r="F10" s="13"/>
      <c r="G10" s="13"/>
      <c r="J10" s="1"/>
    </row>
    <row r="11" spans="1:10" s="37" customFormat="1">
      <c r="A11" s="9" t="str">
        <f>"CLIENT CODE:   "&amp;'WP Index'!E4</f>
        <v>CLIENT CODE:   99999</v>
      </c>
      <c r="D11" s="41"/>
      <c r="E11" s="41"/>
      <c r="F11" s="41"/>
      <c r="G11" s="41"/>
      <c r="H11" s="47" t="s">
        <v>951</v>
      </c>
      <c r="I11" s="47">
        <f>'WP Index'!G5</f>
        <v>45473</v>
      </c>
      <c r="J11" s="1"/>
    </row>
    <row r="12" spans="1:10" s="37" customFormat="1">
      <c r="J12" s="6" t="s">
        <v>1286</v>
      </c>
    </row>
    <row r="13" spans="1:10">
      <c r="A13" s="3" t="s">
        <v>1334</v>
      </c>
      <c r="C13" s="42">
        <f>I11</f>
        <v>45473</v>
      </c>
    </row>
    <row r="14" spans="1:10" s="37" customFormat="1">
      <c r="J14" s="1"/>
    </row>
    <row r="15" spans="1:10">
      <c r="A15" s="1" t="s">
        <v>510</v>
      </c>
      <c r="C15" s="3884"/>
      <c r="D15" s="3830"/>
      <c r="E15" s="3830"/>
      <c r="F15" s="3830"/>
      <c r="G15" s="3830"/>
      <c r="H15" s="3830"/>
      <c r="I15" s="3831"/>
    </row>
    <row r="16" spans="1:10">
      <c r="A16" s="1" t="s">
        <v>509</v>
      </c>
      <c r="C16" s="3796"/>
      <c r="D16" s="3797"/>
      <c r="E16" s="3797"/>
      <c r="F16" s="3797"/>
      <c r="G16" s="3797"/>
      <c r="H16" s="3797"/>
      <c r="I16" s="3798"/>
    </row>
    <row r="17" spans="1:9">
      <c r="I17" s="14"/>
    </row>
    <row r="18" spans="1:9">
      <c r="A18" s="22" t="s">
        <v>1222</v>
      </c>
      <c r="I18" s="14"/>
    </row>
    <row r="19" spans="1:9">
      <c r="A19" s="1" t="s">
        <v>511</v>
      </c>
      <c r="I19" s="2678"/>
    </row>
    <row r="20" spans="1:9">
      <c r="A20" s="1" t="s">
        <v>512</v>
      </c>
      <c r="I20" s="2682"/>
    </row>
    <row r="21" spans="1:9">
      <c r="I21" s="1793">
        <f>SUM(I19:I20)</f>
        <v>0</v>
      </c>
    </row>
    <row r="22" spans="1:9">
      <c r="A22" s="1" t="s">
        <v>513</v>
      </c>
      <c r="I22" s="2616"/>
    </row>
    <row r="23" spans="1:9" ht="13.5" thickBot="1">
      <c r="A23" s="1" t="s">
        <v>1221</v>
      </c>
      <c r="I23" s="358">
        <f>SUM(I21:I22)</f>
        <v>0</v>
      </c>
    </row>
    <row r="24" spans="1:9" ht="13.5" thickTop="1">
      <c r="I24" s="362"/>
    </row>
    <row r="25" spans="1:9">
      <c r="I25" s="362"/>
    </row>
    <row r="26" spans="1:9">
      <c r="A26" s="22" t="s">
        <v>1223</v>
      </c>
      <c r="I26" s="362"/>
    </row>
    <row r="27" spans="1:9">
      <c r="A27" s="1" t="s">
        <v>1224</v>
      </c>
      <c r="I27" s="2616">
        <v>0</v>
      </c>
    </row>
    <row r="28" spans="1:9">
      <c r="A28" s="1" t="s">
        <v>1225</v>
      </c>
      <c r="I28" s="396">
        <f>-SUM(B38:B46,E38:E46)</f>
        <v>0</v>
      </c>
    </row>
    <row r="29" spans="1:9">
      <c r="I29" s="362">
        <f>SUM(I27:I28)</f>
        <v>0</v>
      </c>
    </row>
    <row r="30" spans="1:9">
      <c r="A30" s="1" t="s">
        <v>1143</v>
      </c>
      <c r="I30" s="362">
        <f>SUM(I38:I46)</f>
        <v>0</v>
      </c>
    </row>
    <row r="31" spans="1:9" ht="13.5" thickBot="1">
      <c r="A31" s="1" t="s">
        <v>1144</v>
      </c>
      <c r="I31" s="358">
        <f>SUM(I29:I30)</f>
        <v>0</v>
      </c>
    </row>
    <row r="32" spans="1:9" ht="13.5" thickTop="1">
      <c r="I32" s="14"/>
    </row>
    <row r="33" spans="1:9" ht="13.5" thickBot="1">
      <c r="A33" s="22" t="s">
        <v>2624</v>
      </c>
      <c r="I33" s="358">
        <f>I23-I31</f>
        <v>0</v>
      </c>
    </row>
    <row r="34" spans="1:9" ht="13.5" thickTop="1">
      <c r="I34" s="14"/>
    </row>
    <row r="35" spans="1:9">
      <c r="I35" s="14"/>
    </row>
    <row r="36" spans="1:9">
      <c r="A36" s="3883" t="s">
        <v>985</v>
      </c>
      <c r="B36" s="3883"/>
      <c r="C36" s="3883"/>
      <c r="D36" s="3883"/>
      <c r="E36" s="3883"/>
      <c r="F36" s="3883"/>
      <c r="H36" s="3883" t="s">
        <v>987</v>
      </c>
      <c r="I36" s="3883"/>
    </row>
    <row r="37" spans="1:9">
      <c r="A37" s="10" t="s">
        <v>986</v>
      </c>
      <c r="B37" s="10" t="s">
        <v>966</v>
      </c>
      <c r="C37" s="10" t="s">
        <v>989</v>
      </c>
      <c r="D37" s="10" t="s">
        <v>986</v>
      </c>
      <c r="E37" s="10" t="s">
        <v>966</v>
      </c>
      <c r="F37" s="10" t="s">
        <v>989</v>
      </c>
      <c r="H37" s="10" t="s">
        <v>1262</v>
      </c>
      <c r="I37" s="10" t="s">
        <v>966</v>
      </c>
    </row>
    <row r="38" spans="1:9">
      <c r="A38" s="2718"/>
      <c r="B38" s="2719"/>
      <c r="C38" s="2720"/>
      <c r="D38" s="2718"/>
      <c r="E38" s="2719"/>
      <c r="F38" s="2720"/>
      <c r="G38" s="933"/>
      <c r="H38" s="2727"/>
      <c r="I38" s="2719"/>
    </row>
    <row r="39" spans="1:9">
      <c r="A39" s="2721"/>
      <c r="B39" s="2722"/>
      <c r="C39" s="2723"/>
      <c r="D39" s="2721"/>
      <c r="E39" s="2722"/>
      <c r="F39" s="2723"/>
      <c r="G39" s="933"/>
      <c r="H39" s="2728"/>
      <c r="I39" s="2722"/>
    </row>
    <row r="40" spans="1:9">
      <c r="A40" s="2721"/>
      <c r="B40" s="2722"/>
      <c r="C40" s="2723"/>
      <c r="D40" s="2721"/>
      <c r="E40" s="2722"/>
      <c r="F40" s="2723"/>
      <c r="G40" s="933"/>
      <c r="H40" s="2728"/>
      <c r="I40" s="2722"/>
    </row>
    <row r="41" spans="1:9">
      <c r="A41" s="2721"/>
      <c r="B41" s="2722"/>
      <c r="C41" s="2723"/>
      <c r="D41" s="2721"/>
      <c r="E41" s="2722"/>
      <c r="F41" s="2723"/>
      <c r="G41" s="933"/>
      <c r="H41" s="2728"/>
      <c r="I41" s="2722"/>
    </row>
    <row r="42" spans="1:9">
      <c r="A42" s="2721"/>
      <c r="B42" s="2722"/>
      <c r="C42" s="2723"/>
      <c r="D42" s="2721"/>
      <c r="E42" s="2722"/>
      <c r="F42" s="2723"/>
      <c r="G42" s="933"/>
      <c r="H42" s="2728"/>
      <c r="I42" s="2722"/>
    </row>
    <row r="43" spans="1:9">
      <c r="A43" s="2721"/>
      <c r="B43" s="2722"/>
      <c r="C43" s="2723"/>
      <c r="D43" s="2721"/>
      <c r="E43" s="2722"/>
      <c r="F43" s="2723"/>
      <c r="G43" s="933"/>
      <c r="H43" s="2728"/>
      <c r="I43" s="2722"/>
    </row>
    <row r="44" spans="1:9">
      <c r="A44" s="2721"/>
      <c r="B44" s="2722"/>
      <c r="C44" s="2723"/>
      <c r="D44" s="2721"/>
      <c r="E44" s="2722"/>
      <c r="F44" s="2723"/>
      <c r="G44" s="933"/>
      <c r="H44" s="2728"/>
      <c r="I44" s="2722"/>
    </row>
    <row r="45" spans="1:9">
      <c r="A45" s="2721"/>
      <c r="B45" s="2722"/>
      <c r="C45" s="2723"/>
      <c r="D45" s="2721"/>
      <c r="E45" s="2722"/>
      <c r="F45" s="2723"/>
      <c r="G45" s="933"/>
      <c r="H45" s="2728"/>
      <c r="I45" s="2722"/>
    </row>
    <row r="46" spans="1:9">
      <c r="A46" s="2724"/>
      <c r="B46" s="2725"/>
      <c r="C46" s="2726"/>
      <c r="D46" s="2724"/>
      <c r="E46" s="2725"/>
      <c r="F46" s="2726"/>
      <c r="G46" s="933"/>
      <c r="H46" s="2729"/>
      <c r="I46" s="2725"/>
    </row>
    <row r="48" spans="1:9">
      <c r="A48" s="3" t="s">
        <v>172</v>
      </c>
    </row>
    <row r="49" spans="1:9" ht="72.75" customHeight="1">
      <c r="A49" s="3742"/>
      <c r="B49" s="3743"/>
      <c r="C49" s="3743"/>
      <c r="D49" s="3743"/>
      <c r="E49" s="3743"/>
      <c r="F49" s="3743"/>
      <c r="G49" s="3743"/>
      <c r="H49" s="3743"/>
      <c r="I49" s="3744"/>
    </row>
  </sheetData>
  <customSheetViews>
    <customSheetView guid="{BCBE45D4-3C45-4659-992E-5C5D3E9FD81C}" fitToPage="1" hiddenColumns="1" topLeftCell="A13">
      <selection activeCell="N27" sqref="N27"/>
      <pageMargins left="0.59055118110236227" right="0.43307086614173229" top="0.6692913385826772" bottom="0.94488188976377963" header="0.51181102362204722" footer="0.39370078740157483"/>
      <printOptions horizontalCentered="1"/>
      <pageSetup paperSize="9" scale="93"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N27" sqref="N27"/>
      <pageMargins left="0.59055118110236227" right="0.43307086614173229" top="0.6692913385826772" bottom="0.94488188976377963" header="0.51181102362204722" footer="0.39370078740157483"/>
      <printOptions horizontalCentered="1"/>
      <pageSetup paperSize="9" scale="93" fitToHeight="999" orientation="portrait" blackAndWhite="1" r:id="rId2"/>
      <headerFooter alignWithMargins="0">
        <oddFooter>&amp;L&amp;8Copyright Crowe Horwath (Aust) Pty Ltd 2016.  All rights reserved.
&amp;Z&amp;F[&amp;A]&amp;R&amp;8&amp;P/&amp;N</oddFooter>
      </headerFooter>
    </customSheetView>
  </customSheetViews>
  <mergeCells count="7">
    <mergeCell ref="A49:I49"/>
    <mergeCell ref="H36:I36"/>
    <mergeCell ref="A36:F36"/>
    <mergeCell ref="A8:I8"/>
    <mergeCell ref="H9:I9"/>
    <mergeCell ref="C15:I15"/>
    <mergeCell ref="C16:I16"/>
  </mergeCells>
  <phoneticPr fontId="26" type="noConversion"/>
  <conditionalFormatting sqref="J157">
    <cfRule type="expression" dxfId="50" priority="2" stopIfTrue="1">
      <formula>SUM($157:$157)=0</formula>
    </cfRule>
  </conditionalFormatting>
  <conditionalFormatting sqref="I33">
    <cfRule type="cellIs" dxfId="49" priority="1" operator="notEqual">
      <formula>0</formula>
    </cfRule>
  </conditionalFormatting>
  <hyperlinks>
    <hyperlink ref="H9" location="'WP Index'!E94" display="Back to Workpaper Index" xr:uid="{7775EA20-B8EA-4936-98F9-09A0B614D83F}"/>
    <hyperlink ref="H9:I9" location="WPIndex!A1" display="Back to WP Index" xr:uid="{26F55546-6AF9-4DB1-8C8E-2A0E56656884}"/>
  </hyperlinks>
  <printOptions horizontalCentered="1"/>
  <pageMargins left="0.59055118110236227" right="0.43307086614173229" top="0.6692913385826772" bottom="0.94488188976377963" header="0.51181102362204722" footer="0.39370078740157483"/>
  <pageSetup paperSize="9" scale="91" fitToHeight="999" orientation="portrait" r:id="rId3"/>
  <headerFooter alignWithMargins="0">
    <oddFooter>&amp;L&amp;8© Findex (Aust) Pty Ltd.  All rights reserved.&amp;R&amp;8&amp;P/&amp;N</oddFooter>
  </headerFooter>
  <drawing r:id="rId4"/>
  <legacyDrawing r:id="rId5"/>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5B051-9BBC-4B34-B1F2-C06EC407F9EC}">
  <sheetPr codeName="Sheet6">
    <tabColor theme="8" tint="0.79998168889431442"/>
    <pageSetUpPr fitToPage="1"/>
  </sheetPr>
  <dimension ref="A1:BU128"/>
  <sheetViews>
    <sheetView zoomScaleNormal="100" workbookViewId="0">
      <selection sqref="A1:F1"/>
    </sheetView>
  </sheetViews>
  <sheetFormatPr defaultColWidth="8.85546875" defaultRowHeight="12.75"/>
  <cols>
    <col min="1" max="1" width="35" style="1603" customWidth="1"/>
    <col min="2" max="7" width="15.42578125" style="1603" customWidth="1"/>
    <col min="8" max="31" width="15.42578125" style="1603" hidden="1" customWidth="1"/>
    <col min="32" max="37" width="15.42578125" style="1603" customWidth="1"/>
    <col min="38" max="61" width="15.42578125" style="1603" hidden="1" customWidth="1"/>
    <col min="62" max="63" width="15.42578125" style="1603" customWidth="1"/>
    <col min="64" max="65" width="8.85546875" style="1603"/>
    <col min="66" max="67" width="12.42578125" style="1603" hidden="1" customWidth="1"/>
    <col min="68" max="16384" width="8.85546875" style="1603"/>
  </cols>
  <sheetData>
    <row r="1" spans="1:67">
      <c r="E1" s="2613" t="s">
        <v>2425</v>
      </c>
      <c r="F1" s="3576" t="s">
        <v>2758</v>
      </c>
    </row>
    <row r="2" spans="1:67" s="1768" customFormat="1" ht="18.75" customHeight="1">
      <c r="A2" s="1612"/>
      <c r="B2" s="1613"/>
      <c r="C2" s="1613"/>
      <c r="D2" s="1613"/>
      <c r="E2" s="71" t="s">
        <v>2426</v>
      </c>
      <c r="F2" s="2621"/>
      <c r="I2" s="1637"/>
      <c r="BN2" s="1615" t="s">
        <v>2185</v>
      </c>
    </row>
    <row r="3" spans="1:67" s="1768" customFormat="1" ht="18.75" customHeight="1">
      <c r="A3" s="1612"/>
      <c r="B3" s="1613"/>
      <c r="C3" s="1613"/>
      <c r="D3" s="1613"/>
      <c r="E3" s="1613"/>
      <c r="I3" s="1637"/>
      <c r="BN3" s="1615"/>
    </row>
    <row r="4" spans="1:67" s="1768" customFormat="1">
      <c r="A4" s="1612"/>
      <c r="D4" s="1616"/>
      <c r="E4" s="2731" t="s">
        <v>1163</v>
      </c>
      <c r="F4" s="2731" t="s">
        <v>1262</v>
      </c>
      <c r="I4" s="1608"/>
    </row>
    <row r="5" spans="1:67" s="1768" customFormat="1" ht="17.25" customHeight="1">
      <c r="A5" s="1612"/>
      <c r="D5" s="1617" t="s">
        <v>332</v>
      </c>
      <c r="E5" s="2617" t="str">
        <f>IF(PreparedBy="","",PreparedBy)</f>
        <v/>
      </c>
      <c r="F5" s="2630" t="str">
        <f>IF(DatePrepared="","",DatePrepared)</f>
        <v/>
      </c>
      <c r="I5" s="1608"/>
    </row>
    <row r="6" spans="1:67" s="1768" customFormat="1" ht="17.25" customHeight="1">
      <c r="A6" s="1612"/>
      <c r="D6" s="1617" t="s">
        <v>333</v>
      </c>
      <c r="E6" s="2632"/>
      <c r="F6" s="2631"/>
      <c r="I6" s="1608"/>
    </row>
    <row r="7" spans="1:67" s="1768" customFormat="1" ht="15.75">
      <c r="A7" s="1612"/>
      <c r="B7" s="1613"/>
      <c r="C7" s="1613"/>
      <c r="D7" s="1613"/>
      <c r="E7" s="1613"/>
      <c r="F7" s="1613"/>
      <c r="I7" s="1608"/>
    </row>
    <row r="8" spans="1:67" s="1768" customFormat="1" ht="15.75">
      <c r="A8" s="3865"/>
      <c r="B8" s="3866"/>
      <c r="C8" s="3866"/>
      <c r="D8" s="3866"/>
      <c r="E8" s="3866"/>
      <c r="F8" s="3866"/>
      <c r="I8" s="1637"/>
      <c r="BN8" s="1768">
        <v>1</v>
      </c>
      <c r="BO8" s="1479" t="s">
        <v>2186</v>
      </c>
    </row>
    <row r="9" spans="1:67" s="1768" customFormat="1">
      <c r="B9" s="1769"/>
      <c r="C9" s="1769"/>
      <c r="D9" s="1769"/>
      <c r="E9" s="1769"/>
      <c r="F9" s="3248" t="s">
        <v>2526</v>
      </c>
      <c r="I9" s="1637"/>
      <c r="BO9" s="2250" t="s">
        <v>440</v>
      </c>
    </row>
    <row r="10" spans="1:67" s="1768" customFormat="1" ht="15.75">
      <c r="A10" s="1771" t="str">
        <f>"CLIENT NAME:   "&amp;IF(ClientName="[ENTER CLIENT NAME]","",ClientName)</f>
        <v>CLIENT NAME:   Example Trust</v>
      </c>
      <c r="B10" s="1769"/>
      <c r="C10" s="1769"/>
      <c r="D10" s="1769"/>
      <c r="E10" s="1769"/>
      <c r="F10" s="1769"/>
      <c r="I10" s="1637"/>
      <c r="BO10" s="2228" t="s">
        <v>441</v>
      </c>
    </row>
    <row r="11" spans="1:67" s="1768" customFormat="1">
      <c r="A11" s="1772" t="str">
        <f>"CLIENT CODE:   "&amp;'WP Index'!E4</f>
        <v>CLIENT CODE:   99999</v>
      </c>
      <c r="B11" s="1769"/>
      <c r="C11" s="1769"/>
      <c r="D11" s="1769"/>
      <c r="E11" s="1622" t="s">
        <v>951</v>
      </c>
      <c r="F11" s="1773">
        <f>'Input Info'!F8</f>
        <v>45473</v>
      </c>
      <c r="I11" s="1637"/>
    </row>
    <row r="13" spans="1:67" s="1614" customFormat="1">
      <c r="A13" s="1666" t="s">
        <v>1334</v>
      </c>
      <c r="C13" s="2184">
        <f>F11</f>
        <v>45473</v>
      </c>
    </row>
    <row r="14" spans="1:67" s="2177" customFormat="1">
      <c r="J14" s="1614"/>
      <c r="K14" s="1614"/>
      <c r="L14" s="1614"/>
      <c r="M14" s="1614"/>
      <c r="N14" s="1614"/>
      <c r="O14" s="1614"/>
      <c r="P14" s="1614"/>
      <c r="Q14" s="1614"/>
      <c r="R14" s="1614"/>
      <c r="S14" s="1614"/>
      <c r="T14" s="1614"/>
      <c r="U14" s="1614"/>
      <c r="V14" s="1614"/>
      <c r="W14" s="1614"/>
      <c r="X14" s="1614"/>
      <c r="Y14" s="1614"/>
      <c r="Z14" s="1614"/>
      <c r="AA14" s="1614"/>
    </row>
    <row r="15" spans="1:67" s="1479" customFormat="1">
      <c r="A15" s="1479" t="s">
        <v>510</v>
      </c>
      <c r="B15" s="3886"/>
      <c r="C15" s="3886"/>
      <c r="D15" s="3886"/>
      <c r="E15" s="3886"/>
      <c r="F15" s="3886"/>
      <c r="G15" s="2177"/>
      <c r="AE15" s="2177"/>
      <c r="AF15" s="1614"/>
      <c r="AG15" s="1614"/>
      <c r="AH15" s="1614"/>
    </row>
    <row r="16" spans="1:67" s="1479" customFormat="1">
      <c r="A16" s="1479" t="s">
        <v>509</v>
      </c>
      <c r="B16" s="3887"/>
      <c r="C16" s="3887"/>
      <c r="D16" s="3887"/>
      <c r="E16" s="3887"/>
      <c r="F16" s="3887"/>
      <c r="G16" s="2177"/>
      <c r="AE16" s="2177"/>
      <c r="AF16" s="1614"/>
      <c r="AG16" s="1614"/>
      <c r="AH16" s="1614"/>
    </row>
    <row r="17" spans="1:36" s="1479" customFormat="1">
      <c r="H17" s="37"/>
      <c r="I17" s="37"/>
      <c r="J17" s="37"/>
      <c r="K17" s="37"/>
      <c r="L17" s="37"/>
      <c r="M17" s="37"/>
      <c r="N17" s="37"/>
      <c r="O17" s="37"/>
      <c r="P17" s="37"/>
      <c r="Q17" s="37"/>
      <c r="R17" s="37"/>
      <c r="S17" s="37"/>
      <c r="T17" s="37"/>
      <c r="U17" s="37"/>
      <c r="V17" s="37"/>
      <c r="W17" s="37"/>
      <c r="X17" s="37"/>
      <c r="Y17" s="37"/>
      <c r="Z17" s="37"/>
      <c r="AA17" s="37"/>
      <c r="AE17" s="2177"/>
      <c r="AF17" s="1614"/>
      <c r="AG17" s="1614"/>
      <c r="AH17" s="1614"/>
    </row>
    <row r="18" spans="1:36" s="1479" customFormat="1">
      <c r="J18" s="124"/>
      <c r="K18" s="124"/>
      <c r="L18" s="124"/>
      <c r="M18" s="124"/>
      <c r="N18" s="124"/>
      <c r="O18" s="124"/>
      <c r="P18" s="124"/>
      <c r="Q18" s="124"/>
      <c r="R18" s="124"/>
      <c r="S18" s="124"/>
      <c r="T18" s="124"/>
      <c r="U18" s="124"/>
      <c r="V18" s="124"/>
      <c r="W18" s="124"/>
      <c r="X18" s="124"/>
      <c r="Y18" s="124"/>
      <c r="Z18" s="124"/>
      <c r="AA18" s="124"/>
      <c r="AE18" s="1614"/>
      <c r="AF18" s="1614"/>
      <c r="AG18" s="1614"/>
      <c r="AH18" s="1614"/>
    </row>
    <row r="19" spans="1:36" s="1479" customFormat="1" ht="15.75" customHeight="1">
      <c r="A19" s="3888" t="s">
        <v>2173</v>
      </c>
      <c r="B19" s="3888"/>
      <c r="C19" s="3888"/>
      <c r="D19" s="3888"/>
      <c r="E19" s="3888"/>
      <c r="F19" s="3888"/>
      <c r="G19" s="1613"/>
      <c r="H19" s="1613"/>
      <c r="J19" s="1614"/>
      <c r="K19" s="1614"/>
      <c r="L19" s="1614"/>
      <c r="M19" s="1614"/>
      <c r="N19" s="1614"/>
      <c r="O19" s="1614"/>
      <c r="P19" s="1614"/>
      <c r="Q19" s="1614"/>
      <c r="R19" s="1614"/>
      <c r="S19" s="1614"/>
      <c r="T19" s="1614"/>
      <c r="U19" s="1614"/>
      <c r="V19" s="1614"/>
      <c r="W19" s="1614"/>
      <c r="X19" s="1614"/>
      <c r="Y19" s="1614"/>
      <c r="Z19" s="1614"/>
      <c r="AA19" s="1614"/>
      <c r="AE19" s="23"/>
    </row>
    <row r="20" spans="1:36" s="1479" customFormat="1" ht="15.75" customHeight="1">
      <c r="A20" s="23"/>
      <c r="D20" s="23"/>
      <c r="J20" s="1614"/>
      <c r="K20" s="1614"/>
      <c r="L20" s="1614"/>
      <c r="M20" s="1614"/>
      <c r="N20" s="1614"/>
      <c r="O20" s="1614"/>
      <c r="P20" s="1614"/>
      <c r="Q20" s="1614"/>
      <c r="R20" s="1614"/>
      <c r="S20" s="1614"/>
      <c r="T20" s="1614"/>
      <c r="U20" s="1614"/>
      <c r="V20" s="1614"/>
      <c r="W20" s="1614"/>
      <c r="X20" s="1614"/>
      <c r="Y20" s="1614"/>
      <c r="Z20" s="1614"/>
      <c r="AA20" s="1614"/>
      <c r="AE20" s="23"/>
    </row>
    <row r="21" spans="1:36" s="1479" customFormat="1" ht="15.75" customHeight="1">
      <c r="A21" s="22" t="s">
        <v>2152</v>
      </c>
      <c r="D21" s="22" t="s">
        <v>2153</v>
      </c>
      <c r="AE21" s="23"/>
    </row>
    <row r="22" spans="1:36" s="1479" customFormat="1" ht="15.75" customHeight="1">
      <c r="A22" s="22"/>
      <c r="D22" s="22"/>
      <c r="AE22" s="23"/>
    </row>
    <row r="23" spans="1:36" s="1479" customFormat="1" ht="15.75" customHeight="1">
      <c r="A23" s="2178" t="s">
        <v>2154</v>
      </c>
      <c r="D23" s="2178"/>
      <c r="AE23" s="23"/>
    </row>
    <row r="24" spans="1:36" s="1479" customFormat="1" ht="15.75" customHeight="1">
      <c r="A24" s="2197" t="s">
        <v>2155</v>
      </c>
      <c r="B24" s="2733">
        <v>0</v>
      </c>
      <c r="D24" s="2200" t="s">
        <v>2156</v>
      </c>
      <c r="F24" s="2180">
        <f>B30</f>
        <v>0</v>
      </c>
      <c r="AE24" s="23"/>
    </row>
    <row r="25" spans="1:36" s="1479" customFormat="1" ht="15.75" customHeight="1">
      <c r="A25" s="2198" t="s">
        <v>2165</v>
      </c>
      <c r="B25" s="2180">
        <f>SUM(B51:AE51)</f>
        <v>0</v>
      </c>
      <c r="D25" s="2200" t="s">
        <v>2157</v>
      </c>
      <c r="F25" s="2733"/>
      <c r="AE25" s="23"/>
    </row>
    <row r="26" spans="1:36" s="1479" customFormat="1" ht="15.75" customHeight="1">
      <c r="A26" s="2198" t="s">
        <v>2166</v>
      </c>
      <c r="B26" s="2180">
        <f>-SUM(AF51:BI51)</f>
        <v>0</v>
      </c>
      <c r="D26" s="2200" t="s">
        <v>2158</v>
      </c>
      <c r="F26" s="2181">
        <f>F24-F25</f>
        <v>0</v>
      </c>
      <c r="AE26" s="23"/>
    </row>
    <row r="27" spans="1:36" s="1479" customFormat="1" ht="15.75" customHeight="1">
      <c r="A27" s="2197" t="s">
        <v>2159</v>
      </c>
      <c r="B27" s="2180">
        <f>SUM(B24:B26)</f>
        <v>0</v>
      </c>
      <c r="I27" s="1614"/>
      <c r="AE27" s="23"/>
      <c r="AJ27" s="2185"/>
    </row>
    <row r="28" spans="1:36" s="1479" customFormat="1" ht="15.75" customHeight="1">
      <c r="A28" s="2197"/>
      <c r="B28" s="2180"/>
      <c r="I28" s="1614"/>
      <c r="AE28" s="23"/>
      <c r="AJ28" s="2185"/>
    </row>
    <row r="29" spans="1:36" s="1479" customFormat="1" ht="15.75" customHeight="1">
      <c r="A29" s="2178" t="s">
        <v>2160</v>
      </c>
      <c r="B29" s="2180"/>
      <c r="J29" s="1614"/>
      <c r="K29" s="1614"/>
      <c r="L29" s="1614"/>
      <c r="M29" s="1614"/>
      <c r="N29" s="1614"/>
      <c r="O29" s="1614"/>
      <c r="P29" s="1614"/>
      <c r="Q29" s="1614"/>
      <c r="R29" s="1614"/>
      <c r="S29" s="1614"/>
      <c r="T29" s="1614"/>
      <c r="U29" s="1614"/>
      <c r="V29" s="1614"/>
      <c r="W29" s="1614"/>
      <c r="X29" s="1614"/>
      <c r="Y29" s="1614"/>
      <c r="Z29" s="1614"/>
      <c r="AA29" s="1614"/>
      <c r="AE29" s="23"/>
    </row>
    <row r="30" spans="1:36" s="1479" customFormat="1" ht="15.75" customHeight="1">
      <c r="A30" s="2197" t="s">
        <v>2161</v>
      </c>
      <c r="B30" s="2733"/>
      <c r="J30" s="1614"/>
      <c r="K30" s="1614"/>
      <c r="L30" s="1614"/>
      <c r="M30" s="1614"/>
      <c r="N30" s="1614"/>
      <c r="O30" s="1614"/>
      <c r="P30" s="1614"/>
      <c r="Q30" s="1614"/>
      <c r="R30" s="1614"/>
      <c r="S30" s="1614"/>
      <c r="T30" s="1614"/>
      <c r="U30" s="1614"/>
      <c r="V30" s="1614"/>
      <c r="W30" s="1614"/>
      <c r="X30" s="1614"/>
      <c r="Y30" s="1614"/>
      <c r="Z30" s="1614"/>
      <c r="AA30" s="1614"/>
      <c r="AE30" s="23"/>
    </row>
    <row r="31" spans="1:36" s="1479" customFormat="1" ht="15.75" customHeight="1">
      <c r="A31" s="2197" t="s">
        <v>2162</v>
      </c>
      <c r="B31" s="2181">
        <f>B27-B30</f>
        <v>0</v>
      </c>
      <c r="J31" s="1614"/>
      <c r="K31" s="1614"/>
      <c r="L31" s="1614"/>
      <c r="M31" s="1614"/>
      <c r="N31" s="1614"/>
      <c r="O31" s="1614"/>
      <c r="P31" s="1614"/>
      <c r="Q31" s="1614"/>
      <c r="R31" s="1614"/>
      <c r="S31" s="1614"/>
      <c r="T31" s="1614"/>
      <c r="U31" s="1614"/>
      <c r="V31" s="1614"/>
      <c r="W31" s="1614"/>
      <c r="X31" s="1614"/>
      <c r="Y31" s="1614"/>
      <c r="Z31" s="1614"/>
      <c r="AA31" s="1614"/>
      <c r="AE31" s="23"/>
    </row>
    <row r="32" spans="1:36" s="1479" customFormat="1" ht="15.75" customHeight="1">
      <c r="AE32" s="23"/>
    </row>
    <row r="33" spans="1:63" s="1479" customFormat="1" ht="15.75" customHeight="1">
      <c r="A33" s="3888" t="s">
        <v>2174</v>
      </c>
      <c r="B33" s="3888"/>
      <c r="C33" s="3888"/>
      <c r="D33" s="3888"/>
      <c r="E33" s="3888"/>
      <c r="F33" s="3888"/>
      <c r="J33" s="1614"/>
      <c r="K33" s="1614"/>
      <c r="L33" s="1614"/>
      <c r="M33" s="1614"/>
      <c r="N33" s="1614"/>
      <c r="O33" s="1614"/>
      <c r="P33" s="1614"/>
      <c r="Q33" s="1614"/>
      <c r="R33" s="1614"/>
      <c r="S33" s="1614"/>
      <c r="T33" s="1614"/>
      <c r="U33" s="1614"/>
      <c r="V33" s="1614"/>
      <c r="W33" s="1614"/>
      <c r="X33" s="1614"/>
      <c r="Y33" s="1614"/>
      <c r="Z33" s="1614"/>
      <c r="AA33" s="1614"/>
      <c r="AE33" s="23"/>
    </row>
    <row r="34" spans="1:63" s="1479" customFormat="1" ht="15.75" customHeight="1">
      <c r="A34" s="2221"/>
      <c r="B34" s="2221"/>
      <c r="C34" s="2221"/>
      <c r="D34" s="2221"/>
      <c r="E34" s="2221"/>
      <c r="F34" s="2221"/>
      <c r="G34" s="2221"/>
      <c r="H34" s="2221"/>
      <c r="I34" s="2221"/>
      <c r="J34" s="2221"/>
      <c r="K34" s="2221"/>
      <c r="L34" s="2221"/>
      <c r="M34" s="2221"/>
      <c r="N34" s="2221"/>
      <c r="O34" s="2221"/>
      <c r="P34" s="2221"/>
      <c r="Q34" s="2221"/>
      <c r="R34" s="2221"/>
      <c r="S34" s="2221"/>
      <c r="T34" s="2221"/>
      <c r="U34" s="2221"/>
      <c r="V34" s="2221"/>
      <c r="W34" s="2221"/>
      <c r="X34" s="2221"/>
      <c r="Y34" s="2221"/>
      <c r="Z34" s="2221"/>
      <c r="AA34" s="2221"/>
      <c r="AB34" s="2221"/>
      <c r="AC34" s="2221"/>
      <c r="AD34" s="2221"/>
      <c r="AE34" s="23"/>
    </row>
    <row r="35" spans="1:63" s="2230" customFormat="1" ht="15.75" customHeight="1">
      <c r="A35" s="2254" t="s">
        <v>2180</v>
      </c>
      <c r="B35" s="2230">
        <v>1</v>
      </c>
      <c r="C35" s="2231">
        <v>2</v>
      </c>
      <c r="D35" s="2230">
        <v>3</v>
      </c>
      <c r="E35" s="2231">
        <v>4</v>
      </c>
      <c r="F35" s="2230">
        <v>5</v>
      </c>
      <c r="G35" s="2230">
        <v>6</v>
      </c>
      <c r="H35" s="2231">
        <v>7</v>
      </c>
      <c r="I35" s="2230">
        <v>8</v>
      </c>
      <c r="J35" s="2231">
        <v>9</v>
      </c>
      <c r="K35" s="2230">
        <v>10</v>
      </c>
      <c r="L35" s="2230">
        <v>11</v>
      </c>
      <c r="M35" s="2231">
        <v>12</v>
      </c>
      <c r="N35" s="2230">
        <v>13</v>
      </c>
      <c r="O35" s="2231">
        <v>14</v>
      </c>
      <c r="P35" s="2230">
        <v>15</v>
      </c>
      <c r="Q35" s="2230">
        <v>16</v>
      </c>
      <c r="R35" s="2231">
        <v>17</v>
      </c>
      <c r="S35" s="2230">
        <v>18</v>
      </c>
      <c r="T35" s="2231">
        <v>19</v>
      </c>
      <c r="U35" s="2230">
        <v>20</v>
      </c>
      <c r="V35" s="2230">
        <v>21</v>
      </c>
      <c r="W35" s="2231">
        <v>22</v>
      </c>
      <c r="X35" s="2230">
        <v>23</v>
      </c>
      <c r="Y35" s="2231">
        <v>24</v>
      </c>
      <c r="Z35" s="2230">
        <v>25</v>
      </c>
      <c r="AA35" s="2230">
        <v>26</v>
      </c>
      <c r="AB35" s="2231">
        <v>27</v>
      </c>
      <c r="AC35" s="2230">
        <v>28</v>
      </c>
      <c r="AD35" s="2231">
        <v>29</v>
      </c>
      <c r="AE35" s="2230">
        <v>30</v>
      </c>
      <c r="AF35" s="2230">
        <v>31</v>
      </c>
      <c r="AG35" s="2231">
        <v>32</v>
      </c>
      <c r="AH35" s="2230">
        <v>33</v>
      </c>
      <c r="AI35" s="2231">
        <v>34</v>
      </c>
      <c r="AJ35" s="2230">
        <v>35</v>
      </c>
      <c r="AK35" s="2230">
        <v>36</v>
      </c>
      <c r="AL35" s="2230">
        <v>37</v>
      </c>
      <c r="AM35" s="2231">
        <v>38</v>
      </c>
      <c r="AN35" s="2230">
        <v>39</v>
      </c>
      <c r="AO35" s="2231">
        <v>40</v>
      </c>
      <c r="AP35" s="2230">
        <v>41</v>
      </c>
      <c r="AQ35" s="2230">
        <v>42</v>
      </c>
      <c r="AR35" s="2230">
        <v>43</v>
      </c>
      <c r="AS35" s="2231">
        <v>44</v>
      </c>
      <c r="AT35" s="2230">
        <v>45</v>
      </c>
      <c r="AU35" s="2231">
        <v>46</v>
      </c>
      <c r="AV35" s="2230">
        <v>47</v>
      </c>
      <c r="AW35" s="2230">
        <v>48</v>
      </c>
      <c r="AX35" s="2230">
        <v>49</v>
      </c>
      <c r="AY35" s="2230">
        <v>50</v>
      </c>
      <c r="AZ35" s="2230">
        <v>51</v>
      </c>
      <c r="BA35" s="2230">
        <v>52</v>
      </c>
      <c r="BB35" s="2230">
        <v>53</v>
      </c>
      <c r="BC35" s="2230">
        <v>54</v>
      </c>
      <c r="BD35" s="2230">
        <v>55</v>
      </c>
      <c r="BE35" s="2230">
        <v>56</v>
      </c>
      <c r="BF35" s="2230">
        <v>57</v>
      </c>
      <c r="BG35" s="2230">
        <v>58</v>
      </c>
      <c r="BH35" s="2230">
        <v>59</v>
      </c>
      <c r="BI35" s="2230">
        <v>60</v>
      </c>
    </row>
    <row r="36" spans="1:63" s="1479" customFormat="1" ht="15.75" customHeight="1">
      <c r="A36" s="2186"/>
      <c r="B36" s="2222" t="s">
        <v>2167</v>
      </c>
      <c r="C36" s="2223"/>
      <c r="D36" s="2223"/>
      <c r="E36" s="2223"/>
      <c r="F36" s="2223"/>
      <c r="G36" s="2223"/>
      <c r="H36" s="2223"/>
      <c r="I36" s="2223"/>
      <c r="J36" s="2223"/>
      <c r="K36" s="2223"/>
      <c r="L36" s="2223"/>
      <c r="M36" s="2223"/>
      <c r="N36" s="2223"/>
      <c r="O36" s="2223"/>
      <c r="P36" s="2223"/>
      <c r="Q36" s="2223"/>
      <c r="R36" s="2223"/>
      <c r="S36" s="2223"/>
      <c r="T36" s="2223"/>
      <c r="U36" s="2223"/>
      <c r="V36" s="2223"/>
      <c r="W36" s="2223"/>
      <c r="X36" s="2223"/>
      <c r="Y36" s="2223"/>
      <c r="Z36" s="2223"/>
      <c r="AA36" s="2223"/>
      <c r="AB36" s="2223"/>
      <c r="AC36" s="2223"/>
      <c r="AD36" s="2223"/>
      <c r="AE36" s="2224"/>
      <c r="AF36" s="2225" t="s">
        <v>2168</v>
      </c>
      <c r="AG36" s="2226"/>
      <c r="AH36" s="2226"/>
      <c r="AI36" s="2226"/>
      <c r="AJ36" s="2226"/>
      <c r="AK36" s="2226"/>
      <c r="AL36" s="2226"/>
      <c r="AM36" s="2226"/>
      <c r="AN36" s="2226"/>
      <c r="AO36" s="2226"/>
      <c r="AP36" s="2226"/>
      <c r="AQ36" s="2226"/>
      <c r="AR36" s="2226"/>
      <c r="AS36" s="2226"/>
      <c r="AT36" s="2226"/>
      <c r="AU36" s="2226"/>
      <c r="AV36" s="2226"/>
      <c r="AW36" s="2226"/>
      <c r="AX36" s="2226"/>
      <c r="AY36" s="2226"/>
      <c r="AZ36" s="2226"/>
      <c r="BA36" s="2226"/>
      <c r="BB36" s="2226"/>
      <c r="BC36" s="2226"/>
      <c r="BD36" s="2226"/>
      <c r="BE36" s="2226"/>
      <c r="BF36" s="2226"/>
      <c r="BG36" s="2226"/>
      <c r="BH36" s="2226"/>
      <c r="BI36" s="2227"/>
      <c r="BJ36" s="2187"/>
      <c r="BK36" s="2187"/>
    </row>
    <row r="37" spans="1:63" s="1479" customFormat="1" ht="14.25" customHeight="1">
      <c r="A37" s="5" t="s">
        <v>1099</v>
      </c>
      <c r="B37" s="2229" t="s">
        <v>441</v>
      </c>
      <c r="C37" s="2229" t="s">
        <v>440</v>
      </c>
      <c r="D37" s="2229" t="s">
        <v>440</v>
      </c>
      <c r="E37" s="2229" t="s">
        <v>440</v>
      </c>
      <c r="F37" s="2229" t="s">
        <v>440</v>
      </c>
      <c r="G37" s="2229" t="s">
        <v>440</v>
      </c>
      <c r="H37" s="2229" t="s">
        <v>440</v>
      </c>
      <c r="I37" s="2229" t="s">
        <v>440</v>
      </c>
      <c r="J37" s="2229" t="s">
        <v>440</v>
      </c>
      <c r="K37" s="2229" t="s">
        <v>440</v>
      </c>
      <c r="L37" s="2229" t="s">
        <v>440</v>
      </c>
      <c r="M37" s="2229" t="s">
        <v>440</v>
      </c>
      <c r="N37" s="2229" t="s">
        <v>440</v>
      </c>
      <c r="O37" s="2229" t="s">
        <v>440</v>
      </c>
      <c r="P37" s="2229" t="s">
        <v>440</v>
      </c>
      <c r="Q37" s="2229" t="s">
        <v>440</v>
      </c>
      <c r="R37" s="2229" t="s">
        <v>440</v>
      </c>
      <c r="S37" s="2229" t="s">
        <v>440</v>
      </c>
      <c r="T37" s="2229" t="s">
        <v>440</v>
      </c>
      <c r="U37" s="2229" t="s">
        <v>440</v>
      </c>
      <c r="V37" s="2229" t="s">
        <v>440</v>
      </c>
      <c r="W37" s="2229" t="s">
        <v>440</v>
      </c>
      <c r="X37" s="2229" t="s">
        <v>440</v>
      </c>
      <c r="Y37" s="2229" t="s">
        <v>440</v>
      </c>
      <c r="Z37" s="2229" t="s">
        <v>440</v>
      </c>
      <c r="AA37" s="2229" t="s">
        <v>440</v>
      </c>
      <c r="AB37" s="2229" t="s">
        <v>440</v>
      </c>
      <c r="AC37" s="2229" t="s">
        <v>440</v>
      </c>
      <c r="AD37" s="2229" t="s">
        <v>440</v>
      </c>
      <c r="AE37" s="2229" t="s">
        <v>440</v>
      </c>
      <c r="AF37" s="2229" t="s">
        <v>440</v>
      </c>
      <c r="AG37" s="2229" t="s">
        <v>440</v>
      </c>
      <c r="AH37" s="2229" t="s">
        <v>440</v>
      </c>
      <c r="AI37" s="2229" t="s">
        <v>440</v>
      </c>
      <c r="AJ37" s="2229" t="s">
        <v>440</v>
      </c>
      <c r="AK37" s="2229" t="s">
        <v>440</v>
      </c>
      <c r="AL37" s="2229" t="s">
        <v>440</v>
      </c>
      <c r="AM37" s="2229" t="s">
        <v>440</v>
      </c>
      <c r="AN37" s="2229" t="s">
        <v>440</v>
      </c>
      <c r="AO37" s="2229" t="s">
        <v>440</v>
      </c>
      <c r="AP37" s="2229" t="s">
        <v>440</v>
      </c>
      <c r="AQ37" s="2229" t="s">
        <v>440</v>
      </c>
      <c r="AR37" s="2229" t="s">
        <v>440</v>
      </c>
      <c r="AS37" s="2229" t="s">
        <v>440</v>
      </c>
      <c r="AT37" s="2229" t="s">
        <v>440</v>
      </c>
      <c r="AU37" s="2229" t="s">
        <v>440</v>
      </c>
      <c r="AV37" s="2229" t="s">
        <v>440</v>
      </c>
      <c r="AW37" s="2229" t="s">
        <v>440</v>
      </c>
      <c r="AX37" s="2229" t="s">
        <v>440</v>
      </c>
      <c r="AY37" s="2229" t="s">
        <v>440</v>
      </c>
      <c r="AZ37" s="2229" t="s">
        <v>440</v>
      </c>
      <c r="BA37" s="2229" t="s">
        <v>440</v>
      </c>
      <c r="BB37" s="2229" t="s">
        <v>440</v>
      </c>
      <c r="BC37" s="2229" t="s">
        <v>440</v>
      </c>
      <c r="BD37" s="2229" t="s">
        <v>440</v>
      </c>
      <c r="BE37" s="2229" t="s">
        <v>440</v>
      </c>
      <c r="BF37" s="2229" t="s">
        <v>440</v>
      </c>
      <c r="BG37" s="2229" t="s">
        <v>440</v>
      </c>
      <c r="BH37" s="2229" t="s">
        <v>440</v>
      </c>
      <c r="BI37" s="2229" t="s">
        <v>440</v>
      </c>
      <c r="BJ37" s="2182"/>
    </row>
    <row r="38" spans="1:63" s="1479" customFormat="1" ht="35.25" customHeight="1">
      <c r="A38" s="2252" t="s">
        <v>2177</v>
      </c>
      <c r="B38" s="2188" t="s">
        <v>2169</v>
      </c>
      <c r="C38" s="2188" t="s">
        <v>2169</v>
      </c>
      <c r="D38" s="2188" t="s">
        <v>2169</v>
      </c>
      <c r="E38" s="2188" t="s">
        <v>2169</v>
      </c>
      <c r="F38" s="2188" t="s">
        <v>2169</v>
      </c>
      <c r="G38" s="2188" t="s">
        <v>2169</v>
      </c>
      <c r="H38" s="2188" t="s">
        <v>2169</v>
      </c>
      <c r="I38" s="2188" t="s">
        <v>2169</v>
      </c>
      <c r="J38" s="2188" t="s">
        <v>2169</v>
      </c>
      <c r="K38" s="2188" t="s">
        <v>2169</v>
      </c>
      <c r="L38" s="2188" t="s">
        <v>2169</v>
      </c>
      <c r="M38" s="2188" t="s">
        <v>2169</v>
      </c>
      <c r="N38" s="2188" t="s">
        <v>2169</v>
      </c>
      <c r="O38" s="2188" t="s">
        <v>2169</v>
      </c>
      <c r="P38" s="2188" t="s">
        <v>2169</v>
      </c>
      <c r="Q38" s="2188" t="s">
        <v>2169</v>
      </c>
      <c r="R38" s="2188" t="s">
        <v>2169</v>
      </c>
      <c r="S38" s="2188" t="s">
        <v>2169</v>
      </c>
      <c r="T38" s="2188" t="s">
        <v>2169</v>
      </c>
      <c r="U38" s="2188" t="s">
        <v>2169</v>
      </c>
      <c r="V38" s="2188" t="s">
        <v>2169</v>
      </c>
      <c r="W38" s="2188" t="s">
        <v>2169</v>
      </c>
      <c r="X38" s="2188" t="s">
        <v>2169</v>
      </c>
      <c r="Y38" s="2188" t="s">
        <v>2169</v>
      </c>
      <c r="Z38" s="2188" t="s">
        <v>2169</v>
      </c>
      <c r="AA38" s="2188" t="s">
        <v>2169</v>
      </c>
      <c r="AB38" s="2188" t="s">
        <v>2169</v>
      </c>
      <c r="AC38" s="2188" t="s">
        <v>2169</v>
      </c>
      <c r="AD38" s="2188" t="s">
        <v>2169</v>
      </c>
      <c r="AE38" s="2188" t="s">
        <v>2169</v>
      </c>
      <c r="AF38" s="2189" t="s">
        <v>2170</v>
      </c>
      <c r="AG38" s="2189" t="s">
        <v>2170</v>
      </c>
      <c r="AH38" s="2189" t="s">
        <v>2170</v>
      </c>
      <c r="AI38" s="2189" t="s">
        <v>2170</v>
      </c>
      <c r="AJ38" s="2189" t="s">
        <v>2170</v>
      </c>
      <c r="AK38" s="2189" t="s">
        <v>2170</v>
      </c>
      <c r="AL38" s="2189" t="s">
        <v>2170</v>
      </c>
      <c r="AM38" s="2189" t="s">
        <v>2170</v>
      </c>
      <c r="AN38" s="2189" t="s">
        <v>2170</v>
      </c>
      <c r="AO38" s="2189" t="s">
        <v>2170</v>
      </c>
      <c r="AP38" s="2189" t="s">
        <v>2170</v>
      </c>
      <c r="AQ38" s="2189" t="s">
        <v>2170</v>
      </c>
      <c r="AR38" s="2189" t="s">
        <v>2170</v>
      </c>
      <c r="AS38" s="2189" t="s">
        <v>2170</v>
      </c>
      <c r="AT38" s="2189" t="s">
        <v>2170</v>
      </c>
      <c r="AU38" s="2189" t="s">
        <v>2170</v>
      </c>
      <c r="AV38" s="2189" t="s">
        <v>2170</v>
      </c>
      <c r="AW38" s="2189" t="s">
        <v>2170</v>
      </c>
      <c r="AX38" s="2189" t="s">
        <v>2170</v>
      </c>
      <c r="AY38" s="2189" t="s">
        <v>2170</v>
      </c>
      <c r="AZ38" s="2189" t="s">
        <v>2170</v>
      </c>
      <c r="BA38" s="2189" t="s">
        <v>2170</v>
      </c>
      <c r="BB38" s="2189" t="s">
        <v>2170</v>
      </c>
      <c r="BC38" s="2189" t="s">
        <v>2170</v>
      </c>
      <c r="BD38" s="2189" t="s">
        <v>2170</v>
      </c>
      <c r="BE38" s="2189" t="s">
        <v>2170</v>
      </c>
      <c r="BF38" s="2189" t="s">
        <v>2170</v>
      </c>
      <c r="BG38" s="2189" t="s">
        <v>2170</v>
      </c>
      <c r="BH38" s="2189" t="s">
        <v>2170</v>
      </c>
      <c r="BI38" s="2189" t="s">
        <v>2170</v>
      </c>
      <c r="BJ38" s="945" t="s">
        <v>2163</v>
      </c>
      <c r="BK38" s="945" t="s">
        <v>88</v>
      </c>
    </row>
    <row r="39" spans="1:63" s="1479" customFormat="1" ht="14.1" customHeight="1">
      <c r="A39" s="2251">
        <f t="shared" ref="A39:A48" si="0">EDATE(A40,-1)</f>
        <v>45136</v>
      </c>
      <c r="B39" s="2734"/>
      <c r="C39" s="2734"/>
      <c r="D39" s="2734"/>
      <c r="E39" s="2734"/>
      <c r="F39" s="2734"/>
      <c r="G39" s="2734"/>
      <c r="H39" s="2734"/>
      <c r="I39" s="2734"/>
      <c r="J39" s="2734"/>
      <c r="K39" s="2734"/>
      <c r="L39" s="2734"/>
      <c r="M39" s="2734"/>
      <c r="N39" s="2734"/>
      <c r="O39" s="2734"/>
      <c r="P39" s="2734"/>
      <c r="Q39" s="2734"/>
      <c r="R39" s="2734"/>
      <c r="S39" s="2734"/>
      <c r="T39" s="2734"/>
      <c r="U39" s="2734"/>
      <c r="V39" s="2734"/>
      <c r="W39" s="2734"/>
      <c r="X39" s="2734"/>
      <c r="Y39" s="2734"/>
      <c r="Z39" s="2734"/>
      <c r="AA39" s="2734"/>
      <c r="AB39" s="2734"/>
      <c r="AC39" s="2734"/>
      <c r="AD39" s="2734"/>
      <c r="AE39" s="2734"/>
      <c r="AF39" s="2734"/>
      <c r="AG39" s="2734"/>
      <c r="AH39" s="2734"/>
      <c r="AI39" s="2734"/>
      <c r="AJ39" s="2734"/>
      <c r="AK39" s="2734"/>
      <c r="AL39" s="2192"/>
      <c r="AM39" s="2192"/>
      <c r="AN39" s="2192"/>
      <c r="AO39" s="2192"/>
      <c r="AP39" s="2192"/>
      <c r="AQ39" s="2192"/>
      <c r="AR39" s="2192"/>
      <c r="AS39" s="2192"/>
      <c r="AT39" s="2192"/>
      <c r="AU39" s="2192"/>
      <c r="AV39" s="2192"/>
      <c r="AW39" s="2192"/>
      <c r="AX39" s="2192"/>
      <c r="AY39" s="2192"/>
      <c r="AZ39" s="2192"/>
      <c r="BA39" s="2192"/>
      <c r="BB39" s="2192"/>
      <c r="BC39" s="2192"/>
      <c r="BD39" s="2192"/>
      <c r="BE39" s="2192"/>
      <c r="BF39" s="2192"/>
      <c r="BG39" s="2192"/>
      <c r="BH39" s="2192"/>
      <c r="BI39" s="2192"/>
      <c r="BJ39" s="2241">
        <f>SUM(B39:AE39)-SUM(AF39:BI39)</f>
        <v>0</v>
      </c>
      <c r="BK39" s="2244">
        <f>$B$24+SUM(B39:AE39)-SUM(AF39:BI39)</f>
        <v>0</v>
      </c>
    </row>
    <row r="40" spans="1:63" s="1479" customFormat="1" ht="14.1" customHeight="1">
      <c r="A40" s="2251">
        <f t="shared" si="0"/>
        <v>45167</v>
      </c>
      <c r="B40" s="2735"/>
      <c r="C40" s="2735"/>
      <c r="D40" s="2735"/>
      <c r="E40" s="2735"/>
      <c r="F40" s="2735"/>
      <c r="G40" s="2735"/>
      <c r="H40" s="2735"/>
      <c r="I40" s="2735"/>
      <c r="J40" s="2735"/>
      <c r="K40" s="2735"/>
      <c r="L40" s="2735"/>
      <c r="M40" s="2735"/>
      <c r="N40" s="2735"/>
      <c r="O40" s="2735"/>
      <c r="P40" s="2735"/>
      <c r="Q40" s="2735"/>
      <c r="R40" s="2735"/>
      <c r="S40" s="2735"/>
      <c r="T40" s="2735"/>
      <c r="U40" s="2735"/>
      <c r="V40" s="2735"/>
      <c r="W40" s="2735"/>
      <c r="X40" s="2735"/>
      <c r="Y40" s="2735"/>
      <c r="Z40" s="2735"/>
      <c r="AA40" s="2735"/>
      <c r="AB40" s="2735"/>
      <c r="AC40" s="2735"/>
      <c r="AD40" s="2735"/>
      <c r="AE40" s="2735"/>
      <c r="AF40" s="2735"/>
      <c r="AG40" s="2735"/>
      <c r="AH40" s="2735"/>
      <c r="AI40" s="2735"/>
      <c r="AJ40" s="2735"/>
      <c r="AK40" s="2735"/>
      <c r="AL40" s="2193"/>
      <c r="AM40" s="2193"/>
      <c r="AN40" s="2193"/>
      <c r="AO40" s="2193"/>
      <c r="AP40" s="2193"/>
      <c r="AQ40" s="2193"/>
      <c r="AR40" s="2193"/>
      <c r="AS40" s="2193"/>
      <c r="AT40" s="2193"/>
      <c r="AU40" s="2193"/>
      <c r="AV40" s="2193"/>
      <c r="AW40" s="2193"/>
      <c r="AX40" s="2193"/>
      <c r="AY40" s="2193"/>
      <c r="AZ40" s="2193"/>
      <c r="BA40" s="2193"/>
      <c r="BB40" s="2193"/>
      <c r="BC40" s="2193"/>
      <c r="BD40" s="2193"/>
      <c r="BE40" s="2193"/>
      <c r="BF40" s="2193"/>
      <c r="BG40" s="2193"/>
      <c r="BH40" s="2193"/>
      <c r="BI40" s="2193"/>
      <c r="BJ40" s="2242">
        <f t="shared" ref="BJ40:BJ50" si="1">SUM(B40:AE40)-SUM(AF40:BI40)</f>
        <v>0</v>
      </c>
      <c r="BK40" s="2245">
        <f t="shared" ref="BK40:BK50" si="2">BK39+SUM(B40:AE40)-SUM(AF40:BI40)</f>
        <v>0</v>
      </c>
    </row>
    <row r="41" spans="1:63" s="1479" customFormat="1" ht="14.1" customHeight="1">
      <c r="A41" s="2251">
        <f t="shared" si="0"/>
        <v>45198</v>
      </c>
      <c r="B41" s="2735"/>
      <c r="C41" s="2735"/>
      <c r="D41" s="2735"/>
      <c r="E41" s="2735"/>
      <c r="F41" s="2735"/>
      <c r="G41" s="2735"/>
      <c r="H41" s="2735"/>
      <c r="I41" s="2735"/>
      <c r="J41" s="2735"/>
      <c r="K41" s="2735"/>
      <c r="L41" s="2735"/>
      <c r="M41" s="2735"/>
      <c r="N41" s="2735"/>
      <c r="O41" s="2735"/>
      <c r="P41" s="2735"/>
      <c r="Q41" s="2735"/>
      <c r="R41" s="2735"/>
      <c r="S41" s="2735"/>
      <c r="T41" s="2735"/>
      <c r="U41" s="2735"/>
      <c r="V41" s="2735"/>
      <c r="W41" s="2735"/>
      <c r="X41" s="2735"/>
      <c r="Y41" s="2735"/>
      <c r="Z41" s="2735"/>
      <c r="AA41" s="2735"/>
      <c r="AB41" s="2735"/>
      <c r="AC41" s="2735"/>
      <c r="AD41" s="2735"/>
      <c r="AE41" s="2735"/>
      <c r="AF41" s="2735"/>
      <c r="AG41" s="2735"/>
      <c r="AH41" s="2735"/>
      <c r="AI41" s="2735"/>
      <c r="AJ41" s="2735"/>
      <c r="AK41" s="2735"/>
      <c r="AL41" s="2193"/>
      <c r="AM41" s="2193"/>
      <c r="AN41" s="2193"/>
      <c r="AO41" s="2193"/>
      <c r="AP41" s="2193"/>
      <c r="AQ41" s="2193"/>
      <c r="AR41" s="2193"/>
      <c r="AS41" s="2193"/>
      <c r="AT41" s="2193"/>
      <c r="AU41" s="2193"/>
      <c r="AV41" s="2193"/>
      <c r="AW41" s="2193"/>
      <c r="AX41" s="2193"/>
      <c r="AY41" s="2193"/>
      <c r="AZ41" s="2193"/>
      <c r="BA41" s="2193"/>
      <c r="BB41" s="2193"/>
      <c r="BC41" s="2193"/>
      <c r="BD41" s="2193"/>
      <c r="BE41" s="2193"/>
      <c r="BF41" s="2193"/>
      <c r="BG41" s="2193"/>
      <c r="BH41" s="2193"/>
      <c r="BI41" s="2193"/>
      <c r="BJ41" s="2242">
        <f t="shared" si="1"/>
        <v>0</v>
      </c>
      <c r="BK41" s="2245">
        <f t="shared" si="2"/>
        <v>0</v>
      </c>
    </row>
    <row r="42" spans="1:63" s="1479" customFormat="1" ht="14.1" customHeight="1">
      <c r="A42" s="2251">
        <f t="shared" si="0"/>
        <v>45228</v>
      </c>
      <c r="B42" s="2735"/>
      <c r="C42" s="2735"/>
      <c r="D42" s="2735"/>
      <c r="E42" s="2735"/>
      <c r="F42" s="2735"/>
      <c r="G42" s="2735"/>
      <c r="H42" s="2735"/>
      <c r="I42" s="2735"/>
      <c r="J42" s="2735"/>
      <c r="K42" s="2735"/>
      <c r="L42" s="2735"/>
      <c r="M42" s="2735"/>
      <c r="N42" s="2735"/>
      <c r="O42" s="2735"/>
      <c r="P42" s="2735"/>
      <c r="Q42" s="2735"/>
      <c r="R42" s="2735"/>
      <c r="S42" s="2735"/>
      <c r="T42" s="2735"/>
      <c r="U42" s="2735"/>
      <c r="V42" s="2735"/>
      <c r="W42" s="2735"/>
      <c r="X42" s="2735"/>
      <c r="Y42" s="2735"/>
      <c r="Z42" s="2735"/>
      <c r="AA42" s="2735"/>
      <c r="AB42" s="2735"/>
      <c r="AC42" s="2735"/>
      <c r="AD42" s="2735"/>
      <c r="AE42" s="2735"/>
      <c r="AF42" s="2735"/>
      <c r="AG42" s="2735"/>
      <c r="AH42" s="2735"/>
      <c r="AI42" s="2735"/>
      <c r="AJ42" s="2735"/>
      <c r="AK42" s="2735"/>
      <c r="AL42" s="2193"/>
      <c r="AM42" s="2193"/>
      <c r="AN42" s="2193"/>
      <c r="AO42" s="2193"/>
      <c r="AP42" s="2193"/>
      <c r="AQ42" s="2193"/>
      <c r="AR42" s="2193"/>
      <c r="AS42" s="2193"/>
      <c r="AT42" s="2193"/>
      <c r="AU42" s="2193"/>
      <c r="AV42" s="2193"/>
      <c r="AW42" s="2193"/>
      <c r="AX42" s="2193"/>
      <c r="AY42" s="2193"/>
      <c r="AZ42" s="2193"/>
      <c r="BA42" s="2193"/>
      <c r="BB42" s="2193"/>
      <c r="BC42" s="2193"/>
      <c r="BD42" s="2193"/>
      <c r="BE42" s="2193"/>
      <c r="BF42" s="2193"/>
      <c r="BG42" s="2193"/>
      <c r="BH42" s="2193"/>
      <c r="BI42" s="2193"/>
      <c r="BJ42" s="2242">
        <f t="shared" si="1"/>
        <v>0</v>
      </c>
      <c r="BK42" s="2245">
        <f t="shared" si="2"/>
        <v>0</v>
      </c>
    </row>
    <row r="43" spans="1:63" s="1479" customFormat="1" ht="14.1" customHeight="1">
      <c r="A43" s="2251">
        <f t="shared" si="0"/>
        <v>45259</v>
      </c>
      <c r="B43" s="2735"/>
      <c r="C43" s="2735"/>
      <c r="D43" s="2735"/>
      <c r="E43" s="2735"/>
      <c r="F43" s="2735"/>
      <c r="G43" s="2735"/>
      <c r="H43" s="2735"/>
      <c r="I43" s="2735"/>
      <c r="J43" s="2735"/>
      <c r="K43" s="2735"/>
      <c r="L43" s="2735"/>
      <c r="M43" s="2735"/>
      <c r="N43" s="2735"/>
      <c r="O43" s="2735"/>
      <c r="P43" s="2735"/>
      <c r="Q43" s="2735"/>
      <c r="R43" s="2735"/>
      <c r="S43" s="2735"/>
      <c r="T43" s="2735"/>
      <c r="U43" s="2735"/>
      <c r="V43" s="2735"/>
      <c r="W43" s="2735"/>
      <c r="X43" s="2735"/>
      <c r="Y43" s="2735"/>
      <c r="Z43" s="2735"/>
      <c r="AA43" s="2735"/>
      <c r="AB43" s="2735"/>
      <c r="AC43" s="2735"/>
      <c r="AD43" s="2735"/>
      <c r="AE43" s="2735"/>
      <c r="AF43" s="2735"/>
      <c r="AG43" s="2735"/>
      <c r="AH43" s="2735"/>
      <c r="AI43" s="2735"/>
      <c r="AJ43" s="2735"/>
      <c r="AK43" s="2735"/>
      <c r="AL43" s="2193"/>
      <c r="AM43" s="2193"/>
      <c r="AN43" s="2193"/>
      <c r="AO43" s="2193"/>
      <c r="AP43" s="2193"/>
      <c r="AQ43" s="2193"/>
      <c r="AR43" s="2193"/>
      <c r="AS43" s="2193"/>
      <c r="AT43" s="2193"/>
      <c r="AU43" s="2193"/>
      <c r="AV43" s="2193"/>
      <c r="AW43" s="2193"/>
      <c r="AX43" s="2193"/>
      <c r="AY43" s="2193"/>
      <c r="AZ43" s="2193"/>
      <c r="BA43" s="2193"/>
      <c r="BB43" s="2193"/>
      <c r="BC43" s="2193"/>
      <c r="BD43" s="2193"/>
      <c r="BE43" s="2193"/>
      <c r="BF43" s="2193"/>
      <c r="BG43" s="2193"/>
      <c r="BH43" s="2193"/>
      <c r="BI43" s="2193"/>
      <c r="BJ43" s="2242">
        <f t="shared" si="1"/>
        <v>0</v>
      </c>
      <c r="BK43" s="2245">
        <f t="shared" si="2"/>
        <v>0</v>
      </c>
    </row>
    <row r="44" spans="1:63" s="1479" customFormat="1" ht="14.1" customHeight="1">
      <c r="A44" s="2251">
        <f t="shared" si="0"/>
        <v>45289</v>
      </c>
      <c r="B44" s="2735"/>
      <c r="C44" s="2735"/>
      <c r="D44" s="2735"/>
      <c r="E44" s="2735"/>
      <c r="F44" s="2735"/>
      <c r="G44" s="2735"/>
      <c r="H44" s="2735"/>
      <c r="I44" s="2735"/>
      <c r="J44" s="2735"/>
      <c r="K44" s="2735"/>
      <c r="L44" s="2735"/>
      <c r="M44" s="2735"/>
      <c r="N44" s="2735"/>
      <c r="O44" s="2735"/>
      <c r="P44" s="2735"/>
      <c r="Q44" s="2735"/>
      <c r="R44" s="2735"/>
      <c r="S44" s="2735"/>
      <c r="T44" s="2735"/>
      <c r="U44" s="2735"/>
      <c r="V44" s="2735"/>
      <c r="W44" s="2735"/>
      <c r="X44" s="2735"/>
      <c r="Y44" s="2735"/>
      <c r="Z44" s="2735"/>
      <c r="AA44" s="2735"/>
      <c r="AB44" s="2735"/>
      <c r="AC44" s="2735"/>
      <c r="AD44" s="2735"/>
      <c r="AE44" s="2735"/>
      <c r="AF44" s="2735"/>
      <c r="AG44" s="2735"/>
      <c r="AH44" s="2735"/>
      <c r="AI44" s="2735"/>
      <c r="AJ44" s="2735"/>
      <c r="AK44" s="2735"/>
      <c r="AL44" s="2193"/>
      <c r="AM44" s="2193"/>
      <c r="AN44" s="2193"/>
      <c r="AO44" s="2193"/>
      <c r="AP44" s="2193"/>
      <c r="AQ44" s="2193"/>
      <c r="AR44" s="2193"/>
      <c r="AS44" s="2193"/>
      <c r="AT44" s="2193"/>
      <c r="AU44" s="2193"/>
      <c r="AV44" s="2193"/>
      <c r="AW44" s="2193"/>
      <c r="AX44" s="2193"/>
      <c r="AY44" s="2193"/>
      <c r="AZ44" s="2193"/>
      <c r="BA44" s="2193"/>
      <c r="BB44" s="2193"/>
      <c r="BC44" s="2193"/>
      <c r="BD44" s="2193"/>
      <c r="BE44" s="2193"/>
      <c r="BF44" s="2193"/>
      <c r="BG44" s="2193"/>
      <c r="BH44" s="2193"/>
      <c r="BI44" s="2193"/>
      <c r="BJ44" s="2242">
        <f t="shared" si="1"/>
        <v>0</v>
      </c>
      <c r="BK44" s="2245">
        <f t="shared" si="2"/>
        <v>0</v>
      </c>
    </row>
    <row r="45" spans="1:63" s="1479" customFormat="1" ht="14.1" customHeight="1">
      <c r="A45" s="2251">
        <f t="shared" si="0"/>
        <v>45320</v>
      </c>
      <c r="B45" s="2736"/>
      <c r="C45" s="2736"/>
      <c r="D45" s="2736"/>
      <c r="E45" s="2736"/>
      <c r="F45" s="2736"/>
      <c r="G45" s="2736"/>
      <c r="H45" s="2736"/>
      <c r="I45" s="2736"/>
      <c r="J45" s="2736"/>
      <c r="K45" s="2736"/>
      <c r="L45" s="2736"/>
      <c r="M45" s="2736"/>
      <c r="N45" s="2736"/>
      <c r="O45" s="2736"/>
      <c r="P45" s="2736"/>
      <c r="Q45" s="2736"/>
      <c r="R45" s="2736"/>
      <c r="S45" s="2736"/>
      <c r="T45" s="2736"/>
      <c r="U45" s="2736"/>
      <c r="V45" s="2736"/>
      <c r="W45" s="2736"/>
      <c r="X45" s="2736"/>
      <c r="Y45" s="2736"/>
      <c r="Z45" s="2736"/>
      <c r="AA45" s="2736"/>
      <c r="AB45" s="2736"/>
      <c r="AC45" s="2736"/>
      <c r="AD45" s="2736"/>
      <c r="AE45" s="2736"/>
      <c r="AF45" s="2736"/>
      <c r="AG45" s="2736"/>
      <c r="AH45" s="2736"/>
      <c r="AI45" s="2736"/>
      <c r="AJ45" s="2736"/>
      <c r="AK45" s="2736"/>
      <c r="AL45" s="2194"/>
      <c r="AM45" s="2194"/>
      <c r="AN45" s="2194"/>
      <c r="AO45" s="2194"/>
      <c r="AP45" s="2194"/>
      <c r="AQ45" s="2194"/>
      <c r="AR45" s="2194"/>
      <c r="AS45" s="2194"/>
      <c r="AT45" s="2194"/>
      <c r="AU45" s="2194"/>
      <c r="AV45" s="2194"/>
      <c r="AW45" s="2194"/>
      <c r="AX45" s="2194"/>
      <c r="AY45" s="2194"/>
      <c r="AZ45" s="2194"/>
      <c r="BA45" s="2194"/>
      <c r="BB45" s="2194"/>
      <c r="BC45" s="2194"/>
      <c r="BD45" s="2194"/>
      <c r="BE45" s="2194"/>
      <c r="BF45" s="2194"/>
      <c r="BG45" s="2194"/>
      <c r="BH45" s="2194"/>
      <c r="BI45" s="2194"/>
      <c r="BJ45" s="2242">
        <f t="shared" si="1"/>
        <v>0</v>
      </c>
      <c r="BK45" s="2245">
        <f t="shared" si="2"/>
        <v>0</v>
      </c>
    </row>
    <row r="46" spans="1:63" s="1479" customFormat="1" ht="14.1" customHeight="1">
      <c r="A46" s="2251">
        <f t="shared" si="0"/>
        <v>45351</v>
      </c>
      <c r="B46" s="2736"/>
      <c r="C46" s="2736"/>
      <c r="D46" s="2736"/>
      <c r="E46" s="2736"/>
      <c r="F46" s="2736"/>
      <c r="G46" s="2736"/>
      <c r="H46" s="2736"/>
      <c r="I46" s="2736"/>
      <c r="J46" s="2736"/>
      <c r="K46" s="2736"/>
      <c r="L46" s="2736"/>
      <c r="M46" s="2736"/>
      <c r="N46" s="2736"/>
      <c r="O46" s="2736"/>
      <c r="P46" s="2736"/>
      <c r="Q46" s="2736"/>
      <c r="R46" s="2736"/>
      <c r="S46" s="2736"/>
      <c r="T46" s="2736"/>
      <c r="U46" s="2736"/>
      <c r="V46" s="2736"/>
      <c r="W46" s="2736"/>
      <c r="X46" s="2736"/>
      <c r="Y46" s="2736"/>
      <c r="Z46" s="2736"/>
      <c r="AA46" s="2736"/>
      <c r="AB46" s="2736"/>
      <c r="AC46" s="2736"/>
      <c r="AD46" s="2736"/>
      <c r="AE46" s="2736"/>
      <c r="AF46" s="2736"/>
      <c r="AG46" s="2736"/>
      <c r="AH46" s="2736"/>
      <c r="AI46" s="2736"/>
      <c r="AJ46" s="2736"/>
      <c r="AK46" s="2736"/>
      <c r="AL46" s="2194"/>
      <c r="AM46" s="2194"/>
      <c r="AN46" s="2194"/>
      <c r="AO46" s="2194"/>
      <c r="AP46" s="2194"/>
      <c r="AQ46" s="2194"/>
      <c r="AR46" s="2194"/>
      <c r="AS46" s="2194"/>
      <c r="AT46" s="2194"/>
      <c r="AU46" s="2194"/>
      <c r="AV46" s="2194"/>
      <c r="AW46" s="2194"/>
      <c r="AX46" s="2194"/>
      <c r="AY46" s="2194"/>
      <c r="AZ46" s="2194"/>
      <c r="BA46" s="2194"/>
      <c r="BB46" s="2194"/>
      <c r="BC46" s="2194"/>
      <c r="BD46" s="2194"/>
      <c r="BE46" s="2194"/>
      <c r="BF46" s="2194"/>
      <c r="BG46" s="2194"/>
      <c r="BH46" s="2194"/>
      <c r="BI46" s="2194"/>
      <c r="BJ46" s="2242">
        <f t="shared" si="1"/>
        <v>0</v>
      </c>
      <c r="BK46" s="2245">
        <f t="shared" si="2"/>
        <v>0</v>
      </c>
    </row>
    <row r="47" spans="1:63" s="1479" customFormat="1" ht="14.1" customHeight="1">
      <c r="A47" s="2251">
        <f t="shared" si="0"/>
        <v>45381</v>
      </c>
      <c r="B47" s="2736"/>
      <c r="C47" s="2736"/>
      <c r="D47" s="2736"/>
      <c r="E47" s="2736"/>
      <c r="F47" s="2736"/>
      <c r="G47" s="2736"/>
      <c r="H47" s="2736"/>
      <c r="I47" s="2736"/>
      <c r="J47" s="2736"/>
      <c r="K47" s="2736"/>
      <c r="L47" s="2736"/>
      <c r="M47" s="2736"/>
      <c r="N47" s="2736"/>
      <c r="O47" s="2736"/>
      <c r="P47" s="2736"/>
      <c r="Q47" s="2736"/>
      <c r="R47" s="2736"/>
      <c r="S47" s="2736"/>
      <c r="T47" s="2736"/>
      <c r="U47" s="2736"/>
      <c r="V47" s="2736"/>
      <c r="W47" s="2736"/>
      <c r="X47" s="2736"/>
      <c r="Y47" s="2736"/>
      <c r="Z47" s="2736"/>
      <c r="AA47" s="2736"/>
      <c r="AB47" s="2736"/>
      <c r="AC47" s="2736"/>
      <c r="AD47" s="2736"/>
      <c r="AE47" s="2736"/>
      <c r="AF47" s="2736"/>
      <c r="AG47" s="2736"/>
      <c r="AH47" s="2736"/>
      <c r="AI47" s="2736"/>
      <c r="AJ47" s="2736"/>
      <c r="AK47" s="2736"/>
      <c r="AL47" s="2194"/>
      <c r="AM47" s="2194"/>
      <c r="AN47" s="2194"/>
      <c r="AO47" s="2194"/>
      <c r="AP47" s="2194"/>
      <c r="AQ47" s="2194"/>
      <c r="AR47" s="2194"/>
      <c r="AS47" s="2194"/>
      <c r="AT47" s="2194"/>
      <c r="AU47" s="2194"/>
      <c r="AV47" s="2194"/>
      <c r="AW47" s="2194"/>
      <c r="AX47" s="2194"/>
      <c r="AY47" s="2194"/>
      <c r="AZ47" s="2194"/>
      <c r="BA47" s="2194"/>
      <c r="BB47" s="2194"/>
      <c r="BC47" s="2194"/>
      <c r="BD47" s="2194"/>
      <c r="BE47" s="2194"/>
      <c r="BF47" s="2194"/>
      <c r="BG47" s="2194"/>
      <c r="BH47" s="2194"/>
      <c r="BI47" s="2194"/>
      <c r="BJ47" s="2242">
        <f t="shared" si="1"/>
        <v>0</v>
      </c>
      <c r="BK47" s="2245">
        <f t="shared" si="2"/>
        <v>0</v>
      </c>
    </row>
    <row r="48" spans="1:63" s="1479" customFormat="1" ht="14.1" customHeight="1">
      <c r="A48" s="2251">
        <f t="shared" si="0"/>
        <v>45412</v>
      </c>
      <c r="B48" s="2736"/>
      <c r="C48" s="2736"/>
      <c r="D48" s="2736"/>
      <c r="E48" s="2736"/>
      <c r="F48" s="2736"/>
      <c r="G48" s="2736"/>
      <c r="H48" s="2736"/>
      <c r="I48" s="2736"/>
      <c r="J48" s="2736"/>
      <c r="K48" s="2736"/>
      <c r="L48" s="2736"/>
      <c r="M48" s="2736"/>
      <c r="N48" s="2736"/>
      <c r="O48" s="2736"/>
      <c r="P48" s="2736"/>
      <c r="Q48" s="2736"/>
      <c r="R48" s="2736"/>
      <c r="S48" s="2736"/>
      <c r="T48" s="2736"/>
      <c r="U48" s="2736"/>
      <c r="V48" s="2736"/>
      <c r="W48" s="2736"/>
      <c r="X48" s="2736"/>
      <c r="Y48" s="2736"/>
      <c r="Z48" s="2736"/>
      <c r="AA48" s="2736"/>
      <c r="AB48" s="2736"/>
      <c r="AC48" s="2736"/>
      <c r="AD48" s="2736"/>
      <c r="AE48" s="2736"/>
      <c r="AF48" s="2736"/>
      <c r="AG48" s="2736"/>
      <c r="AH48" s="2736"/>
      <c r="AI48" s="2736"/>
      <c r="AJ48" s="2736"/>
      <c r="AK48" s="2736"/>
      <c r="AL48" s="2194"/>
      <c r="AM48" s="2194"/>
      <c r="AN48" s="2194"/>
      <c r="AO48" s="2194"/>
      <c r="AP48" s="2194"/>
      <c r="AQ48" s="2194"/>
      <c r="AR48" s="2194"/>
      <c r="AS48" s="2194"/>
      <c r="AT48" s="2194"/>
      <c r="AU48" s="2194"/>
      <c r="AV48" s="2194"/>
      <c r="AW48" s="2194"/>
      <c r="AX48" s="2194"/>
      <c r="AY48" s="2194"/>
      <c r="AZ48" s="2194"/>
      <c r="BA48" s="2194"/>
      <c r="BB48" s="2194"/>
      <c r="BC48" s="2194"/>
      <c r="BD48" s="2194"/>
      <c r="BE48" s="2194"/>
      <c r="BF48" s="2194"/>
      <c r="BG48" s="2194"/>
      <c r="BH48" s="2194"/>
      <c r="BI48" s="2194"/>
      <c r="BJ48" s="2242">
        <f t="shared" si="1"/>
        <v>0</v>
      </c>
      <c r="BK48" s="2245">
        <f t="shared" si="2"/>
        <v>0</v>
      </c>
    </row>
    <row r="49" spans="1:65" s="1479" customFormat="1" ht="14.1" customHeight="1">
      <c r="A49" s="2251">
        <f>EDATE(A50,-1)</f>
        <v>45442</v>
      </c>
      <c r="B49" s="2736"/>
      <c r="C49" s="2736"/>
      <c r="D49" s="2736"/>
      <c r="E49" s="2736"/>
      <c r="F49" s="2736"/>
      <c r="G49" s="2736"/>
      <c r="H49" s="2736"/>
      <c r="I49" s="2736"/>
      <c r="J49" s="2736"/>
      <c r="K49" s="2736"/>
      <c r="L49" s="2736"/>
      <c r="M49" s="2736"/>
      <c r="N49" s="2736"/>
      <c r="O49" s="2736"/>
      <c r="P49" s="2736"/>
      <c r="Q49" s="2736"/>
      <c r="R49" s="2736"/>
      <c r="S49" s="2736"/>
      <c r="T49" s="2736"/>
      <c r="U49" s="2736"/>
      <c r="V49" s="2736"/>
      <c r="W49" s="2736"/>
      <c r="X49" s="2736"/>
      <c r="Y49" s="2736"/>
      <c r="Z49" s="2736"/>
      <c r="AA49" s="2736"/>
      <c r="AB49" s="2736"/>
      <c r="AC49" s="2736"/>
      <c r="AD49" s="2736"/>
      <c r="AE49" s="2736"/>
      <c r="AF49" s="2736"/>
      <c r="AG49" s="2736"/>
      <c r="AH49" s="2736"/>
      <c r="AI49" s="2736"/>
      <c r="AJ49" s="2736"/>
      <c r="AK49" s="2736"/>
      <c r="AL49" s="2194"/>
      <c r="AM49" s="2194"/>
      <c r="AN49" s="2194"/>
      <c r="AO49" s="2194"/>
      <c r="AP49" s="2194"/>
      <c r="AQ49" s="2194"/>
      <c r="AR49" s="2194"/>
      <c r="AS49" s="2194"/>
      <c r="AT49" s="2194"/>
      <c r="AU49" s="2194"/>
      <c r="AV49" s="2194"/>
      <c r="AW49" s="2194"/>
      <c r="AX49" s="2194"/>
      <c r="AY49" s="2194"/>
      <c r="AZ49" s="2194"/>
      <c r="BA49" s="2194"/>
      <c r="BB49" s="2194"/>
      <c r="BC49" s="2194"/>
      <c r="BD49" s="2194"/>
      <c r="BE49" s="2194"/>
      <c r="BF49" s="2194"/>
      <c r="BG49" s="2194"/>
      <c r="BH49" s="2194"/>
      <c r="BI49" s="2194"/>
      <c r="BJ49" s="2242">
        <f t="shared" si="1"/>
        <v>0</v>
      </c>
      <c r="BK49" s="2245">
        <f t="shared" si="2"/>
        <v>0</v>
      </c>
    </row>
    <row r="50" spans="1:65" s="1479" customFormat="1" ht="14.1" customHeight="1">
      <c r="A50" s="2251">
        <f>F11</f>
        <v>45473</v>
      </c>
      <c r="B50" s="2737"/>
      <c r="C50" s="2737"/>
      <c r="D50" s="2737"/>
      <c r="E50" s="2737"/>
      <c r="F50" s="2737"/>
      <c r="G50" s="2737"/>
      <c r="H50" s="2737"/>
      <c r="I50" s="2737"/>
      <c r="J50" s="2737"/>
      <c r="K50" s="2737"/>
      <c r="L50" s="2737"/>
      <c r="M50" s="2737"/>
      <c r="N50" s="2737"/>
      <c r="O50" s="2737"/>
      <c r="P50" s="2737"/>
      <c r="Q50" s="2737"/>
      <c r="R50" s="2737"/>
      <c r="S50" s="2737"/>
      <c r="T50" s="2737"/>
      <c r="U50" s="2737"/>
      <c r="V50" s="2737"/>
      <c r="W50" s="2737"/>
      <c r="X50" s="2737"/>
      <c r="Y50" s="2737"/>
      <c r="Z50" s="2737"/>
      <c r="AA50" s="2737"/>
      <c r="AB50" s="2737"/>
      <c r="AC50" s="2737"/>
      <c r="AD50" s="2737"/>
      <c r="AE50" s="2737"/>
      <c r="AF50" s="2737"/>
      <c r="AG50" s="2737"/>
      <c r="AH50" s="2737"/>
      <c r="AI50" s="2737"/>
      <c r="AJ50" s="2737"/>
      <c r="AK50" s="2737"/>
      <c r="AL50" s="2195"/>
      <c r="AM50" s="2195"/>
      <c r="AN50" s="2195"/>
      <c r="AO50" s="2195"/>
      <c r="AP50" s="2195"/>
      <c r="AQ50" s="2195"/>
      <c r="AR50" s="2195"/>
      <c r="AS50" s="2195"/>
      <c r="AT50" s="2195"/>
      <c r="AU50" s="2195"/>
      <c r="AV50" s="2195"/>
      <c r="AW50" s="2195"/>
      <c r="AX50" s="2195"/>
      <c r="AY50" s="2195"/>
      <c r="AZ50" s="2195"/>
      <c r="BA50" s="2195"/>
      <c r="BB50" s="2195"/>
      <c r="BC50" s="2195"/>
      <c r="BD50" s="2195"/>
      <c r="BE50" s="2195"/>
      <c r="BF50" s="2195"/>
      <c r="BG50" s="2195"/>
      <c r="BH50" s="2195"/>
      <c r="BI50" s="2195"/>
      <c r="BJ50" s="2243">
        <f t="shared" si="1"/>
        <v>0</v>
      </c>
      <c r="BK50" s="2246">
        <f t="shared" si="2"/>
        <v>0</v>
      </c>
      <c r="BM50" s="2185"/>
    </row>
    <row r="51" spans="1:65" s="1479" customFormat="1" ht="14.1" customHeight="1">
      <c r="A51" s="5" t="s">
        <v>2171</v>
      </c>
      <c r="B51" s="2199">
        <f t="shared" ref="B51:G51" si="3">SUM(B39:B50)</f>
        <v>0</v>
      </c>
      <c r="C51" s="2199">
        <f t="shared" si="3"/>
        <v>0</v>
      </c>
      <c r="D51" s="2199">
        <f t="shared" si="3"/>
        <v>0</v>
      </c>
      <c r="E51" s="2199">
        <f t="shared" si="3"/>
        <v>0</v>
      </c>
      <c r="F51" s="2199">
        <f t="shared" si="3"/>
        <v>0</v>
      </c>
      <c r="G51" s="2199">
        <f t="shared" si="3"/>
        <v>0</v>
      </c>
      <c r="H51" s="2199">
        <f t="shared" ref="H51:BJ51" si="4">SUM(H39:H50)</f>
        <v>0</v>
      </c>
      <c r="I51" s="2199">
        <f t="shared" si="4"/>
        <v>0</v>
      </c>
      <c r="J51" s="2199">
        <f t="shared" si="4"/>
        <v>0</v>
      </c>
      <c r="K51" s="2199">
        <f t="shared" ref="K51:AB51" si="5">SUM(K39:K50)</f>
        <v>0</v>
      </c>
      <c r="L51" s="2199">
        <f t="shared" si="5"/>
        <v>0</v>
      </c>
      <c r="M51" s="2199">
        <f t="shared" si="5"/>
        <v>0</v>
      </c>
      <c r="N51" s="2199">
        <f t="shared" si="5"/>
        <v>0</v>
      </c>
      <c r="O51" s="2199">
        <f t="shared" si="5"/>
        <v>0</v>
      </c>
      <c r="P51" s="2199">
        <f t="shared" si="5"/>
        <v>0</v>
      </c>
      <c r="Q51" s="2199">
        <f t="shared" si="5"/>
        <v>0</v>
      </c>
      <c r="R51" s="2199">
        <f t="shared" si="5"/>
        <v>0</v>
      </c>
      <c r="S51" s="2199">
        <f t="shared" si="5"/>
        <v>0</v>
      </c>
      <c r="T51" s="2199">
        <f t="shared" si="5"/>
        <v>0</v>
      </c>
      <c r="U51" s="2199">
        <f t="shared" si="5"/>
        <v>0</v>
      </c>
      <c r="V51" s="2199">
        <f t="shared" si="5"/>
        <v>0</v>
      </c>
      <c r="W51" s="2199">
        <f t="shared" si="5"/>
        <v>0</v>
      </c>
      <c r="X51" s="2199">
        <f t="shared" si="5"/>
        <v>0</v>
      </c>
      <c r="Y51" s="2199">
        <f t="shared" ref="Y51" si="6">SUM(Y39:Y50)</f>
        <v>0</v>
      </c>
      <c r="Z51" s="2199">
        <f t="shared" si="5"/>
        <v>0</v>
      </c>
      <c r="AA51" s="2199">
        <f t="shared" si="5"/>
        <v>0</v>
      </c>
      <c r="AB51" s="2199">
        <f t="shared" si="5"/>
        <v>0</v>
      </c>
      <c r="AC51" s="2199">
        <f t="shared" si="4"/>
        <v>0</v>
      </c>
      <c r="AD51" s="2199">
        <f t="shared" ref="AD51:AE51" si="7">SUM(AD39:AD50)</f>
        <v>0</v>
      </c>
      <c r="AE51" s="2199">
        <f t="shared" si="7"/>
        <v>0</v>
      </c>
      <c r="AF51" s="2199">
        <f t="shared" si="4"/>
        <v>0</v>
      </c>
      <c r="AG51" s="2199">
        <f t="shared" si="4"/>
        <v>0</v>
      </c>
      <c r="AH51" s="2199">
        <f t="shared" si="4"/>
        <v>0</v>
      </c>
      <c r="AI51" s="2199">
        <f t="shared" si="4"/>
        <v>0</v>
      </c>
      <c r="AJ51" s="2199">
        <f t="shared" si="4"/>
        <v>0</v>
      </c>
      <c r="AK51" s="2199">
        <f t="shared" si="4"/>
        <v>0</v>
      </c>
      <c r="AL51" s="2199">
        <f t="shared" si="4"/>
        <v>0</v>
      </c>
      <c r="AM51" s="2199">
        <f t="shared" si="4"/>
        <v>0</v>
      </c>
      <c r="AN51" s="2199">
        <f t="shared" si="4"/>
        <v>0</v>
      </c>
      <c r="AO51" s="2199">
        <f t="shared" si="4"/>
        <v>0</v>
      </c>
      <c r="AP51" s="2199">
        <f t="shared" si="4"/>
        <v>0</v>
      </c>
      <c r="AQ51" s="2199">
        <f t="shared" si="4"/>
        <v>0</v>
      </c>
      <c r="AR51" s="2199">
        <f t="shared" si="4"/>
        <v>0</v>
      </c>
      <c r="AS51" s="2199">
        <f t="shared" si="4"/>
        <v>0</v>
      </c>
      <c r="AT51" s="2199">
        <f t="shared" si="4"/>
        <v>0</v>
      </c>
      <c r="AU51" s="2199">
        <f t="shared" si="4"/>
        <v>0</v>
      </c>
      <c r="AV51" s="2199">
        <f t="shared" si="4"/>
        <v>0</v>
      </c>
      <c r="AW51" s="2199">
        <f t="shared" si="4"/>
        <v>0</v>
      </c>
      <c r="AX51" s="2199">
        <f t="shared" si="4"/>
        <v>0</v>
      </c>
      <c r="AY51" s="2199">
        <f t="shared" si="4"/>
        <v>0</v>
      </c>
      <c r="AZ51" s="2199">
        <f t="shared" si="4"/>
        <v>0</v>
      </c>
      <c r="BA51" s="2199">
        <f t="shared" si="4"/>
        <v>0</v>
      </c>
      <c r="BB51" s="2199">
        <f t="shared" si="4"/>
        <v>0</v>
      </c>
      <c r="BC51" s="2199">
        <f t="shared" si="4"/>
        <v>0</v>
      </c>
      <c r="BD51" s="2199">
        <f t="shared" ref="BD51" si="8">SUM(BD39:BD50)</f>
        <v>0</v>
      </c>
      <c r="BE51" s="2199">
        <f t="shared" si="4"/>
        <v>0</v>
      </c>
      <c r="BF51" s="2199">
        <f t="shared" si="4"/>
        <v>0</v>
      </c>
      <c r="BG51" s="2199">
        <f t="shared" ref="BG51" si="9">SUM(BG39:BG50)</f>
        <v>0</v>
      </c>
      <c r="BH51" s="2199">
        <f t="shared" si="4"/>
        <v>0</v>
      </c>
      <c r="BI51" s="2199">
        <f t="shared" si="4"/>
        <v>0</v>
      </c>
      <c r="BJ51" s="2182">
        <f t="shared" si="4"/>
        <v>0</v>
      </c>
    </row>
    <row r="52" spans="1:65" s="1479" customFormat="1" ht="14.1" customHeight="1">
      <c r="A52" s="5" t="s">
        <v>1099</v>
      </c>
      <c r="B52" s="2199">
        <f t="shared" ref="B52:BI52" si="10">IF(B37="Yes",B51/11,0)</f>
        <v>0</v>
      </c>
      <c r="C52" s="2199">
        <f t="shared" si="10"/>
        <v>0</v>
      </c>
      <c r="D52" s="2199">
        <f t="shared" si="10"/>
        <v>0</v>
      </c>
      <c r="E52" s="2199">
        <f t="shared" si="10"/>
        <v>0</v>
      </c>
      <c r="F52" s="2199">
        <f t="shared" si="10"/>
        <v>0</v>
      </c>
      <c r="G52" s="2199">
        <f t="shared" si="10"/>
        <v>0</v>
      </c>
      <c r="H52" s="2199">
        <f t="shared" si="10"/>
        <v>0</v>
      </c>
      <c r="I52" s="2199">
        <f t="shared" si="10"/>
        <v>0</v>
      </c>
      <c r="J52" s="2199">
        <f t="shared" si="10"/>
        <v>0</v>
      </c>
      <c r="K52" s="2199">
        <f t="shared" ref="K52:AB52" si="11">IF(K37="Yes",K51/11,0)</f>
        <v>0</v>
      </c>
      <c r="L52" s="2199">
        <f t="shared" si="11"/>
        <v>0</v>
      </c>
      <c r="M52" s="2199">
        <f t="shared" si="11"/>
        <v>0</v>
      </c>
      <c r="N52" s="2199">
        <f t="shared" si="11"/>
        <v>0</v>
      </c>
      <c r="O52" s="2199">
        <f t="shared" si="11"/>
        <v>0</v>
      </c>
      <c r="P52" s="2199">
        <f t="shared" si="11"/>
        <v>0</v>
      </c>
      <c r="Q52" s="2199">
        <f t="shared" si="11"/>
        <v>0</v>
      </c>
      <c r="R52" s="2199">
        <f t="shared" si="11"/>
        <v>0</v>
      </c>
      <c r="S52" s="2199">
        <f t="shared" si="11"/>
        <v>0</v>
      </c>
      <c r="T52" s="2199">
        <f t="shared" si="11"/>
        <v>0</v>
      </c>
      <c r="U52" s="2199">
        <f t="shared" si="11"/>
        <v>0</v>
      </c>
      <c r="V52" s="2199">
        <f t="shared" si="11"/>
        <v>0</v>
      </c>
      <c r="W52" s="2199">
        <f t="shared" si="11"/>
        <v>0</v>
      </c>
      <c r="X52" s="2199">
        <f t="shared" si="11"/>
        <v>0</v>
      </c>
      <c r="Y52" s="2199">
        <f t="shared" ref="Y52" si="12">IF(Y37="Yes",Y51/11,0)</f>
        <v>0</v>
      </c>
      <c r="Z52" s="2199">
        <f t="shared" si="11"/>
        <v>0</v>
      </c>
      <c r="AA52" s="2199">
        <f t="shared" si="11"/>
        <v>0</v>
      </c>
      <c r="AB52" s="2199">
        <f t="shared" si="11"/>
        <v>0</v>
      </c>
      <c r="AC52" s="2199">
        <f t="shared" si="10"/>
        <v>0</v>
      </c>
      <c r="AD52" s="2199">
        <f t="shared" ref="AD52:AE52" si="13">IF(AD37="Yes",AD51/11,0)</f>
        <v>0</v>
      </c>
      <c r="AE52" s="2199">
        <f t="shared" si="13"/>
        <v>0</v>
      </c>
      <c r="AF52" s="2199">
        <f t="shared" si="10"/>
        <v>0</v>
      </c>
      <c r="AG52" s="2199">
        <f t="shared" si="10"/>
        <v>0</v>
      </c>
      <c r="AH52" s="2199">
        <f t="shared" si="10"/>
        <v>0</v>
      </c>
      <c r="AI52" s="2199">
        <f t="shared" si="10"/>
        <v>0</v>
      </c>
      <c r="AJ52" s="2199">
        <f t="shared" si="10"/>
        <v>0</v>
      </c>
      <c r="AK52" s="2199">
        <f t="shared" si="10"/>
        <v>0</v>
      </c>
      <c r="AL52" s="2199">
        <f t="shared" si="10"/>
        <v>0</v>
      </c>
      <c r="AM52" s="2199">
        <f t="shared" si="10"/>
        <v>0</v>
      </c>
      <c r="AN52" s="2199">
        <f t="shared" si="10"/>
        <v>0</v>
      </c>
      <c r="AO52" s="2199">
        <f t="shared" si="10"/>
        <v>0</v>
      </c>
      <c r="AP52" s="2199">
        <f t="shared" si="10"/>
        <v>0</v>
      </c>
      <c r="AQ52" s="2199">
        <f t="shared" si="10"/>
        <v>0</v>
      </c>
      <c r="AR52" s="2199">
        <f t="shared" si="10"/>
        <v>0</v>
      </c>
      <c r="AS52" s="2199">
        <f t="shared" si="10"/>
        <v>0</v>
      </c>
      <c r="AT52" s="2199">
        <f t="shared" si="10"/>
        <v>0</v>
      </c>
      <c r="AU52" s="2199">
        <f t="shared" si="10"/>
        <v>0</v>
      </c>
      <c r="AV52" s="2199">
        <f t="shared" si="10"/>
        <v>0</v>
      </c>
      <c r="AW52" s="2199">
        <f t="shared" si="10"/>
        <v>0</v>
      </c>
      <c r="AX52" s="2199">
        <f t="shared" si="10"/>
        <v>0</v>
      </c>
      <c r="AY52" s="2199">
        <f t="shared" si="10"/>
        <v>0</v>
      </c>
      <c r="AZ52" s="2199">
        <f t="shared" si="10"/>
        <v>0</v>
      </c>
      <c r="BA52" s="2199">
        <f t="shared" si="10"/>
        <v>0</v>
      </c>
      <c r="BB52" s="2199">
        <f t="shared" si="10"/>
        <v>0</v>
      </c>
      <c r="BC52" s="2199">
        <f t="shared" si="10"/>
        <v>0</v>
      </c>
      <c r="BD52" s="2199">
        <f t="shared" ref="BD52" si="14">IF(BD37="Yes",BD51/11,0)</f>
        <v>0</v>
      </c>
      <c r="BE52" s="2199">
        <f t="shared" si="10"/>
        <v>0</v>
      </c>
      <c r="BF52" s="2199">
        <f t="shared" si="10"/>
        <v>0</v>
      </c>
      <c r="BG52" s="2199">
        <f t="shared" ref="BG52" si="15">IF(BG37="Yes",BG51/11,0)</f>
        <v>0</v>
      </c>
      <c r="BH52" s="2199">
        <f t="shared" si="10"/>
        <v>0</v>
      </c>
      <c r="BI52" s="2199">
        <f t="shared" si="10"/>
        <v>0</v>
      </c>
      <c r="BJ52" s="2182"/>
    </row>
    <row r="53" spans="1:65" s="1479" customFormat="1" ht="14.1" customHeight="1">
      <c r="A53" s="5" t="s">
        <v>1015</v>
      </c>
      <c r="B53" s="2199">
        <f t="shared" ref="B53:BI53" si="16">B51-B52</f>
        <v>0</v>
      </c>
      <c r="C53" s="2199">
        <f t="shared" si="16"/>
        <v>0</v>
      </c>
      <c r="D53" s="2199">
        <f t="shared" si="16"/>
        <v>0</v>
      </c>
      <c r="E53" s="2199">
        <f t="shared" si="16"/>
        <v>0</v>
      </c>
      <c r="F53" s="2199">
        <f t="shared" si="16"/>
        <v>0</v>
      </c>
      <c r="G53" s="2199">
        <f t="shared" si="16"/>
        <v>0</v>
      </c>
      <c r="H53" s="2199">
        <f t="shared" si="16"/>
        <v>0</v>
      </c>
      <c r="I53" s="2199">
        <f t="shared" si="16"/>
        <v>0</v>
      </c>
      <c r="J53" s="2199">
        <f t="shared" si="16"/>
        <v>0</v>
      </c>
      <c r="K53" s="2199">
        <f t="shared" ref="K53:AB53" si="17">K51-K52</f>
        <v>0</v>
      </c>
      <c r="L53" s="2199">
        <f t="shared" si="17"/>
        <v>0</v>
      </c>
      <c r="M53" s="2199">
        <f t="shared" si="17"/>
        <v>0</v>
      </c>
      <c r="N53" s="2199">
        <f t="shared" si="17"/>
        <v>0</v>
      </c>
      <c r="O53" s="2199">
        <f t="shared" si="17"/>
        <v>0</v>
      </c>
      <c r="P53" s="2199">
        <f t="shared" si="17"/>
        <v>0</v>
      </c>
      <c r="Q53" s="2199">
        <f t="shared" si="17"/>
        <v>0</v>
      </c>
      <c r="R53" s="2199">
        <f t="shared" si="17"/>
        <v>0</v>
      </c>
      <c r="S53" s="2199">
        <f t="shared" si="17"/>
        <v>0</v>
      </c>
      <c r="T53" s="2199">
        <f t="shared" si="17"/>
        <v>0</v>
      </c>
      <c r="U53" s="2199">
        <f t="shared" si="17"/>
        <v>0</v>
      </c>
      <c r="V53" s="2199">
        <f t="shared" si="17"/>
        <v>0</v>
      </c>
      <c r="W53" s="2199">
        <f t="shared" si="17"/>
        <v>0</v>
      </c>
      <c r="X53" s="2199">
        <f t="shared" si="17"/>
        <v>0</v>
      </c>
      <c r="Y53" s="2199">
        <f t="shared" ref="Y53" si="18">Y51-Y52</f>
        <v>0</v>
      </c>
      <c r="Z53" s="2199">
        <f t="shared" si="17"/>
        <v>0</v>
      </c>
      <c r="AA53" s="2199">
        <f t="shared" si="17"/>
        <v>0</v>
      </c>
      <c r="AB53" s="2199">
        <f t="shared" si="17"/>
        <v>0</v>
      </c>
      <c r="AC53" s="2199">
        <f t="shared" si="16"/>
        <v>0</v>
      </c>
      <c r="AD53" s="2199">
        <f t="shared" ref="AD53:AE53" si="19">AD51-AD52</f>
        <v>0</v>
      </c>
      <c r="AE53" s="2199">
        <f t="shared" si="19"/>
        <v>0</v>
      </c>
      <c r="AF53" s="2199">
        <f t="shared" si="16"/>
        <v>0</v>
      </c>
      <c r="AG53" s="2199">
        <f t="shared" si="16"/>
        <v>0</v>
      </c>
      <c r="AH53" s="2199">
        <f t="shared" si="16"/>
        <v>0</v>
      </c>
      <c r="AI53" s="2199">
        <f t="shared" si="16"/>
        <v>0</v>
      </c>
      <c r="AJ53" s="2199">
        <f t="shared" si="16"/>
        <v>0</v>
      </c>
      <c r="AK53" s="2199">
        <f t="shared" si="16"/>
        <v>0</v>
      </c>
      <c r="AL53" s="2199">
        <f t="shared" si="16"/>
        <v>0</v>
      </c>
      <c r="AM53" s="2199">
        <f t="shared" si="16"/>
        <v>0</v>
      </c>
      <c r="AN53" s="2199">
        <f t="shared" si="16"/>
        <v>0</v>
      </c>
      <c r="AO53" s="2199">
        <f t="shared" si="16"/>
        <v>0</v>
      </c>
      <c r="AP53" s="2199">
        <f t="shared" si="16"/>
        <v>0</v>
      </c>
      <c r="AQ53" s="2199">
        <f t="shared" si="16"/>
        <v>0</v>
      </c>
      <c r="AR53" s="2199">
        <f t="shared" si="16"/>
        <v>0</v>
      </c>
      <c r="AS53" s="2199">
        <f t="shared" si="16"/>
        <v>0</v>
      </c>
      <c r="AT53" s="2199">
        <f t="shared" si="16"/>
        <v>0</v>
      </c>
      <c r="AU53" s="2199">
        <f t="shared" si="16"/>
        <v>0</v>
      </c>
      <c r="AV53" s="2199">
        <f t="shared" si="16"/>
        <v>0</v>
      </c>
      <c r="AW53" s="2199">
        <f t="shared" si="16"/>
        <v>0</v>
      </c>
      <c r="AX53" s="2199">
        <f t="shared" si="16"/>
        <v>0</v>
      </c>
      <c r="AY53" s="2199">
        <f t="shared" si="16"/>
        <v>0</v>
      </c>
      <c r="AZ53" s="2199">
        <f t="shared" si="16"/>
        <v>0</v>
      </c>
      <c r="BA53" s="2199">
        <f t="shared" si="16"/>
        <v>0</v>
      </c>
      <c r="BB53" s="2199">
        <f t="shared" si="16"/>
        <v>0</v>
      </c>
      <c r="BC53" s="2199">
        <f t="shared" si="16"/>
        <v>0</v>
      </c>
      <c r="BD53" s="2199">
        <f t="shared" ref="BD53" si="20">BD51-BD52</f>
        <v>0</v>
      </c>
      <c r="BE53" s="2199">
        <f t="shared" si="16"/>
        <v>0</v>
      </c>
      <c r="BF53" s="2199">
        <f t="shared" si="16"/>
        <v>0</v>
      </c>
      <c r="BG53" s="2199">
        <f t="shared" ref="BG53" si="21">BG51-BG52</f>
        <v>0</v>
      </c>
      <c r="BH53" s="2199">
        <f t="shared" si="16"/>
        <v>0</v>
      </c>
      <c r="BI53" s="2199">
        <f t="shared" si="16"/>
        <v>0</v>
      </c>
      <c r="BJ53" s="2182"/>
    </row>
    <row r="54" spans="1:65" s="1528" customFormat="1" ht="14.1" customHeight="1">
      <c r="A54" s="54"/>
      <c r="B54" s="2256"/>
      <c r="C54" s="2256"/>
      <c r="D54" s="2256"/>
      <c r="E54" s="2256"/>
      <c r="F54" s="2256"/>
      <c r="G54" s="2256"/>
      <c r="H54" s="2256"/>
      <c r="I54" s="2256"/>
      <c r="J54" s="2256"/>
      <c r="K54" s="2256"/>
      <c r="L54" s="2256"/>
      <c r="M54" s="2256"/>
      <c r="N54" s="2256"/>
      <c r="O54" s="2256"/>
      <c r="P54" s="2256"/>
      <c r="Q54" s="2256"/>
      <c r="R54" s="2256"/>
      <c r="S54" s="2256"/>
      <c r="T54" s="2256"/>
      <c r="U54" s="2256"/>
      <c r="V54" s="2256"/>
      <c r="W54" s="2256"/>
      <c r="X54" s="2256"/>
      <c r="Y54" s="2256"/>
      <c r="Z54" s="2256"/>
      <c r="AA54" s="2256"/>
      <c r="AB54" s="2256"/>
      <c r="AC54" s="2256"/>
      <c r="AD54" s="2256"/>
      <c r="AE54" s="2256"/>
      <c r="AF54" s="2256"/>
      <c r="AG54" s="2256"/>
      <c r="AH54" s="2256"/>
      <c r="AI54" s="2256"/>
      <c r="AJ54" s="2256"/>
      <c r="AK54" s="2256"/>
      <c r="AL54" s="2256"/>
      <c r="AM54" s="2256"/>
      <c r="AN54" s="2256"/>
      <c r="AO54" s="2256"/>
      <c r="AP54" s="2256"/>
      <c r="AQ54" s="2256"/>
      <c r="AR54" s="2256"/>
      <c r="AS54" s="2256"/>
      <c r="AT54" s="2256"/>
      <c r="AU54" s="2256"/>
      <c r="AV54" s="2256"/>
      <c r="AW54" s="2256"/>
      <c r="AX54" s="2256"/>
      <c r="AY54" s="2256"/>
      <c r="AZ54" s="2256"/>
      <c r="BA54" s="2256"/>
      <c r="BB54" s="2256"/>
      <c r="BC54" s="2256"/>
      <c r="BD54" s="2256"/>
      <c r="BE54" s="2256"/>
      <c r="BF54" s="2256"/>
      <c r="BG54" s="2256"/>
      <c r="BH54" s="2256"/>
      <c r="BI54" s="2256"/>
      <c r="BJ54" s="2257"/>
    </row>
    <row r="55" spans="1:65" s="1479" customFormat="1" ht="14.1" customHeight="1">
      <c r="A55" s="2253" t="s">
        <v>2172</v>
      </c>
      <c r="B55" s="2255">
        <f>IF(B37="Yes",B53,B51)</f>
        <v>0</v>
      </c>
      <c r="C55" s="2255">
        <f t="shared" ref="C55:BI55" si="22">IF(C37="Yes",C53,C51)</f>
        <v>0</v>
      </c>
      <c r="D55" s="2255">
        <f t="shared" si="22"/>
        <v>0</v>
      </c>
      <c r="E55" s="2255">
        <f t="shared" si="22"/>
        <v>0</v>
      </c>
      <c r="F55" s="2255">
        <f t="shared" si="22"/>
        <v>0</v>
      </c>
      <c r="G55" s="2255">
        <f t="shared" si="22"/>
        <v>0</v>
      </c>
      <c r="H55" s="2255">
        <f t="shared" si="22"/>
        <v>0</v>
      </c>
      <c r="I55" s="2255">
        <f t="shared" si="22"/>
        <v>0</v>
      </c>
      <c r="J55" s="2255">
        <f t="shared" si="22"/>
        <v>0</v>
      </c>
      <c r="K55" s="2255">
        <f t="shared" si="22"/>
        <v>0</v>
      </c>
      <c r="L55" s="2255">
        <f t="shared" si="22"/>
        <v>0</v>
      </c>
      <c r="M55" s="2255">
        <f t="shared" si="22"/>
        <v>0</v>
      </c>
      <c r="N55" s="2255">
        <f t="shared" si="22"/>
        <v>0</v>
      </c>
      <c r="O55" s="2255">
        <f t="shared" si="22"/>
        <v>0</v>
      </c>
      <c r="P55" s="2255">
        <f t="shared" si="22"/>
        <v>0</v>
      </c>
      <c r="Q55" s="2255">
        <f t="shared" si="22"/>
        <v>0</v>
      </c>
      <c r="R55" s="2255">
        <f t="shared" si="22"/>
        <v>0</v>
      </c>
      <c r="S55" s="2255">
        <f t="shared" si="22"/>
        <v>0</v>
      </c>
      <c r="T55" s="2255">
        <f t="shared" si="22"/>
        <v>0</v>
      </c>
      <c r="U55" s="2255">
        <f t="shared" si="22"/>
        <v>0</v>
      </c>
      <c r="V55" s="2255">
        <f t="shared" si="22"/>
        <v>0</v>
      </c>
      <c r="W55" s="2255">
        <f t="shared" si="22"/>
        <v>0</v>
      </c>
      <c r="X55" s="2255">
        <f t="shared" si="22"/>
        <v>0</v>
      </c>
      <c r="Y55" s="2255">
        <f t="shared" si="22"/>
        <v>0</v>
      </c>
      <c r="Z55" s="2255">
        <f t="shared" si="22"/>
        <v>0</v>
      </c>
      <c r="AA55" s="2255">
        <f t="shared" si="22"/>
        <v>0</v>
      </c>
      <c r="AB55" s="2255">
        <f t="shared" si="22"/>
        <v>0</v>
      </c>
      <c r="AC55" s="2255">
        <f t="shared" si="22"/>
        <v>0</v>
      </c>
      <c r="AD55" s="2255">
        <f t="shared" si="22"/>
        <v>0</v>
      </c>
      <c r="AE55" s="2255">
        <f t="shared" si="22"/>
        <v>0</v>
      </c>
      <c r="AF55" s="2255">
        <f t="shared" si="22"/>
        <v>0</v>
      </c>
      <c r="AG55" s="2255">
        <f t="shared" si="22"/>
        <v>0</v>
      </c>
      <c r="AH55" s="2255">
        <f t="shared" si="22"/>
        <v>0</v>
      </c>
      <c r="AI55" s="2255">
        <f t="shared" si="22"/>
        <v>0</v>
      </c>
      <c r="AJ55" s="2255">
        <f t="shared" si="22"/>
        <v>0</v>
      </c>
      <c r="AK55" s="2255">
        <f t="shared" si="22"/>
        <v>0</v>
      </c>
      <c r="AL55" s="2255">
        <f t="shared" si="22"/>
        <v>0</v>
      </c>
      <c r="AM55" s="2255">
        <f t="shared" si="22"/>
        <v>0</v>
      </c>
      <c r="AN55" s="2255">
        <f t="shared" si="22"/>
        <v>0</v>
      </c>
      <c r="AO55" s="2255">
        <f t="shared" si="22"/>
        <v>0</v>
      </c>
      <c r="AP55" s="2255">
        <f t="shared" si="22"/>
        <v>0</v>
      </c>
      <c r="AQ55" s="2255">
        <f t="shared" si="22"/>
        <v>0</v>
      </c>
      <c r="AR55" s="2255">
        <f t="shared" si="22"/>
        <v>0</v>
      </c>
      <c r="AS55" s="2255">
        <f t="shared" si="22"/>
        <v>0</v>
      </c>
      <c r="AT55" s="2255">
        <f t="shared" si="22"/>
        <v>0</v>
      </c>
      <c r="AU55" s="2255">
        <f t="shared" si="22"/>
        <v>0</v>
      </c>
      <c r="AV55" s="2255">
        <f t="shared" si="22"/>
        <v>0</v>
      </c>
      <c r="AW55" s="2255">
        <f t="shared" si="22"/>
        <v>0</v>
      </c>
      <c r="AX55" s="2255">
        <f t="shared" si="22"/>
        <v>0</v>
      </c>
      <c r="AY55" s="2255">
        <f t="shared" si="22"/>
        <v>0</v>
      </c>
      <c r="AZ55" s="2255">
        <f t="shared" si="22"/>
        <v>0</v>
      </c>
      <c r="BA55" s="2255">
        <f t="shared" si="22"/>
        <v>0</v>
      </c>
      <c r="BB55" s="2255">
        <f t="shared" si="22"/>
        <v>0</v>
      </c>
      <c r="BC55" s="2255">
        <f t="shared" si="22"/>
        <v>0</v>
      </c>
      <c r="BD55" s="2255">
        <f t="shared" si="22"/>
        <v>0</v>
      </c>
      <c r="BE55" s="2255">
        <f t="shared" si="22"/>
        <v>0</v>
      </c>
      <c r="BF55" s="2255">
        <f t="shared" si="22"/>
        <v>0</v>
      </c>
      <c r="BG55" s="2255">
        <f t="shared" si="22"/>
        <v>0</v>
      </c>
      <c r="BH55" s="2255">
        <f t="shared" si="22"/>
        <v>0</v>
      </c>
      <c r="BI55" s="2255">
        <f t="shared" si="22"/>
        <v>0</v>
      </c>
      <c r="BJ55" s="2182"/>
    </row>
    <row r="56" spans="1:65" s="2259" customFormat="1" ht="14.1" customHeight="1">
      <c r="A56" s="2258" t="s">
        <v>2164</v>
      </c>
      <c r="B56" s="2738"/>
      <c r="C56" s="2738"/>
      <c r="D56" s="2738"/>
      <c r="E56" s="2739"/>
      <c r="F56" s="2739"/>
      <c r="G56" s="2739"/>
      <c r="H56" s="2738"/>
      <c r="I56" s="2739"/>
      <c r="J56" s="2739"/>
      <c r="K56" s="2739"/>
      <c r="L56" s="2739"/>
      <c r="M56" s="2739"/>
      <c r="N56" s="2739"/>
      <c r="O56" s="2739"/>
      <c r="P56" s="2739"/>
      <c r="Q56" s="2739"/>
      <c r="R56" s="2739"/>
      <c r="S56" s="2739"/>
      <c r="T56" s="2739"/>
      <c r="U56" s="2739"/>
      <c r="V56" s="2739"/>
      <c r="W56" s="2739"/>
      <c r="X56" s="2739"/>
      <c r="Y56" s="2739"/>
      <c r="Z56" s="2739"/>
      <c r="AA56" s="2739"/>
      <c r="AB56" s="2739"/>
      <c r="AC56" s="2739"/>
      <c r="AD56" s="2739"/>
      <c r="AE56" s="2739"/>
      <c r="AF56" s="2739"/>
      <c r="AG56" s="2739"/>
      <c r="AH56" s="2739"/>
      <c r="AI56" s="2739"/>
      <c r="AJ56" s="2739"/>
      <c r="AK56" s="2739"/>
      <c r="AL56" s="2196"/>
      <c r="AM56" s="2196"/>
      <c r="AN56" s="2196"/>
      <c r="AO56" s="2196"/>
      <c r="AP56" s="2196"/>
      <c r="AQ56" s="2196"/>
      <c r="AR56" s="2196"/>
      <c r="AS56" s="2196"/>
      <c r="AT56" s="2196"/>
      <c r="AU56" s="2196"/>
      <c r="AV56" s="2196"/>
      <c r="AW56" s="2196"/>
      <c r="AX56" s="2196"/>
      <c r="AY56" s="2196"/>
      <c r="AZ56" s="2196"/>
      <c r="BA56" s="2196"/>
      <c r="BB56" s="2196"/>
      <c r="BC56" s="2196"/>
      <c r="BD56" s="2196"/>
      <c r="BE56" s="2196"/>
      <c r="BF56" s="2196"/>
      <c r="BG56" s="2196"/>
      <c r="BH56" s="2196"/>
      <c r="BI56" s="2196"/>
    </row>
    <row r="57" spans="1:65" s="1479" customFormat="1" ht="15.75" customHeight="1">
      <c r="C57" s="23"/>
      <c r="D57" s="23"/>
      <c r="F57" s="23"/>
      <c r="G57" s="23"/>
      <c r="I57" s="23"/>
      <c r="J57" s="23"/>
      <c r="L57" s="23"/>
      <c r="M57" s="23"/>
      <c r="O57" s="23"/>
      <c r="P57" s="23"/>
      <c r="R57" s="23"/>
      <c r="S57" s="23"/>
      <c r="U57" s="23"/>
      <c r="V57" s="23"/>
      <c r="X57" s="23"/>
      <c r="Y57" s="23"/>
      <c r="AA57" s="23"/>
      <c r="AB57" s="23"/>
      <c r="AD57" s="23"/>
      <c r="AE57" s="23"/>
      <c r="AG57" s="23"/>
      <c r="AH57" s="23"/>
      <c r="AJ57" s="23"/>
      <c r="AK57" s="23"/>
      <c r="AM57" s="23"/>
      <c r="AN57" s="23"/>
      <c r="AP57" s="23"/>
      <c r="AQ57" s="23"/>
      <c r="AS57" s="23"/>
      <c r="AT57" s="23"/>
      <c r="AV57" s="23"/>
      <c r="AW57" s="23"/>
      <c r="AY57" s="23"/>
      <c r="AZ57" s="23"/>
      <c r="BB57" s="23"/>
      <c r="BC57" s="23"/>
      <c r="BE57" s="23"/>
      <c r="BF57" s="23"/>
      <c r="BH57" s="23"/>
      <c r="BI57" s="23"/>
    </row>
    <row r="58" spans="1:65" s="2247" customFormat="1" ht="81.400000000000006" customHeight="1">
      <c r="A58" s="2249" t="s">
        <v>1768</v>
      </c>
      <c r="B58" s="2740"/>
      <c r="C58" s="2741"/>
      <c r="D58" s="2741"/>
      <c r="E58" s="2741"/>
      <c r="F58" s="2741"/>
      <c r="G58" s="2741"/>
      <c r="H58" s="2741"/>
      <c r="I58" s="2741"/>
      <c r="J58" s="2741"/>
      <c r="K58" s="2741"/>
      <c r="L58" s="2741"/>
      <c r="M58" s="2741"/>
      <c r="N58" s="2741"/>
      <c r="O58" s="2741"/>
      <c r="P58" s="2741"/>
      <c r="Q58" s="2741"/>
      <c r="R58" s="2741"/>
      <c r="S58" s="2741"/>
      <c r="T58" s="2741"/>
      <c r="U58" s="2741"/>
      <c r="V58" s="2741"/>
      <c r="W58" s="2741"/>
      <c r="X58" s="2741"/>
      <c r="Y58" s="2741"/>
      <c r="Z58" s="2741"/>
      <c r="AA58" s="2741"/>
      <c r="AB58" s="2741"/>
      <c r="AC58" s="2741"/>
      <c r="AD58" s="2741"/>
      <c r="AE58" s="2741"/>
      <c r="AF58" s="2740"/>
      <c r="AG58" s="2740"/>
      <c r="AH58" s="2740"/>
      <c r="AI58" s="2740"/>
      <c r="AJ58" s="2740"/>
      <c r="AK58" s="2740"/>
      <c r="AL58" s="2248"/>
      <c r="AM58" s="2248"/>
      <c r="AN58" s="2248"/>
      <c r="AO58" s="2248"/>
      <c r="AP58" s="2248"/>
      <c r="AQ58" s="2248"/>
      <c r="AR58" s="2248"/>
      <c r="AS58" s="2248"/>
      <c r="AT58" s="2248"/>
      <c r="AU58" s="2248"/>
      <c r="AV58" s="2248"/>
      <c r="AW58" s="2248"/>
      <c r="AX58" s="2248"/>
      <c r="AY58" s="2248"/>
      <c r="AZ58" s="2248"/>
      <c r="BA58" s="2248"/>
      <c r="BB58" s="2248"/>
      <c r="BC58" s="2248"/>
      <c r="BD58" s="2248"/>
      <c r="BE58" s="2248"/>
      <c r="BF58" s="2248"/>
      <c r="BG58" s="2248"/>
      <c r="BH58" s="2248"/>
      <c r="BI58" s="2248"/>
    </row>
    <row r="59" spans="1:65" s="1479" customFormat="1" ht="15.75" customHeight="1">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row>
    <row r="60" spans="1:65" s="1479" customFormat="1" ht="15.75" customHeight="1">
      <c r="A60" s="3889" t="s">
        <v>2188</v>
      </c>
      <c r="B60" s="3889"/>
      <c r="C60" s="3889"/>
      <c r="D60" s="3889"/>
      <c r="E60" s="3889"/>
      <c r="F60" s="3889"/>
      <c r="G60" s="2190"/>
      <c r="H60" s="2191"/>
      <c r="I60" s="2191"/>
      <c r="J60" s="2191"/>
      <c r="K60" s="2191"/>
      <c r="L60" s="2191"/>
      <c r="M60" s="2191"/>
      <c r="N60" s="2191"/>
      <c r="O60" s="2191"/>
      <c r="P60" s="2191"/>
      <c r="Q60" s="2191"/>
      <c r="R60" s="2191"/>
      <c r="S60" s="2191"/>
      <c r="T60" s="2191"/>
      <c r="U60" s="2191"/>
      <c r="V60" s="2191"/>
      <c r="W60" s="2191"/>
      <c r="X60" s="2191"/>
      <c r="Y60" s="2191"/>
      <c r="Z60" s="2191"/>
      <c r="AA60" s="2191"/>
      <c r="AB60" s="2191"/>
      <c r="AC60" s="2191"/>
      <c r="AD60" s="2191"/>
      <c r="AE60" s="2191"/>
      <c r="AF60" s="2190"/>
      <c r="AG60" s="2190"/>
      <c r="AH60" s="2190"/>
      <c r="AI60" s="2190"/>
      <c r="AJ60" s="2190"/>
      <c r="AK60" s="2190"/>
      <c r="AL60" s="2190"/>
      <c r="AM60" s="2190"/>
      <c r="AN60" s="2190"/>
      <c r="AO60" s="2190"/>
      <c r="AP60" s="2190"/>
      <c r="AQ60" s="2190"/>
      <c r="AR60" s="2190"/>
      <c r="AS60" s="2190"/>
      <c r="AT60" s="2190"/>
      <c r="AU60" s="2190"/>
      <c r="AV60" s="2190"/>
      <c r="AW60" s="2190"/>
      <c r="AX60" s="2190"/>
      <c r="AY60" s="2190"/>
      <c r="AZ60" s="2190"/>
      <c r="BA60" s="2190"/>
      <c r="BB60" s="2190"/>
      <c r="BC60" s="2190"/>
      <c r="BD60" s="2190"/>
      <c r="BE60" s="2190"/>
      <c r="BF60" s="2190"/>
    </row>
    <row r="61" spans="1:65" s="1479" customFormat="1" ht="15.75" customHeight="1">
      <c r="C61" s="2179"/>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row>
    <row r="62" spans="1:65" s="1479" customFormat="1">
      <c r="B62" s="3885" t="s">
        <v>2189</v>
      </c>
      <c r="C62" s="3885"/>
      <c r="D62" s="3885"/>
      <c r="E62" s="3885"/>
      <c r="F62" s="3885"/>
      <c r="G62" s="3885"/>
      <c r="H62" s="3885"/>
    </row>
    <row r="63" spans="1:65" s="1479" customFormat="1">
      <c r="A63" s="2220" t="s">
        <v>2181</v>
      </c>
      <c r="B63" s="29" t="s">
        <v>2178</v>
      </c>
      <c r="C63" s="2232" t="s">
        <v>1262</v>
      </c>
      <c r="D63" s="2232" t="s">
        <v>2183</v>
      </c>
      <c r="E63" s="2233" t="s">
        <v>2164</v>
      </c>
      <c r="F63" s="2233" t="s">
        <v>966</v>
      </c>
      <c r="G63" s="2234" t="s">
        <v>1127</v>
      </c>
    </row>
    <row r="64" spans="1:65" s="1479" customFormat="1">
      <c r="A64" s="2050">
        <v>1</v>
      </c>
      <c r="B64" s="2092" t="s">
        <v>2179</v>
      </c>
      <c r="C64" s="2166">
        <f t="shared" ref="C64:C95" si="23">$F$11</f>
        <v>45473</v>
      </c>
      <c r="D64" s="1479" t="str">
        <f>"CSHBK"&amp;A64</f>
        <v>CSHBK1</v>
      </c>
      <c r="E64" s="2183">
        <f>B56</f>
        <v>0</v>
      </c>
      <c r="F64" s="2235">
        <f>-B55</f>
        <v>0</v>
      </c>
      <c r="G64" s="2236" t="str">
        <f>B38</f>
        <v>Inflow</v>
      </c>
    </row>
    <row r="65" spans="1:7" s="1479" customFormat="1">
      <c r="A65" s="2050">
        <v>2</v>
      </c>
      <c r="B65" s="2092" t="s">
        <v>2179</v>
      </c>
      <c r="C65" s="2166">
        <f t="shared" si="23"/>
        <v>45473</v>
      </c>
      <c r="D65" s="1479" t="str">
        <f t="shared" ref="D65:D125" si="24">"CSHBK"&amp;A65</f>
        <v>CSHBK2</v>
      </c>
      <c r="E65" s="2183">
        <f>C56</f>
        <v>0</v>
      </c>
      <c r="F65" s="2235">
        <f>-C55</f>
        <v>0</v>
      </c>
      <c r="G65" s="2236" t="str">
        <f>C38</f>
        <v>Inflow</v>
      </c>
    </row>
    <row r="66" spans="1:7" s="1479" customFormat="1">
      <c r="A66" s="2050">
        <v>3</v>
      </c>
      <c r="B66" s="2092" t="s">
        <v>2179</v>
      </c>
      <c r="C66" s="2166">
        <f t="shared" si="23"/>
        <v>45473</v>
      </c>
      <c r="D66" s="1479" t="str">
        <f t="shared" si="24"/>
        <v>CSHBK3</v>
      </c>
      <c r="E66" s="2183">
        <f>D56</f>
        <v>0</v>
      </c>
      <c r="F66" s="2235">
        <f>-D55</f>
        <v>0</v>
      </c>
      <c r="G66" s="2236" t="str">
        <f>D38</f>
        <v>Inflow</v>
      </c>
    </row>
    <row r="67" spans="1:7" s="1479" customFormat="1">
      <c r="A67" s="2050">
        <v>4</v>
      </c>
      <c r="B67" s="2092" t="s">
        <v>2179</v>
      </c>
      <c r="C67" s="2166">
        <f t="shared" si="23"/>
        <v>45473</v>
      </c>
      <c r="D67" s="1479" t="str">
        <f t="shared" si="24"/>
        <v>CSHBK4</v>
      </c>
      <c r="E67" s="2183">
        <f>E56</f>
        <v>0</v>
      </c>
      <c r="F67" s="2235">
        <f>-E55</f>
        <v>0</v>
      </c>
      <c r="G67" s="2236" t="str">
        <f>E38</f>
        <v>Inflow</v>
      </c>
    </row>
    <row r="68" spans="1:7" s="1479" customFormat="1">
      <c r="A68" s="2050">
        <v>5</v>
      </c>
      <c r="B68" s="2092" t="s">
        <v>2179</v>
      </c>
      <c r="C68" s="2166">
        <f t="shared" si="23"/>
        <v>45473</v>
      </c>
      <c r="D68" s="1479" t="str">
        <f t="shared" si="24"/>
        <v>CSHBK5</v>
      </c>
      <c r="E68" s="2183">
        <f>F56</f>
        <v>0</v>
      </c>
      <c r="F68" s="2235">
        <f>-F55</f>
        <v>0</v>
      </c>
      <c r="G68" s="2236" t="str">
        <f>F38</f>
        <v>Inflow</v>
      </c>
    </row>
    <row r="69" spans="1:7" s="1479" customFormat="1">
      <c r="A69" s="2050">
        <v>6</v>
      </c>
      <c r="B69" s="2092" t="s">
        <v>2179</v>
      </c>
      <c r="C69" s="2166">
        <f t="shared" si="23"/>
        <v>45473</v>
      </c>
      <c r="D69" s="1479" t="str">
        <f t="shared" si="24"/>
        <v>CSHBK6</v>
      </c>
      <c r="E69" s="2183">
        <f>G56</f>
        <v>0</v>
      </c>
      <c r="F69" s="2235">
        <f>-G55</f>
        <v>0</v>
      </c>
      <c r="G69" s="2236" t="str">
        <f>G38</f>
        <v>Inflow</v>
      </c>
    </row>
    <row r="70" spans="1:7" s="1479" customFormat="1">
      <c r="A70" s="2050">
        <v>7</v>
      </c>
      <c r="B70" s="2092" t="s">
        <v>2179</v>
      </c>
      <c r="C70" s="2166">
        <f t="shared" si="23"/>
        <v>45473</v>
      </c>
      <c r="D70" s="1479" t="str">
        <f t="shared" si="24"/>
        <v>CSHBK7</v>
      </c>
      <c r="E70" s="2183">
        <f>H56</f>
        <v>0</v>
      </c>
      <c r="F70" s="2235">
        <f>-H55</f>
        <v>0</v>
      </c>
      <c r="G70" s="2236" t="str">
        <f>H38</f>
        <v>Inflow</v>
      </c>
    </row>
    <row r="71" spans="1:7" s="1479" customFormat="1">
      <c r="A71" s="2050">
        <v>8</v>
      </c>
      <c r="B71" s="2092" t="s">
        <v>2179</v>
      </c>
      <c r="C71" s="2166">
        <f t="shared" si="23"/>
        <v>45473</v>
      </c>
      <c r="D71" s="1479" t="str">
        <f t="shared" si="24"/>
        <v>CSHBK8</v>
      </c>
      <c r="E71" s="2183">
        <f>I56</f>
        <v>0</v>
      </c>
      <c r="F71" s="2235">
        <f>-I55</f>
        <v>0</v>
      </c>
      <c r="G71" s="2236" t="str">
        <f>I38</f>
        <v>Inflow</v>
      </c>
    </row>
    <row r="72" spans="1:7" s="1479" customFormat="1">
      <c r="A72" s="2050">
        <v>9</v>
      </c>
      <c r="B72" s="2092" t="s">
        <v>2179</v>
      </c>
      <c r="C72" s="2166">
        <f t="shared" si="23"/>
        <v>45473</v>
      </c>
      <c r="D72" s="1479" t="str">
        <f t="shared" si="24"/>
        <v>CSHBK9</v>
      </c>
      <c r="E72" s="2183">
        <f>J56</f>
        <v>0</v>
      </c>
      <c r="F72" s="2235">
        <f>-J55</f>
        <v>0</v>
      </c>
      <c r="G72" s="2236" t="str">
        <f>J38</f>
        <v>Inflow</v>
      </c>
    </row>
    <row r="73" spans="1:7" s="1479" customFormat="1">
      <c r="A73" s="2050">
        <v>10</v>
      </c>
      <c r="B73" s="2092" t="s">
        <v>2179</v>
      </c>
      <c r="C73" s="2166">
        <f t="shared" si="23"/>
        <v>45473</v>
      </c>
      <c r="D73" s="1479" t="str">
        <f t="shared" si="24"/>
        <v>CSHBK10</v>
      </c>
      <c r="E73" s="2183">
        <f>K56</f>
        <v>0</v>
      </c>
      <c r="F73" s="2235">
        <f>-K55</f>
        <v>0</v>
      </c>
      <c r="G73" s="2236" t="str">
        <f>K38</f>
        <v>Inflow</v>
      </c>
    </row>
    <row r="74" spans="1:7" s="1479" customFormat="1">
      <c r="A74" s="2050">
        <v>11</v>
      </c>
      <c r="B74" s="2092" t="s">
        <v>2179</v>
      </c>
      <c r="C74" s="2166">
        <f t="shared" si="23"/>
        <v>45473</v>
      </c>
      <c r="D74" s="1479" t="str">
        <f t="shared" si="24"/>
        <v>CSHBK11</v>
      </c>
      <c r="E74" s="2183">
        <f>L56</f>
        <v>0</v>
      </c>
      <c r="F74" s="2235">
        <f>-L55</f>
        <v>0</v>
      </c>
      <c r="G74" s="2236" t="str">
        <f>L38</f>
        <v>Inflow</v>
      </c>
    </row>
    <row r="75" spans="1:7" s="1479" customFormat="1">
      <c r="A75" s="2050">
        <v>12</v>
      </c>
      <c r="B75" s="2092" t="s">
        <v>2179</v>
      </c>
      <c r="C75" s="2166">
        <f t="shared" si="23"/>
        <v>45473</v>
      </c>
      <c r="D75" s="1479" t="str">
        <f t="shared" si="24"/>
        <v>CSHBK12</v>
      </c>
      <c r="E75" s="2183">
        <f>M56</f>
        <v>0</v>
      </c>
      <c r="F75" s="2235">
        <f>-M55</f>
        <v>0</v>
      </c>
      <c r="G75" s="2236" t="str">
        <f>M38</f>
        <v>Inflow</v>
      </c>
    </row>
    <row r="76" spans="1:7" s="1479" customFormat="1">
      <c r="A76" s="2050">
        <v>13</v>
      </c>
      <c r="B76" s="2092" t="s">
        <v>2179</v>
      </c>
      <c r="C76" s="2166">
        <f t="shared" si="23"/>
        <v>45473</v>
      </c>
      <c r="D76" s="1479" t="str">
        <f t="shared" si="24"/>
        <v>CSHBK13</v>
      </c>
      <c r="E76" s="2183">
        <f>N56</f>
        <v>0</v>
      </c>
      <c r="F76" s="2235">
        <f>-N55</f>
        <v>0</v>
      </c>
      <c r="G76" s="2236" t="str">
        <f>N38</f>
        <v>Inflow</v>
      </c>
    </row>
    <row r="77" spans="1:7" s="1479" customFormat="1">
      <c r="A77" s="2050">
        <v>14</v>
      </c>
      <c r="B77" s="2092" t="s">
        <v>2179</v>
      </c>
      <c r="C77" s="2166">
        <f t="shared" si="23"/>
        <v>45473</v>
      </c>
      <c r="D77" s="1479" t="str">
        <f t="shared" si="24"/>
        <v>CSHBK14</v>
      </c>
      <c r="E77" s="2183">
        <f>O56</f>
        <v>0</v>
      </c>
      <c r="F77" s="2235">
        <f>-O55</f>
        <v>0</v>
      </c>
      <c r="G77" s="2236" t="str">
        <f>O38</f>
        <v>Inflow</v>
      </c>
    </row>
    <row r="78" spans="1:7" s="1479" customFormat="1">
      <c r="A78" s="2050">
        <v>15</v>
      </c>
      <c r="B78" s="2092" t="s">
        <v>2179</v>
      </c>
      <c r="C78" s="2166">
        <f t="shared" si="23"/>
        <v>45473</v>
      </c>
      <c r="D78" s="1479" t="str">
        <f t="shared" si="24"/>
        <v>CSHBK15</v>
      </c>
      <c r="E78" s="2183">
        <f>P56</f>
        <v>0</v>
      </c>
      <c r="F78" s="2235">
        <f>-P55</f>
        <v>0</v>
      </c>
      <c r="G78" s="2236" t="str">
        <f>P38</f>
        <v>Inflow</v>
      </c>
    </row>
    <row r="79" spans="1:7" s="1479" customFormat="1">
      <c r="A79" s="2050">
        <v>16</v>
      </c>
      <c r="B79" s="2092" t="s">
        <v>2179</v>
      </c>
      <c r="C79" s="2166">
        <f t="shared" si="23"/>
        <v>45473</v>
      </c>
      <c r="D79" s="1479" t="str">
        <f t="shared" si="24"/>
        <v>CSHBK16</v>
      </c>
      <c r="E79" s="2183">
        <f>Q56</f>
        <v>0</v>
      </c>
      <c r="F79" s="2235">
        <f>-Q55</f>
        <v>0</v>
      </c>
      <c r="G79" s="2236" t="str">
        <f>Q38</f>
        <v>Inflow</v>
      </c>
    </row>
    <row r="80" spans="1:7" s="1479" customFormat="1">
      <c r="A80" s="2050">
        <v>17</v>
      </c>
      <c r="B80" s="2092" t="s">
        <v>2179</v>
      </c>
      <c r="C80" s="2166">
        <f t="shared" si="23"/>
        <v>45473</v>
      </c>
      <c r="D80" s="1479" t="str">
        <f t="shared" si="24"/>
        <v>CSHBK17</v>
      </c>
      <c r="E80" s="2183">
        <f>R56</f>
        <v>0</v>
      </c>
      <c r="F80" s="2235">
        <f>-R55</f>
        <v>0</v>
      </c>
      <c r="G80" s="2236" t="str">
        <f>R38</f>
        <v>Inflow</v>
      </c>
    </row>
    <row r="81" spans="1:7" s="1479" customFormat="1">
      <c r="A81" s="2050">
        <v>18</v>
      </c>
      <c r="B81" s="2092" t="s">
        <v>2179</v>
      </c>
      <c r="C81" s="2166">
        <f t="shared" si="23"/>
        <v>45473</v>
      </c>
      <c r="D81" s="1479" t="str">
        <f t="shared" si="24"/>
        <v>CSHBK18</v>
      </c>
      <c r="E81" s="2183">
        <f>S56</f>
        <v>0</v>
      </c>
      <c r="F81" s="2235">
        <f>-S55</f>
        <v>0</v>
      </c>
      <c r="G81" s="2236" t="str">
        <f>S38</f>
        <v>Inflow</v>
      </c>
    </row>
    <row r="82" spans="1:7" s="1479" customFormat="1">
      <c r="A82" s="2050">
        <v>19</v>
      </c>
      <c r="B82" s="2092" t="s">
        <v>2179</v>
      </c>
      <c r="C82" s="2166">
        <f t="shared" si="23"/>
        <v>45473</v>
      </c>
      <c r="D82" s="1479" t="str">
        <f t="shared" si="24"/>
        <v>CSHBK19</v>
      </c>
      <c r="E82" s="2183">
        <f>T56</f>
        <v>0</v>
      </c>
      <c r="F82" s="2235">
        <f>-T55</f>
        <v>0</v>
      </c>
      <c r="G82" s="2236" t="str">
        <f>T38</f>
        <v>Inflow</v>
      </c>
    </row>
    <row r="83" spans="1:7" s="1479" customFormat="1">
      <c r="A83" s="2050">
        <v>20</v>
      </c>
      <c r="B83" s="2092" t="s">
        <v>2179</v>
      </c>
      <c r="C83" s="2166">
        <f t="shared" si="23"/>
        <v>45473</v>
      </c>
      <c r="D83" s="1479" t="str">
        <f t="shared" si="24"/>
        <v>CSHBK20</v>
      </c>
      <c r="E83" s="2183">
        <f>U56</f>
        <v>0</v>
      </c>
      <c r="F83" s="2235">
        <f>-U55</f>
        <v>0</v>
      </c>
      <c r="G83" s="2236" t="str">
        <f>U38</f>
        <v>Inflow</v>
      </c>
    </row>
    <row r="84" spans="1:7" s="1479" customFormat="1">
      <c r="A84" s="2050">
        <v>21</v>
      </c>
      <c r="B84" s="2092" t="s">
        <v>2179</v>
      </c>
      <c r="C84" s="2166">
        <f t="shared" si="23"/>
        <v>45473</v>
      </c>
      <c r="D84" s="1479" t="str">
        <f t="shared" si="24"/>
        <v>CSHBK21</v>
      </c>
      <c r="E84" s="2183">
        <f>V56</f>
        <v>0</v>
      </c>
      <c r="F84" s="2235">
        <f>-V55</f>
        <v>0</v>
      </c>
      <c r="G84" s="2236" t="str">
        <f>V38</f>
        <v>Inflow</v>
      </c>
    </row>
    <row r="85" spans="1:7" s="1479" customFormat="1">
      <c r="A85" s="2050">
        <v>22</v>
      </c>
      <c r="B85" s="2092" t="s">
        <v>2179</v>
      </c>
      <c r="C85" s="2166">
        <f t="shared" si="23"/>
        <v>45473</v>
      </c>
      <c r="D85" s="1479" t="str">
        <f t="shared" si="24"/>
        <v>CSHBK22</v>
      </c>
      <c r="E85" s="2183">
        <f>W56</f>
        <v>0</v>
      </c>
      <c r="F85" s="2235">
        <f>-W55</f>
        <v>0</v>
      </c>
      <c r="G85" s="2236" t="str">
        <f>W38</f>
        <v>Inflow</v>
      </c>
    </row>
    <row r="86" spans="1:7" s="1479" customFormat="1">
      <c r="A86" s="2050">
        <v>23</v>
      </c>
      <c r="B86" s="2092" t="s">
        <v>2179</v>
      </c>
      <c r="C86" s="2166">
        <f t="shared" si="23"/>
        <v>45473</v>
      </c>
      <c r="D86" s="1479" t="str">
        <f t="shared" si="24"/>
        <v>CSHBK23</v>
      </c>
      <c r="E86" s="2183">
        <f>X56</f>
        <v>0</v>
      </c>
      <c r="F86" s="2235">
        <f>-X55</f>
        <v>0</v>
      </c>
      <c r="G86" s="2236" t="str">
        <f>X38</f>
        <v>Inflow</v>
      </c>
    </row>
    <row r="87" spans="1:7" s="1479" customFormat="1">
      <c r="A87" s="2050">
        <v>24</v>
      </c>
      <c r="B87" s="2092" t="s">
        <v>2179</v>
      </c>
      <c r="C87" s="2166">
        <f t="shared" si="23"/>
        <v>45473</v>
      </c>
      <c r="D87" s="1479" t="str">
        <f t="shared" si="24"/>
        <v>CSHBK24</v>
      </c>
      <c r="E87" s="2183">
        <f>Y56</f>
        <v>0</v>
      </c>
      <c r="F87" s="2235">
        <f>-Y55</f>
        <v>0</v>
      </c>
      <c r="G87" s="2236" t="str">
        <f>Y38</f>
        <v>Inflow</v>
      </c>
    </row>
    <row r="88" spans="1:7" s="1479" customFormat="1">
      <c r="A88" s="2050">
        <v>25</v>
      </c>
      <c r="B88" s="2092" t="s">
        <v>2179</v>
      </c>
      <c r="C88" s="2166">
        <f t="shared" si="23"/>
        <v>45473</v>
      </c>
      <c r="D88" s="1479" t="str">
        <f t="shared" si="24"/>
        <v>CSHBK25</v>
      </c>
      <c r="E88" s="2183">
        <f>Z56</f>
        <v>0</v>
      </c>
      <c r="F88" s="2235">
        <f>-Z55</f>
        <v>0</v>
      </c>
      <c r="G88" s="2236" t="str">
        <f>Z38</f>
        <v>Inflow</v>
      </c>
    </row>
    <row r="89" spans="1:7" s="1479" customFormat="1">
      <c r="A89" s="2050">
        <v>26</v>
      </c>
      <c r="B89" s="2092" t="s">
        <v>2179</v>
      </c>
      <c r="C89" s="2166">
        <f t="shared" si="23"/>
        <v>45473</v>
      </c>
      <c r="D89" s="1479" t="str">
        <f t="shared" si="24"/>
        <v>CSHBK26</v>
      </c>
      <c r="E89" s="2183">
        <f>AA56</f>
        <v>0</v>
      </c>
      <c r="F89" s="2235">
        <f>-AA55</f>
        <v>0</v>
      </c>
      <c r="G89" s="2236" t="str">
        <f>AA38</f>
        <v>Inflow</v>
      </c>
    </row>
    <row r="90" spans="1:7" s="1479" customFormat="1">
      <c r="A90" s="2050">
        <v>27</v>
      </c>
      <c r="B90" s="2092" t="s">
        <v>2179</v>
      </c>
      <c r="C90" s="2166">
        <f t="shared" si="23"/>
        <v>45473</v>
      </c>
      <c r="D90" s="1479" t="str">
        <f t="shared" si="24"/>
        <v>CSHBK27</v>
      </c>
      <c r="E90" s="2183">
        <f>AB56</f>
        <v>0</v>
      </c>
      <c r="F90" s="2235">
        <f>-AB55</f>
        <v>0</v>
      </c>
      <c r="G90" s="2236" t="str">
        <f>AB38</f>
        <v>Inflow</v>
      </c>
    </row>
    <row r="91" spans="1:7" s="1479" customFormat="1">
      <c r="A91" s="2050">
        <v>28</v>
      </c>
      <c r="B91" s="2092" t="s">
        <v>2179</v>
      </c>
      <c r="C91" s="2166">
        <f t="shared" si="23"/>
        <v>45473</v>
      </c>
      <c r="D91" s="1479" t="str">
        <f t="shared" si="24"/>
        <v>CSHBK28</v>
      </c>
      <c r="E91" s="2183">
        <f>AC56</f>
        <v>0</v>
      </c>
      <c r="F91" s="2235">
        <f>-AC55</f>
        <v>0</v>
      </c>
      <c r="G91" s="2236" t="str">
        <f>AC38</f>
        <v>Inflow</v>
      </c>
    </row>
    <row r="92" spans="1:7" s="1479" customFormat="1">
      <c r="A92" s="2050">
        <v>29</v>
      </c>
      <c r="B92" s="2092" t="s">
        <v>2179</v>
      </c>
      <c r="C92" s="2166">
        <f t="shared" si="23"/>
        <v>45473</v>
      </c>
      <c r="D92" s="1479" t="str">
        <f t="shared" si="24"/>
        <v>CSHBK29</v>
      </c>
      <c r="E92" s="2183">
        <f>AD56</f>
        <v>0</v>
      </c>
      <c r="F92" s="2235">
        <f>-AD55</f>
        <v>0</v>
      </c>
      <c r="G92" s="2236" t="str">
        <f>AD38</f>
        <v>Inflow</v>
      </c>
    </row>
    <row r="93" spans="1:7" s="1479" customFormat="1">
      <c r="A93" s="2050">
        <v>30</v>
      </c>
      <c r="B93" s="2092" t="s">
        <v>2179</v>
      </c>
      <c r="C93" s="2166">
        <f t="shared" si="23"/>
        <v>45473</v>
      </c>
      <c r="D93" s="1479" t="str">
        <f t="shared" si="24"/>
        <v>CSHBK30</v>
      </c>
      <c r="E93" s="2183">
        <f>AE56</f>
        <v>0</v>
      </c>
      <c r="F93" s="2235">
        <f>-AE55</f>
        <v>0</v>
      </c>
      <c r="G93" s="2236" t="str">
        <f>AE38</f>
        <v>Inflow</v>
      </c>
    </row>
    <row r="94" spans="1:7" s="1479" customFormat="1">
      <c r="A94" s="2050">
        <v>31</v>
      </c>
      <c r="B94" s="2092" t="s">
        <v>2179</v>
      </c>
      <c r="C94" s="2166">
        <f t="shared" si="23"/>
        <v>45473</v>
      </c>
      <c r="D94" s="1479" t="str">
        <f t="shared" si="24"/>
        <v>CSHBK31</v>
      </c>
      <c r="E94" s="2183">
        <f>AF56</f>
        <v>0</v>
      </c>
      <c r="F94" s="2235">
        <f>AF55</f>
        <v>0</v>
      </c>
      <c r="G94" s="2236" t="str">
        <f>AF38</f>
        <v>Outflow</v>
      </c>
    </row>
    <row r="95" spans="1:7" s="1479" customFormat="1">
      <c r="A95" s="2050">
        <v>32</v>
      </c>
      <c r="B95" s="2092" t="s">
        <v>2179</v>
      </c>
      <c r="C95" s="2166">
        <f t="shared" si="23"/>
        <v>45473</v>
      </c>
      <c r="D95" s="1479" t="str">
        <f t="shared" si="24"/>
        <v>CSHBK32</v>
      </c>
      <c r="E95" s="2183">
        <f>AG56</f>
        <v>0</v>
      </c>
      <c r="F95" s="2235">
        <f>AG55</f>
        <v>0</v>
      </c>
      <c r="G95" s="2236" t="str">
        <f>AG38</f>
        <v>Outflow</v>
      </c>
    </row>
    <row r="96" spans="1:7" s="1479" customFormat="1">
      <c r="A96" s="2050">
        <v>33</v>
      </c>
      <c r="B96" s="2092" t="s">
        <v>2179</v>
      </c>
      <c r="C96" s="2166">
        <f t="shared" ref="C96:C125" si="25">$F$11</f>
        <v>45473</v>
      </c>
      <c r="D96" s="1479" t="str">
        <f t="shared" si="24"/>
        <v>CSHBK33</v>
      </c>
      <c r="E96" s="2183">
        <f>AH56</f>
        <v>0</v>
      </c>
      <c r="F96" s="2235">
        <f>AH55</f>
        <v>0</v>
      </c>
      <c r="G96" s="2236" t="str">
        <f>AH38</f>
        <v>Outflow</v>
      </c>
    </row>
    <row r="97" spans="1:7" s="1479" customFormat="1">
      <c r="A97" s="2050">
        <v>34</v>
      </c>
      <c r="B97" s="2092" t="s">
        <v>2179</v>
      </c>
      <c r="C97" s="2166">
        <f t="shared" si="25"/>
        <v>45473</v>
      </c>
      <c r="D97" s="1479" t="str">
        <f t="shared" si="24"/>
        <v>CSHBK34</v>
      </c>
      <c r="E97" s="2183">
        <f>AI56</f>
        <v>0</v>
      </c>
      <c r="F97" s="2235">
        <f>AI55</f>
        <v>0</v>
      </c>
      <c r="G97" s="2236" t="str">
        <f>AI38</f>
        <v>Outflow</v>
      </c>
    </row>
    <row r="98" spans="1:7" s="1479" customFormat="1">
      <c r="A98" s="2050">
        <v>35</v>
      </c>
      <c r="B98" s="2092" t="s">
        <v>2179</v>
      </c>
      <c r="C98" s="2166">
        <f t="shared" si="25"/>
        <v>45473</v>
      </c>
      <c r="D98" s="1479" t="str">
        <f t="shared" si="24"/>
        <v>CSHBK35</v>
      </c>
      <c r="E98" s="2183">
        <f>AJ56</f>
        <v>0</v>
      </c>
      <c r="F98" s="2235">
        <f>AJ55</f>
        <v>0</v>
      </c>
      <c r="G98" s="2236" t="str">
        <f>AJ38</f>
        <v>Outflow</v>
      </c>
    </row>
    <row r="99" spans="1:7" s="1479" customFormat="1">
      <c r="A99" s="2050">
        <v>36</v>
      </c>
      <c r="B99" s="2092" t="s">
        <v>2179</v>
      </c>
      <c r="C99" s="2166">
        <f t="shared" si="25"/>
        <v>45473</v>
      </c>
      <c r="D99" s="1479" t="str">
        <f t="shared" si="24"/>
        <v>CSHBK36</v>
      </c>
      <c r="E99" s="2183">
        <f>AK56</f>
        <v>0</v>
      </c>
      <c r="F99" s="2235">
        <f>AK55</f>
        <v>0</v>
      </c>
      <c r="G99" s="2236" t="str">
        <f>AK38</f>
        <v>Outflow</v>
      </c>
    </row>
    <row r="100" spans="1:7" s="1479" customFormat="1">
      <c r="A100" s="2050">
        <v>37</v>
      </c>
      <c r="B100" s="2092" t="s">
        <v>2179</v>
      </c>
      <c r="C100" s="2166">
        <f t="shared" si="25"/>
        <v>45473</v>
      </c>
      <c r="D100" s="1479" t="str">
        <f t="shared" si="24"/>
        <v>CSHBK37</v>
      </c>
      <c r="E100" s="2183">
        <f>AL56</f>
        <v>0</v>
      </c>
      <c r="F100" s="2235">
        <f>AL55</f>
        <v>0</v>
      </c>
      <c r="G100" s="2236" t="str">
        <f>AL38</f>
        <v>Outflow</v>
      </c>
    </row>
    <row r="101" spans="1:7" s="1479" customFormat="1">
      <c r="A101" s="2050">
        <v>38</v>
      </c>
      <c r="B101" s="2092" t="s">
        <v>2179</v>
      </c>
      <c r="C101" s="2166">
        <f t="shared" si="25"/>
        <v>45473</v>
      </c>
      <c r="D101" s="1479" t="str">
        <f t="shared" si="24"/>
        <v>CSHBK38</v>
      </c>
      <c r="E101" s="2183">
        <f>AM56</f>
        <v>0</v>
      </c>
      <c r="F101" s="2235">
        <f>AM55</f>
        <v>0</v>
      </c>
      <c r="G101" s="2236" t="str">
        <f>AM38</f>
        <v>Outflow</v>
      </c>
    </row>
    <row r="102" spans="1:7" s="1479" customFormat="1">
      <c r="A102" s="2050">
        <v>39</v>
      </c>
      <c r="B102" s="2092" t="s">
        <v>2179</v>
      </c>
      <c r="C102" s="2166">
        <f t="shared" si="25"/>
        <v>45473</v>
      </c>
      <c r="D102" s="1479" t="str">
        <f t="shared" si="24"/>
        <v>CSHBK39</v>
      </c>
      <c r="E102" s="2183">
        <f>AN56</f>
        <v>0</v>
      </c>
      <c r="F102" s="2235">
        <f>AN55</f>
        <v>0</v>
      </c>
      <c r="G102" s="2236" t="str">
        <f>AN38</f>
        <v>Outflow</v>
      </c>
    </row>
    <row r="103" spans="1:7" s="1479" customFormat="1">
      <c r="A103" s="2050">
        <v>40</v>
      </c>
      <c r="B103" s="2092" t="s">
        <v>2179</v>
      </c>
      <c r="C103" s="2166">
        <f t="shared" si="25"/>
        <v>45473</v>
      </c>
      <c r="D103" s="1479" t="str">
        <f t="shared" si="24"/>
        <v>CSHBK40</v>
      </c>
      <c r="E103" s="2183">
        <f>AO56</f>
        <v>0</v>
      </c>
      <c r="F103" s="2235">
        <f>AO55</f>
        <v>0</v>
      </c>
      <c r="G103" s="2236" t="str">
        <f>AO38</f>
        <v>Outflow</v>
      </c>
    </row>
    <row r="104" spans="1:7" s="1479" customFormat="1">
      <c r="A104" s="2050">
        <v>41</v>
      </c>
      <c r="B104" s="2092" t="s">
        <v>2179</v>
      </c>
      <c r="C104" s="2166">
        <f t="shared" si="25"/>
        <v>45473</v>
      </c>
      <c r="D104" s="1479" t="str">
        <f t="shared" si="24"/>
        <v>CSHBK41</v>
      </c>
      <c r="E104" s="2183">
        <f>AP56</f>
        <v>0</v>
      </c>
      <c r="F104" s="2235">
        <f>AP55</f>
        <v>0</v>
      </c>
      <c r="G104" s="2236" t="str">
        <f>AP38</f>
        <v>Outflow</v>
      </c>
    </row>
    <row r="105" spans="1:7" s="1479" customFormat="1">
      <c r="A105" s="2050">
        <v>42</v>
      </c>
      <c r="B105" s="2092" t="s">
        <v>2179</v>
      </c>
      <c r="C105" s="2166">
        <f t="shared" si="25"/>
        <v>45473</v>
      </c>
      <c r="D105" s="1479" t="str">
        <f t="shared" si="24"/>
        <v>CSHBK42</v>
      </c>
      <c r="E105" s="2183">
        <f>AQ56</f>
        <v>0</v>
      </c>
      <c r="F105" s="2235">
        <f>AQ55</f>
        <v>0</v>
      </c>
      <c r="G105" s="2236" t="str">
        <f>AQ38</f>
        <v>Outflow</v>
      </c>
    </row>
    <row r="106" spans="1:7" s="1479" customFormat="1">
      <c r="A106" s="2050">
        <v>43</v>
      </c>
      <c r="B106" s="2092" t="s">
        <v>2179</v>
      </c>
      <c r="C106" s="2166">
        <f t="shared" si="25"/>
        <v>45473</v>
      </c>
      <c r="D106" s="1479" t="str">
        <f t="shared" si="24"/>
        <v>CSHBK43</v>
      </c>
      <c r="E106" s="2183">
        <f>AR56</f>
        <v>0</v>
      </c>
      <c r="F106" s="2235">
        <f>AR55</f>
        <v>0</v>
      </c>
      <c r="G106" s="2236" t="str">
        <f>AR38</f>
        <v>Outflow</v>
      </c>
    </row>
    <row r="107" spans="1:7" s="1479" customFormat="1">
      <c r="A107" s="2050">
        <v>44</v>
      </c>
      <c r="B107" s="2092" t="s">
        <v>2179</v>
      </c>
      <c r="C107" s="2166">
        <f t="shared" si="25"/>
        <v>45473</v>
      </c>
      <c r="D107" s="1479" t="str">
        <f t="shared" si="24"/>
        <v>CSHBK44</v>
      </c>
      <c r="E107" s="2183">
        <f>AS56</f>
        <v>0</v>
      </c>
      <c r="F107" s="2235">
        <f>AS55</f>
        <v>0</v>
      </c>
      <c r="G107" s="2236" t="str">
        <f>AS38</f>
        <v>Outflow</v>
      </c>
    </row>
    <row r="108" spans="1:7" s="1479" customFormat="1">
      <c r="A108" s="2050">
        <v>45</v>
      </c>
      <c r="B108" s="2092" t="s">
        <v>2179</v>
      </c>
      <c r="C108" s="2166">
        <f t="shared" si="25"/>
        <v>45473</v>
      </c>
      <c r="D108" s="1479" t="str">
        <f t="shared" si="24"/>
        <v>CSHBK45</v>
      </c>
      <c r="E108" s="2183">
        <f>AT56</f>
        <v>0</v>
      </c>
      <c r="F108" s="2235">
        <f>AT55</f>
        <v>0</v>
      </c>
      <c r="G108" s="2236" t="str">
        <f>AT38</f>
        <v>Outflow</v>
      </c>
    </row>
    <row r="109" spans="1:7" s="1479" customFormat="1">
      <c r="A109" s="2050">
        <v>46</v>
      </c>
      <c r="B109" s="2092" t="s">
        <v>2179</v>
      </c>
      <c r="C109" s="2166">
        <f t="shared" si="25"/>
        <v>45473</v>
      </c>
      <c r="D109" s="1479" t="str">
        <f t="shared" si="24"/>
        <v>CSHBK46</v>
      </c>
      <c r="E109" s="2183">
        <f>AU56</f>
        <v>0</v>
      </c>
      <c r="F109" s="2235">
        <f>AU55</f>
        <v>0</v>
      </c>
      <c r="G109" s="2236" t="str">
        <f>AU38</f>
        <v>Outflow</v>
      </c>
    </row>
    <row r="110" spans="1:7" s="1479" customFormat="1">
      <c r="A110" s="2050">
        <v>47</v>
      </c>
      <c r="B110" s="2092" t="s">
        <v>2179</v>
      </c>
      <c r="C110" s="2166">
        <f t="shared" si="25"/>
        <v>45473</v>
      </c>
      <c r="D110" s="1479" t="str">
        <f t="shared" si="24"/>
        <v>CSHBK47</v>
      </c>
      <c r="E110" s="2183">
        <f>AV56</f>
        <v>0</v>
      </c>
      <c r="F110" s="2235">
        <f>AV55</f>
        <v>0</v>
      </c>
      <c r="G110" s="2236" t="str">
        <f>AV38</f>
        <v>Outflow</v>
      </c>
    </row>
    <row r="111" spans="1:7" s="1479" customFormat="1">
      <c r="A111" s="2050">
        <v>48</v>
      </c>
      <c r="B111" s="2092" t="s">
        <v>2179</v>
      </c>
      <c r="C111" s="2166">
        <f t="shared" si="25"/>
        <v>45473</v>
      </c>
      <c r="D111" s="1479" t="str">
        <f>"CSHBK"&amp;A111</f>
        <v>CSHBK48</v>
      </c>
      <c r="E111" s="2183">
        <f>AW56</f>
        <v>0</v>
      </c>
      <c r="F111" s="2235">
        <f>AW55</f>
        <v>0</v>
      </c>
      <c r="G111" s="2236" t="str">
        <f>AW38</f>
        <v>Outflow</v>
      </c>
    </row>
    <row r="112" spans="1:7" s="1479" customFormat="1">
      <c r="A112" s="2050">
        <v>49</v>
      </c>
      <c r="B112" s="2092" t="s">
        <v>2179</v>
      </c>
      <c r="C112" s="2166">
        <f t="shared" si="25"/>
        <v>45473</v>
      </c>
      <c r="D112" s="1479" t="str">
        <f t="shared" si="24"/>
        <v>CSHBK49</v>
      </c>
      <c r="E112" s="2183">
        <f>AX56</f>
        <v>0</v>
      </c>
      <c r="F112" s="2235">
        <f>AX55</f>
        <v>0</v>
      </c>
      <c r="G112" s="2236" t="str">
        <f>AX38</f>
        <v>Outflow</v>
      </c>
    </row>
    <row r="113" spans="1:73" s="1479" customFormat="1">
      <c r="A113" s="2050">
        <v>50</v>
      </c>
      <c r="B113" s="2092" t="s">
        <v>2179</v>
      </c>
      <c r="C113" s="2166">
        <f t="shared" si="25"/>
        <v>45473</v>
      </c>
      <c r="D113" s="1479" t="str">
        <f t="shared" si="24"/>
        <v>CSHBK50</v>
      </c>
      <c r="E113" s="2183">
        <f>AY56</f>
        <v>0</v>
      </c>
      <c r="F113" s="2235">
        <f>AY55</f>
        <v>0</v>
      </c>
      <c r="G113" s="2236" t="str">
        <f>AY38</f>
        <v>Outflow</v>
      </c>
    </row>
    <row r="114" spans="1:73" s="1479" customFormat="1">
      <c r="A114" s="2050">
        <v>51</v>
      </c>
      <c r="B114" s="2092" t="s">
        <v>2179</v>
      </c>
      <c r="C114" s="2166">
        <f t="shared" si="25"/>
        <v>45473</v>
      </c>
      <c r="D114" s="1479" t="str">
        <f t="shared" si="24"/>
        <v>CSHBK51</v>
      </c>
      <c r="E114" s="2183">
        <f>AZ56</f>
        <v>0</v>
      </c>
      <c r="F114" s="2235">
        <f>AZ55</f>
        <v>0</v>
      </c>
      <c r="G114" s="2236" t="str">
        <f>AZ38</f>
        <v>Outflow</v>
      </c>
    </row>
    <row r="115" spans="1:73" s="1479" customFormat="1">
      <c r="A115" s="2050">
        <v>52</v>
      </c>
      <c r="B115" s="2092" t="s">
        <v>2179</v>
      </c>
      <c r="C115" s="2166">
        <f t="shared" si="25"/>
        <v>45473</v>
      </c>
      <c r="D115" s="1479" t="str">
        <f t="shared" si="24"/>
        <v>CSHBK52</v>
      </c>
      <c r="E115" s="2183">
        <f>BA56</f>
        <v>0</v>
      </c>
      <c r="F115" s="2235">
        <f>BA55</f>
        <v>0</v>
      </c>
      <c r="G115" s="2236" t="str">
        <f>BA38</f>
        <v>Outflow</v>
      </c>
    </row>
    <row r="116" spans="1:73" s="1479" customFormat="1">
      <c r="A116" s="2050">
        <v>53</v>
      </c>
      <c r="B116" s="2092" t="s">
        <v>2179</v>
      </c>
      <c r="C116" s="2166">
        <f t="shared" si="25"/>
        <v>45473</v>
      </c>
      <c r="D116" s="1479" t="str">
        <f t="shared" si="24"/>
        <v>CSHBK53</v>
      </c>
      <c r="E116" s="2183">
        <f>BB56</f>
        <v>0</v>
      </c>
      <c r="F116" s="2235">
        <f>BB55</f>
        <v>0</v>
      </c>
      <c r="G116" s="2236" t="str">
        <f>BB38</f>
        <v>Outflow</v>
      </c>
    </row>
    <row r="117" spans="1:73" s="1479" customFormat="1">
      <c r="A117" s="2050">
        <v>54</v>
      </c>
      <c r="B117" s="2092" t="s">
        <v>2179</v>
      </c>
      <c r="C117" s="2166">
        <f t="shared" si="25"/>
        <v>45473</v>
      </c>
      <c r="D117" s="1479" t="str">
        <f t="shared" si="24"/>
        <v>CSHBK54</v>
      </c>
      <c r="E117" s="2183">
        <f>BC56</f>
        <v>0</v>
      </c>
      <c r="F117" s="2235">
        <f>BC55</f>
        <v>0</v>
      </c>
      <c r="G117" s="2236" t="str">
        <f>BC38</f>
        <v>Outflow</v>
      </c>
    </row>
    <row r="118" spans="1:73" s="1479" customFormat="1">
      <c r="A118" s="2050">
        <v>55</v>
      </c>
      <c r="B118" s="2092" t="s">
        <v>2179</v>
      </c>
      <c r="C118" s="2166">
        <f t="shared" si="25"/>
        <v>45473</v>
      </c>
      <c r="D118" s="1479" t="str">
        <f t="shared" si="24"/>
        <v>CSHBK55</v>
      </c>
      <c r="E118" s="2183">
        <f>BD56</f>
        <v>0</v>
      </c>
      <c r="F118" s="2235">
        <f>BD55</f>
        <v>0</v>
      </c>
      <c r="G118" s="2236" t="str">
        <f>BD38</f>
        <v>Outflow</v>
      </c>
    </row>
    <row r="119" spans="1:73" s="1479" customFormat="1">
      <c r="A119" s="2050">
        <v>56</v>
      </c>
      <c r="B119" s="2092" t="s">
        <v>2179</v>
      </c>
      <c r="C119" s="2166">
        <f t="shared" si="25"/>
        <v>45473</v>
      </c>
      <c r="D119" s="1479" t="str">
        <f t="shared" si="24"/>
        <v>CSHBK56</v>
      </c>
      <c r="E119" s="2183">
        <f>BE56</f>
        <v>0</v>
      </c>
      <c r="F119" s="2235">
        <f>BE55</f>
        <v>0</v>
      </c>
      <c r="G119" s="2236" t="str">
        <f>BE38</f>
        <v>Outflow</v>
      </c>
    </row>
    <row r="120" spans="1:73" s="1479" customFormat="1">
      <c r="A120" s="2050">
        <v>57</v>
      </c>
      <c r="B120" s="2092" t="s">
        <v>2179</v>
      </c>
      <c r="C120" s="2166">
        <f t="shared" si="25"/>
        <v>45473</v>
      </c>
      <c r="D120" s="1479" t="str">
        <f t="shared" si="24"/>
        <v>CSHBK57</v>
      </c>
      <c r="E120" s="2183">
        <f>BF56</f>
        <v>0</v>
      </c>
      <c r="F120" s="2235">
        <f>BF55</f>
        <v>0</v>
      </c>
      <c r="G120" s="2236" t="str">
        <f>BF38</f>
        <v>Outflow</v>
      </c>
    </row>
    <row r="121" spans="1:73" s="1479" customFormat="1">
      <c r="A121" s="2050">
        <v>58</v>
      </c>
      <c r="B121" s="2092" t="s">
        <v>2179</v>
      </c>
      <c r="C121" s="2166">
        <f t="shared" si="25"/>
        <v>45473</v>
      </c>
      <c r="D121" s="1479" t="str">
        <f t="shared" si="24"/>
        <v>CSHBK58</v>
      </c>
      <c r="E121" s="2183">
        <f>BG56</f>
        <v>0</v>
      </c>
      <c r="F121" s="2235">
        <f>BG55</f>
        <v>0</v>
      </c>
      <c r="G121" s="2236" t="str">
        <f>BG38</f>
        <v>Outflow</v>
      </c>
      <c r="BS121" s="1614"/>
      <c r="BT121" s="1614"/>
      <c r="BU121" s="1614"/>
    </row>
    <row r="122" spans="1:73" s="1479" customFormat="1">
      <c r="A122" s="2050">
        <v>59</v>
      </c>
      <c r="B122" s="2092" t="s">
        <v>2179</v>
      </c>
      <c r="C122" s="2166">
        <f t="shared" si="25"/>
        <v>45473</v>
      </c>
      <c r="D122" s="1479" t="str">
        <f t="shared" si="24"/>
        <v>CSHBK59</v>
      </c>
      <c r="E122" s="2183">
        <f>BH56</f>
        <v>0</v>
      </c>
      <c r="F122" s="2235">
        <f>BH55</f>
        <v>0</v>
      </c>
      <c r="G122" s="2236" t="str">
        <f>BH38</f>
        <v>Outflow</v>
      </c>
      <c r="BS122" s="1614"/>
      <c r="BT122" s="1614"/>
      <c r="BU122" s="1614"/>
    </row>
    <row r="123" spans="1:73" s="1479" customFormat="1">
      <c r="A123" s="2050">
        <v>60</v>
      </c>
      <c r="B123" s="2092" t="s">
        <v>2179</v>
      </c>
      <c r="C123" s="2166">
        <f t="shared" si="25"/>
        <v>45473</v>
      </c>
      <c r="D123" s="1479" t="str">
        <f t="shared" si="24"/>
        <v>CSHBK60</v>
      </c>
      <c r="E123" s="2183">
        <f>BI56</f>
        <v>0</v>
      </c>
      <c r="F123" s="2235">
        <f>BI55</f>
        <v>0</v>
      </c>
      <c r="G123" s="2236" t="str">
        <f>BI38</f>
        <v>Outflow</v>
      </c>
      <c r="BS123" s="1614"/>
      <c r="BT123" s="1614"/>
      <c r="BU123" s="1614"/>
    </row>
    <row r="124" spans="1:73" s="1479" customFormat="1">
      <c r="A124" s="2050" t="s">
        <v>1099</v>
      </c>
      <c r="B124" s="2092" t="s">
        <v>2179</v>
      </c>
      <c r="C124" s="2166">
        <f t="shared" si="25"/>
        <v>45473</v>
      </c>
      <c r="D124" s="1479" t="str">
        <f t="shared" si="24"/>
        <v>CSHBKGST</v>
      </c>
      <c r="E124" s="2742"/>
      <c r="F124" s="2235">
        <f>(SUM(B52:AE52)*-1)+SUM(AF52:BI52)</f>
        <v>0</v>
      </c>
      <c r="G124" s="2237" t="str">
        <f>A52</f>
        <v>GST</v>
      </c>
      <c r="BS124" s="1614"/>
      <c r="BT124" s="1614"/>
      <c r="BU124" s="1614"/>
    </row>
    <row r="125" spans="1:73" s="1479" customFormat="1">
      <c r="A125" s="2050" t="s">
        <v>2187</v>
      </c>
      <c r="B125" s="2092" t="s">
        <v>2179</v>
      </c>
      <c r="C125" s="2166">
        <f t="shared" si="25"/>
        <v>45473</v>
      </c>
      <c r="D125" s="1479" t="str">
        <f t="shared" si="24"/>
        <v>CSHBKMOV</v>
      </c>
      <c r="E125" s="2742"/>
      <c r="F125" s="2235">
        <f>SUM(BJ39:BJ50)</f>
        <v>0</v>
      </c>
      <c r="G125" s="2237" t="str">
        <f>B15&amp;" - Net movement"</f>
        <v xml:space="preserve"> - Net movement</v>
      </c>
      <c r="BS125" s="1614"/>
      <c r="BT125" s="1614"/>
      <c r="BU125" s="1614"/>
    </row>
    <row r="126" spans="1:73" s="1479" customFormat="1">
      <c r="B126" s="2167" t="s">
        <v>2182</v>
      </c>
      <c r="C126" s="2170"/>
      <c r="D126" s="2170"/>
      <c r="E126" s="2238"/>
      <c r="F126" s="2170"/>
      <c r="G126" s="2239"/>
      <c r="BS126" s="1614"/>
      <c r="BT126" s="1614"/>
      <c r="BU126" s="1614"/>
    </row>
    <row r="127" spans="1:73" s="1479" customFormat="1">
      <c r="BS127" s="1614"/>
      <c r="BT127" s="1614"/>
      <c r="BU127" s="1614"/>
    </row>
    <row r="128" spans="1:73">
      <c r="F128" s="1614" t="s">
        <v>2184</v>
      </c>
      <c r="G128" s="2240">
        <f>SUM(F64:F125)</f>
        <v>0</v>
      </c>
    </row>
  </sheetData>
  <mergeCells count="7">
    <mergeCell ref="B62:H62"/>
    <mergeCell ref="A8:F8"/>
    <mergeCell ref="B15:F15"/>
    <mergeCell ref="B16:F16"/>
    <mergeCell ref="A19:F19"/>
    <mergeCell ref="A33:F33"/>
    <mergeCell ref="A60:F60"/>
  </mergeCells>
  <conditionalFormatting sqref="F26">
    <cfRule type="cellIs" dxfId="48" priority="9" operator="lessThan">
      <formula>0</formula>
    </cfRule>
    <cfRule type="cellIs" dxfId="47" priority="10" operator="greaterThan">
      <formula>0</formula>
    </cfRule>
    <cfRule type="cellIs" dxfId="46" priority="11" operator="equal">
      <formula>0</formula>
    </cfRule>
    <cfRule type="containsText" dxfId="45" priority="12" operator="containsText" text="NOT RECONCILED">
      <formula>NOT(ISERROR(SEARCH("NOT RECONCILED",F26)))</formula>
    </cfRule>
    <cfRule type="containsText" dxfId="44" priority="13" operator="containsText" text="RECONCILED">
      <formula>NOT(ISERROR(SEARCH("RECONCILED",F26)))</formula>
    </cfRule>
  </conditionalFormatting>
  <conditionalFormatting sqref="B31">
    <cfRule type="cellIs" dxfId="43" priority="4" operator="lessThan">
      <formula>0</formula>
    </cfRule>
    <cfRule type="cellIs" dxfId="42" priority="5" operator="greaterThan">
      <formula>0</formula>
    </cfRule>
    <cfRule type="cellIs" dxfId="41" priority="6" operator="equal">
      <formula>0</formula>
    </cfRule>
    <cfRule type="containsText" dxfId="40" priority="7" operator="containsText" text="NOT RECONCILED">
      <formula>NOT(ISERROR(SEARCH("NOT RECONCILED",B31)))</formula>
    </cfRule>
    <cfRule type="containsText" dxfId="39" priority="8" operator="containsText" text="RECONCILED">
      <formula>NOT(ISERROR(SEARCH("RECONCILED",B31)))</formula>
    </cfRule>
  </conditionalFormatting>
  <conditionalFormatting sqref="G128">
    <cfRule type="cellIs" dxfId="38" priority="1" operator="lessThan">
      <formula>0</formula>
    </cfRule>
    <cfRule type="cellIs" dxfId="37" priority="2" operator="greaterThan">
      <formula>0</formula>
    </cfRule>
    <cfRule type="cellIs" dxfId="36" priority="3" operator="equal">
      <formula>0</formula>
    </cfRule>
  </conditionalFormatting>
  <dataValidations count="1">
    <dataValidation type="list" allowBlank="1" showInputMessage="1" showErrorMessage="1" sqref="B37:BI37" xr:uid="{C0B32FCE-D519-45CD-9193-7848AB2FA4AE}">
      <formula1>$BO$9:$BO$10</formula1>
    </dataValidation>
  </dataValidations>
  <hyperlinks>
    <hyperlink ref="A10" location="ClientName" display="ClientName" xr:uid="{4E73CA57-7CD5-4DD3-8707-F2691E1601E7}"/>
    <hyperlink ref="F9" location="'WPIndex'!A1" display="Back to Workpaper Index" xr:uid="{1A24F9D3-5EAA-4E69-B260-335B8ABF162F}"/>
  </hyperlinks>
  <pageMargins left="0.70866141732283472" right="0.70866141732283472" top="0.74803149606299213" bottom="0.74803149606299213" header="0.31496062992125984" footer="0.31496062992125984"/>
  <pageSetup paperSize="9" scale="26" orientation="landscape" r:id="rId1"/>
  <headerFooter>
    <oddFooter>&amp;L© Findex (Aust) Pty Ltd.  All rights reserved.</oddFooter>
  </headerFooter>
  <drawing r:id="rId2"/>
  <legacyDrawing r:id="rId3"/>
  <controls>
    <mc:AlternateContent xmlns:mc="http://schemas.openxmlformats.org/markup-compatibility/2006">
      <mc:Choice Requires="x14">
        <control shapeId="357422" r:id="rId4" name="SpinButton_Cashbookinflows">
          <controlPr defaultSize="0" autoLine="0" r:id="rId5">
            <anchor moveWithCells="1">
              <from>
                <xdr:col>0</xdr:col>
                <xdr:colOff>47625</xdr:colOff>
                <xdr:row>38</xdr:row>
                <xdr:rowOff>152400</xdr:rowOff>
              </from>
              <to>
                <xdr:col>0</xdr:col>
                <xdr:colOff>409575</xdr:colOff>
                <xdr:row>43</xdr:row>
                <xdr:rowOff>19050</xdr:rowOff>
              </to>
            </anchor>
          </controlPr>
        </control>
      </mc:Choice>
      <mc:Fallback>
        <control shapeId="357422" r:id="rId4" name="SpinButton_Cashbookinflows"/>
      </mc:Fallback>
    </mc:AlternateContent>
    <mc:AlternateContent xmlns:mc="http://schemas.openxmlformats.org/markup-compatibility/2006">
      <mc:Choice Requires="x14">
        <control shapeId="357424" r:id="rId6" name="SpinButton1_Cashbookoutflows">
          <controlPr defaultSize="0" autoLine="0" r:id="rId5">
            <anchor moveWithCells="1">
              <from>
                <xdr:col>0</xdr:col>
                <xdr:colOff>38100</xdr:colOff>
                <xdr:row>43</xdr:row>
                <xdr:rowOff>19050</xdr:rowOff>
              </from>
              <to>
                <xdr:col>0</xdr:col>
                <xdr:colOff>400050</xdr:colOff>
                <xdr:row>47</xdr:row>
                <xdr:rowOff>57150</xdr:rowOff>
              </to>
            </anchor>
          </controlPr>
        </control>
      </mc:Choice>
      <mc:Fallback>
        <control shapeId="357424" r:id="rId6" name="SpinButton1_Cashbookoutflows"/>
      </mc:Fallback>
    </mc:AlternateContent>
    <mc:AlternateContent xmlns:mc="http://schemas.openxmlformats.org/markup-compatibility/2006">
      <mc:Choice Requires="x14">
        <control shapeId="357425" r:id="rId7" name="Label1_CashbookInflows">
          <controlPr defaultSize="0" autoLine="0" r:id="rId8">
            <anchor moveWithCells="1">
              <from>
                <xdr:col>0</xdr:col>
                <xdr:colOff>457200</xdr:colOff>
                <xdr:row>40</xdr:row>
                <xdr:rowOff>57150</xdr:rowOff>
              </from>
              <to>
                <xdr:col>0</xdr:col>
                <xdr:colOff>1104900</xdr:colOff>
                <xdr:row>42</xdr:row>
                <xdr:rowOff>19050</xdr:rowOff>
              </to>
            </anchor>
          </controlPr>
        </control>
      </mc:Choice>
      <mc:Fallback>
        <control shapeId="357425" r:id="rId7" name="Label1_CashbookInflows"/>
      </mc:Fallback>
    </mc:AlternateContent>
    <mc:AlternateContent xmlns:mc="http://schemas.openxmlformats.org/markup-compatibility/2006">
      <mc:Choice Requires="x14">
        <control shapeId="357427" r:id="rId9" name="Label1_Cashbookoutflows">
          <controlPr defaultSize="0" autoLine="0" r:id="rId10">
            <anchor moveWithCells="1">
              <from>
                <xdr:col>0</xdr:col>
                <xdr:colOff>457200</xdr:colOff>
                <xdr:row>44</xdr:row>
                <xdr:rowOff>114300</xdr:rowOff>
              </from>
              <to>
                <xdr:col>0</xdr:col>
                <xdr:colOff>1285875</xdr:colOff>
                <xdr:row>45</xdr:row>
                <xdr:rowOff>114300</xdr:rowOff>
              </to>
            </anchor>
          </controlPr>
        </control>
      </mc:Choice>
      <mc:Fallback>
        <control shapeId="357427" r:id="rId9" name="Label1_Cashbookoutflows"/>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repayments_Sheet">
    <tabColor theme="8" tint="0.79998168889431442"/>
  </sheetPr>
  <dimension ref="A1:H33"/>
  <sheetViews>
    <sheetView zoomScaleNormal="100" workbookViewId="0">
      <selection sqref="A1:F1"/>
    </sheetView>
  </sheetViews>
  <sheetFormatPr defaultColWidth="9.140625" defaultRowHeight="12.75"/>
  <cols>
    <col min="1" max="1" width="27.7109375" style="1" customWidth="1"/>
    <col min="2" max="2" width="13.5703125" style="14" customWidth="1"/>
    <col min="3" max="3" width="15" style="14" customWidth="1"/>
    <col min="4" max="4" width="13.7109375" style="1" customWidth="1"/>
    <col min="5" max="5" width="12" style="1" customWidth="1"/>
    <col min="6" max="6" width="11.140625" style="1" customWidth="1"/>
    <col min="7" max="7" width="13.85546875" style="1" customWidth="1"/>
    <col min="8" max="8" width="8.28515625" style="1" hidden="1" customWidth="1"/>
    <col min="9" max="16384" width="9.140625" style="1"/>
  </cols>
  <sheetData>
    <row r="1" spans="1:8">
      <c r="F1" s="2613" t="s">
        <v>2425</v>
      </c>
      <c r="G1" s="3576" t="s">
        <v>2758</v>
      </c>
    </row>
    <row r="2" spans="1:8" ht="15.75">
      <c r="A2" s="1199"/>
      <c r="B2" s="1"/>
      <c r="C2" s="1"/>
      <c r="E2" s="40"/>
      <c r="F2" s="71" t="s">
        <v>2426</v>
      </c>
      <c r="G2" s="2621"/>
    </row>
    <row r="3" spans="1:8" ht="15.75">
      <c r="A3" s="1199"/>
      <c r="B3" s="1"/>
      <c r="C3" s="1"/>
      <c r="E3" s="40"/>
      <c r="F3" s="40"/>
    </row>
    <row r="4" spans="1:8" s="32" customFormat="1">
      <c r="A4" s="206"/>
      <c r="E4" s="11"/>
      <c r="F4" s="11" t="s">
        <v>1163</v>
      </c>
      <c r="G4" s="709" t="s">
        <v>1262</v>
      </c>
    </row>
    <row r="5" spans="1:8" s="32" customFormat="1" ht="17.25" customHeight="1">
      <c r="A5" s="206"/>
      <c r="E5" s="71" t="s">
        <v>332</v>
      </c>
      <c r="F5" s="2617" t="str">
        <f>IF(PreparedBy="","",PreparedBy)</f>
        <v/>
      </c>
      <c r="G5" s="2618" t="str">
        <f>IF(DatePrepared="","",DatePrepared)</f>
        <v/>
      </c>
    </row>
    <row r="6" spans="1:8" s="32" customFormat="1" ht="17.25" customHeight="1">
      <c r="A6" s="206"/>
      <c r="E6" s="71" t="s">
        <v>333</v>
      </c>
      <c r="F6" s="2619"/>
      <c r="G6" s="2620"/>
    </row>
    <row r="7" spans="1:8" s="32" customFormat="1" ht="3.95" customHeight="1">
      <c r="A7" s="206"/>
      <c r="B7" s="43"/>
      <c r="C7" s="43"/>
      <c r="D7" s="43"/>
      <c r="E7" s="43"/>
    </row>
    <row r="8" spans="1:8" ht="15.75">
      <c r="A8" s="3704" t="str">
        <f>WP_Prepayments</f>
        <v>Prepayments</v>
      </c>
      <c r="B8" s="3705"/>
      <c r="C8" s="3705"/>
      <c r="D8" s="3705"/>
      <c r="E8" s="3705"/>
      <c r="F8" s="3705"/>
      <c r="G8" s="3706"/>
    </row>
    <row r="9" spans="1:8">
      <c r="B9" s="1"/>
      <c r="C9" s="1"/>
      <c r="E9" s="14"/>
      <c r="F9" s="3832" t="s">
        <v>2526</v>
      </c>
      <c r="G9" s="3832"/>
    </row>
    <row r="10" spans="1:8" s="37" customFormat="1" ht="15.75">
      <c r="A10" s="222" t="str">
        <f>"CLIENT NAME:   "&amp;'WP Index'!E3</f>
        <v>CLIENT NAME:   Example Trust</v>
      </c>
      <c r="H10" s="1"/>
    </row>
    <row r="11" spans="1:8" s="37" customFormat="1">
      <c r="A11" s="9" t="str">
        <f>"CLIENT CODE:   "&amp;'WP Index'!E4</f>
        <v>CLIENT CODE:   99999</v>
      </c>
      <c r="F11" s="47" t="s">
        <v>951</v>
      </c>
      <c r="G11" s="47">
        <f>'WP Index'!G5</f>
        <v>45473</v>
      </c>
      <c r="H11" s="1"/>
    </row>
    <row r="12" spans="1:8" s="37" customFormat="1" ht="12.75" customHeight="1"/>
    <row r="13" spans="1:8" s="37" customFormat="1" ht="15.75" customHeight="1">
      <c r="H13" s="1"/>
    </row>
    <row r="14" spans="1:8" s="3" customFormat="1">
      <c r="A14" s="54" t="s">
        <v>562</v>
      </c>
      <c r="B14" s="11" t="s">
        <v>966</v>
      </c>
      <c r="C14" s="3890" t="s">
        <v>563</v>
      </c>
      <c r="D14" s="3890"/>
      <c r="E14" s="3833" t="s">
        <v>325</v>
      </c>
      <c r="F14" s="3833" t="s">
        <v>938</v>
      </c>
      <c r="G14" s="11" t="s">
        <v>939</v>
      </c>
      <c r="H14" s="6" t="s">
        <v>1286</v>
      </c>
    </row>
    <row r="15" spans="1:8">
      <c r="A15" s="54"/>
      <c r="B15" s="11" t="s">
        <v>1396</v>
      </c>
      <c r="C15" s="11" t="s">
        <v>545</v>
      </c>
      <c r="D15" s="11" t="s">
        <v>546</v>
      </c>
      <c r="E15" s="3833"/>
      <c r="F15" s="3833"/>
      <c r="G15" s="11"/>
    </row>
    <row r="16" spans="1:8">
      <c r="A16" s="2743"/>
      <c r="B16" s="2744"/>
      <c r="C16" s="2745"/>
      <c r="D16" s="2745"/>
      <c r="E16" s="394">
        <f>IF(OR(D16="",C16=""),0,+D16-C16+1)</f>
        <v>0</v>
      </c>
      <c r="F16" s="394">
        <f>IF(E16=0,0,+D16-$G$11)</f>
        <v>0</v>
      </c>
      <c r="G16" s="394">
        <f>IF(E16=0,0,+ROUND((F16/E16)*B16,2))</f>
        <v>0</v>
      </c>
    </row>
    <row r="17" spans="1:7">
      <c r="A17" s="2746"/>
      <c r="B17" s="2747"/>
      <c r="C17" s="2748"/>
      <c r="D17" s="2748"/>
      <c r="E17" s="394">
        <f>IF(OR(D17="",C17=""),0,+D17-C17+1)</f>
        <v>0</v>
      </c>
      <c r="F17" s="394">
        <f>IF(E17=0,0,+D17-$G$11)</f>
        <v>0</v>
      </c>
      <c r="G17" s="394">
        <f>IF(E17=0,0,+ROUND((F17/E17)*B17,2))</f>
        <v>0</v>
      </c>
    </row>
    <row r="18" spans="1:7">
      <c r="A18" s="2746"/>
      <c r="B18" s="2747"/>
      <c r="C18" s="2748"/>
      <c r="D18" s="2748"/>
      <c r="E18" s="394">
        <f>IF(OR(D18="",C18=""),0,+D18-C18+1)</f>
        <v>0</v>
      </c>
      <c r="F18" s="394">
        <f t="shared" ref="F18:F28" si="0">IF(E18=0,0,+D18-$G$11)</f>
        <v>0</v>
      </c>
      <c r="G18" s="394">
        <f>IF(E18=0,0,+ROUND((F18/E18)*B18,2))</f>
        <v>0</v>
      </c>
    </row>
    <row r="19" spans="1:7">
      <c r="A19" s="2746"/>
      <c r="B19" s="2747"/>
      <c r="C19" s="2748"/>
      <c r="D19" s="2748"/>
      <c r="E19" s="394">
        <f t="shared" ref="E19:E28" si="1">IF(OR(D19="",C19=""),0,+D19-C19+1)</f>
        <v>0</v>
      </c>
      <c r="F19" s="394">
        <f t="shared" si="0"/>
        <v>0</v>
      </c>
      <c r="G19" s="394">
        <f t="shared" ref="G19:G28" si="2">IF(E19=0,0,+ROUND((F19/E19)*B19,2))</f>
        <v>0</v>
      </c>
    </row>
    <row r="20" spans="1:7">
      <c r="A20" s="2746"/>
      <c r="B20" s="2747"/>
      <c r="C20" s="2748"/>
      <c r="D20" s="2748"/>
      <c r="E20" s="394">
        <f t="shared" si="1"/>
        <v>0</v>
      </c>
      <c r="F20" s="394">
        <f t="shared" si="0"/>
        <v>0</v>
      </c>
      <c r="G20" s="394">
        <f t="shared" si="2"/>
        <v>0</v>
      </c>
    </row>
    <row r="21" spans="1:7">
      <c r="A21" s="2746"/>
      <c r="B21" s="2747"/>
      <c r="C21" s="2748"/>
      <c r="D21" s="2748"/>
      <c r="E21" s="394">
        <f t="shared" si="1"/>
        <v>0</v>
      </c>
      <c r="F21" s="394">
        <f t="shared" si="0"/>
        <v>0</v>
      </c>
      <c r="G21" s="394">
        <f t="shared" si="2"/>
        <v>0</v>
      </c>
    </row>
    <row r="22" spans="1:7">
      <c r="A22" s="2746"/>
      <c r="B22" s="2747"/>
      <c r="C22" s="2748"/>
      <c r="D22" s="2748"/>
      <c r="E22" s="394">
        <f t="shared" si="1"/>
        <v>0</v>
      </c>
      <c r="F22" s="394">
        <f t="shared" si="0"/>
        <v>0</v>
      </c>
      <c r="G22" s="394">
        <f t="shared" si="2"/>
        <v>0</v>
      </c>
    </row>
    <row r="23" spans="1:7">
      <c r="A23" s="2746"/>
      <c r="B23" s="2747"/>
      <c r="C23" s="2748"/>
      <c r="D23" s="2748"/>
      <c r="E23" s="394">
        <f t="shared" si="1"/>
        <v>0</v>
      </c>
      <c r="F23" s="394">
        <f t="shared" si="0"/>
        <v>0</v>
      </c>
      <c r="G23" s="394">
        <f t="shared" si="2"/>
        <v>0</v>
      </c>
    </row>
    <row r="24" spans="1:7">
      <c r="A24" s="2746"/>
      <c r="B24" s="2747"/>
      <c r="C24" s="2748"/>
      <c r="D24" s="2748"/>
      <c r="E24" s="394">
        <f t="shared" si="1"/>
        <v>0</v>
      </c>
      <c r="F24" s="394">
        <f t="shared" si="0"/>
        <v>0</v>
      </c>
      <c r="G24" s="394">
        <f t="shared" si="2"/>
        <v>0</v>
      </c>
    </row>
    <row r="25" spans="1:7">
      <c r="A25" s="2746"/>
      <c r="B25" s="2747"/>
      <c r="C25" s="2748"/>
      <c r="D25" s="2748"/>
      <c r="E25" s="394">
        <f t="shared" si="1"/>
        <v>0</v>
      </c>
      <c r="F25" s="394">
        <f t="shared" si="0"/>
        <v>0</v>
      </c>
      <c r="G25" s="394">
        <f t="shared" si="2"/>
        <v>0</v>
      </c>
    </row>
    <row r="26" spans="1:7">
      <c r="A26" s="2746"/>
      <c r="B26" s="2747"/>
      <c r="C26" s="2748"/>
      <c r="D26" s="2748"/>
      <c r="E26" s="394">
        <f t="shared" si="1"/>
        <v>0</v>
      </c>
      <c r="F26" s="394">
        <f t="shared" si="0"/>
        <v>0</v>
      </c>
      <c r="G26" s="394">
        <f t="shared" si="2"/>
        <v>0</v>
      </c>
    </row>
    <row r="27" spans="1:7">
      <c r="A27" s="2746"/>
      <c r="B27" s="2747"/>
      <c r="C27" s="2748"/>
      <c r="D27" s="2748"/>
      <c r="E27" s="394">
        <f t="shared" si="1"/>
        <v>0</v>
      </c>
      <c r="F27" s="394">
        <f t="shared" si="0"/>
        <v>0</v>
      </c>
      <c r="G27" s="394">
        <f t="shared" si="2"/>
        <v>0</v>
      </c>
    </row>
    <row r="28" spans="1:7">
      <c r="A28" s="2749"/>
      <c r="B28" s="2750"/>
      <c r="C28" s="2751"/>
      <c r="D28" s="2751"/>
      <c r="E28" s="394">
        <f t="shared" si="1"/>
        <v>0</v>
      </c>
      <c r="F28" s="394">
        <f t="shared" si="0"/>
        <v>0</v>
      </c>
      <c r="G28" s="394">
        <f t="shared" si="2"/>
        <v>0</v>
      </c>
    </row>
    <row r="29" spans="1:7">
      <c r="A29" s="130"/>
      <c r="B29" s="130"/>
      <c r="C29" s="130"/>
      <c r="D29" s="130"/>
      <c r="E29" s="395"/>
      <c r="F29" s="395"/>
      <c r="G29" s="395"/>
    </row>
    <row r="30" spans="1:7" ht="13.5" thickBot="1">
      <c r="A30" s="130"/>
      <c r="B30" s="130"/>
      <c r="C30" s="130"/>
      <c r="D30" s="130"/>
      <c r="E30" s="395"/>
      <c r="F30" s="395"/>
      <c r="G30" s="353">
        <f>+SUM(G16:G28)</f>
        <v>0</v>
      </c>
    </row>
    <row r="31" spans="1:7" ht="13.5" thickTop="1">
      <c r="A31" s="8"/>
      <c r="B31" s="20"/>
      <c r="C31" s="20"/>
    </row>
    <row r="32" spans="1:7">
      <c r="A32" s="54" t="s">
        <v>172</v>
      </c>
      <c r="B32" s="20"/>
      <c r="C32" s="20"/>
    </row>
    <row r="33" spans="1:7" ht="65.25" customHeight="1">
      <c r="A33" s="3742"/>
      <c r="B33" s="3743"/>
      <c r="C33" s="3743"/>
      <c r="D33" s="3743"/>
      <c r="E33" s="3743"/>
      <c r="F33" s="3743"/>
      <c r="G33" s="3744"/>
    </row>
  </sheetData>
  <customSheetViews>
    <customSheetView guid="{BCBE45D4-3C45-4659-992E-5C5D3E9FD81C}" fitToPage="1" hiddenColumns="1">
      <selection activeCell="D38" sqref="D38"/>
      <pageMargins left="0.59055118110236227" right="0.43307086614173229" top="0.6692913385826772" bottom="0.94488188976377963" header="0.51181102362204722" footer="0.39370078740157483"/>
      <printOptions horizontalCentered="1"/>
      <pageSetup paperSize="9" scale="88"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D38" sqref="D38"/>
      <pageMargins left="0.59055118110236227" right="0.43307086614173229" top="0.6692913385826772" bottom="0.94488188976377963" header="0.51181102362204722" footer="0.39370078740157483"/>
      <printOptions horizontalCentered="1"/>
      <pageSetup paperSize="9" scale="88" fitToHeight="999" orientation="portrait" blackAndWhite="1" r:id="rId2"/>
      <headerFooter alignWithMargins="0">
        <oddFooter>&amp;L&amp;8Copyright Crowe Horwath (Aust) Pty Ltd 2016.  All rights reserved.
&amp;Z&amp;F[&amp;A]&amp;R&amp;8&amp;P/&amp;N</oddFooter>
      </headerFooter>
    </customSheetView>
  </customSheetViews>
  <mergeCells count="6">
    <mergeCell ref="A33:G33"/>
    <mergeCell ref="A8:G8"/>
    <mergeCell ref="C14:D14"/>
    <mergeCell ref="E14:E15"/>
    <mergeCell ref="F14:F15"/>
    <mergeCell ref="F9:G9"/>
  </mergeCells>
  <phoneticPr fontId="0" type="noConversion"/>
  <hyperlinks>
    <hyperlink ref="F9" location="WP_Prepayments" display="Back to Workpaper Index" xr:uid="{00000000-0004-0000-1300-000000000000}"/>
    <hyperlink ref="F9:G9" location="WPIndex!A1" display="Back to WP Index" xr:uid="{28F1ACA3-2B61-44E1-8FF1-787E346A4374}"/>
  </hyperlinks>
  <printOptions horizontalCentered="1"/>
  <pageMargins left="0.59055118110236227" right="0.43307086614173229" top="0.6692913385826772" bottom="0.94488188976377963" header="0.51181102362204722" footer="0.39370078740157483"/>
  <pageSetup paperSize="9" scale="86" fitToHeight="999" orientation="portrait" r:id="rId3"/>
  <headerFooter alignWithMargins="0">
    <oddFooter>&amp;L&amp;8© Findex (Aust) Pty Ltd.  All rights reserved.&amp;R&amp;8&amp;P/&amp;N</oddFooter>
  </headerFooter>
  <drawing r:id="rId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Livestock_Sheet">
    <tabColor theme="8" tint="0.79998168889431442"/>
    <pageSetUpPr fitToPage="1"/>
  </sheetPr>
  <dimension ref="A1:AA39"/>
  <sheetViews>
    <sheetView zoomScaleNormal="100" workbookViewId="0">
      <selection sqref="A1:F1"/>
    </sheetView>
  </sheetViews>
  <sheetFormatPr defaultColWidth="9.140625" defaultRowHeight="12.75"/>
  <cols>
    <col min="1" max="1" width="14.42578125" style="1" bestFit="1" customWidth="1"/>
    <col min="2" max="2" width="4" style="1" customWidth="1"/>
    <col min="3" max="3" width="6.5703125" style="1" bestFit="1" customWidth="1"/>
    <col min="4" max="4" width="1.7109375" style="1" customWidth="1"/>
    <col min="5" max="5" width="11.28515625" style="14" bestFit="1" customWidth="1"/>
    <col min="6" max="6" width="1.7109375" style="1" customWidth="1"/>
    <col min="7" max="7" width="6.5703125" style="1" customWidth="1"/>
    <col min="8" max="8" width="1.7109375" style="1" customWidth="1"/>
    <col min="9" max="9" width="11.28515625" style="1" bestFit="1" customWidth="1"/>
    <col min="10" max="10" width="1.7109375" style="1" customWidth="1"/>
    <col min="11" max="11" width="6.5703125" style="1" customWidth="1"/>
    <col min="12" max="12" width="1.7109375" style="1" customWidth="1"/>
    <col min="13" max="13" width="11.28515625" style="1" customWidth="1"/>
    <col min="14" max="14" width="1.7109375" style="1" customWidth="1"/>
    <col min="15" max="15" width="6.5703125" style="10" customWidth="1"/>
    <col min="16" max="16" width="1.7109375" style="1" customWidth="1"/>
    <col min="17" max="17" width="11.28515625" style="1" customWidth="1"/>
    <col min="18" max="18" width="1.7109375" style="1" customWidth="1"/>
    <col min="19" max="19" width="6.5703125" style="1" customWidth="1"/>
    <col min="20" max="20" width="1.7109375" style="1" customWidth="1"/>
    <col min="21" max="21" width="11.5703125" style="1" customWidth="1"/>
    <col min="22" max="22" width="10.5703125" style="1" customWidth="1"/>
    <col min="23" max="23" width="11.7109375" style="1" customWidth="1"/>
    <col min="24" max="27" width="8.28515625" style="1" hidden="1" customWidth="1"/>
    <col min="28" max="16384" width="9.140625" style="1"/>
  </cols>
  <sheetData>
    <row r="1" spans="1:27">
      <c r="V1" s="2613" t="s">
        <v>2425</v>
      </c>
      <c r="W1" s="3576" t="s">
        <v>2758</v>
      </c>
    </row>
    <row r="2" spans="1:27" ht="15.75">
      <c r="A2" s="3700"/>
      <c r="B2" s="3700"/>
      <c r="C2" s="3700"/>
      <c r="D2" s="46"/>
      <c r="E2" s="46"/>
      <c r="F2" s="46"/>
      <c r="G2" s="46"/>
      <c r="H2" s="46"/>
      <c r="I2" s="46"/>
      <c r="J2" s="46"/>
      <c r="K2" s="46"/>
      <c r="L2" s="46"/>
      <c r="M2" s="46"/>
      <c r="N2" s="46"/>
      <c r="O2" s="46"/>
      <c r="P2" s="46"/>
      <c r="Q2" s="46"/>
      <c r="R2" s="46"/>
      <c r="S2" s="46"/>
      <c r="T2" s="46"/>
      <c r="V2" s="71" t="s">
        <v>2426</v>
      </c>
      <c r="W2" s="2621"/>
      <c r="Z2" s="22" t="s">
        <v>470</v>
      </c>
    </row>
    <row r="3" spans="1:27" ht="15.75">
      <c r="A3" s="2611"/>
      <c r="B3" s="2611"/>
      <c r="C3" s="2611"/>
      <c r="D3" s="46"/>
      <c r="E3" s="46"/>
      <c r="F3" s="46"/>
      <c r="G3" s="46"/>
      <c r="H3" s="46"/>
      <c r="I3" s="46"/>
      <c r="J3" s="46"/>
      <c r="K3" s="46"/>
      <c r="L3" s="46"/>
      <c r="M3" s="46"/>
      <c r="N3" s="46"/>
      <c r="O3" s="46"/>
      <c r="P3" s="46"/>
      <c r="Q3" s="46"/>
      <c r="R3" s="46"/>
      <c r="S3" s="46"/>
      <c r="T3" s="46"/>
      <c r="Z3" s="22"/>
    </row>
    <row r="4" spans="1:27" s="32" customFormat="1">
      <c r="A4" s="206"/>
      <c r="T4" s="11"/>
      <c r="U4" s="2612"/>
      <c r="V4" s="2612" t="s">
        <v>1163</v>
      </c>
      <c r="W4" s="709" t="s">
        <v>1262</v>
      </c>
    </row>
    <row r="5" spans="1:27" s="32" customFormat="1" ht="17.25" customHeight="1">
      <c r="A5" s="206"/>
      <c r="T5" s="71"/>
      <c r="U5" s="71" t="s">
        <v>332</v>
      </c>
      <c r="V5" s="2617" t="str">
        <f>IF(PreparedBy="","",PreparedBy)</f>
        <v/>
      </c>
      <c r="W5" s="2618" t="str">
        <f>IF(DatePrepared="","",DatePrepared)</f>
        <v/>
      </c>
      <c r="Z5" s="1215" t="s">
        <v>1051</v>
      </c>
      <c r="AA5" s="1216">
        <v>20</v>
      </c>
    </row>
    <row r="6" spans="1:27" s="32" customFormat="1" ht="17.25" customHeight="1">
      <c r="A6" s="206"/>
      <c r="T6" s="71"/>
      <c r="U6" s="71" t="s">
        <v>333</v>
      </c>
      <c r="V6" s="2619"/>
      <c r="W6" s="2620"/>
      <c r="Z6" s="1217" t="s">
        <v>1052</v>
      </c>
      <c r="AA6" s="1218">
        <v>20</v>
      </c>
    </row>
    <row r="7" spans="1:27" s="32" customFormat="1" ht="15.75">
      <c r="A7" s="206"/>
      <c r="B7" s="43"/>
      <c r="C7" s="43"/>
      <c r="D7" s="43"/>
      <c r="E7" s="43"/>
      <c r="Z7" s="1217" t="s">
        <v>1053</v>
      </c>
      <c r="AA7" s="1218">
        <v>20</v>
      </c>
    </row>
    <row r="8" spans="1:27" ht="15.75">
      <c r="A8" s="3704" t="str">
        <f>WP_Livestock</f>
        <v>Livestock</v>
      </c>
      <c r="B8" s="3705"/>
      <c r="C8" s="3705"/>
      <c r="D8" s="3705"/>
      <c r="E8" s="3705"/>
      <c r="F8" s="3705"/>
      <c r="G8" s="3705"/>
      <c r="H8" s="3705"/>
      <c r="I8" s="3705"/>
      <c r="J8" s="3705"/>
      <c r="K8" s="3705"/>
      <c r="L8" s="3705"/>
      <c r="M8" s="3705"/>
      <c r="N8" s="3705"/>
      <c r="O8" s="3705"/>
      <c r="P8" s="3705"/>
      <c r="Q8" s="3705"/>
      <c r="R8" s="3705"/>
      <c r="S8" s="3705"/>
      <c r="T8" s="3705"/>
      <c r="U8" s="3705"/>
      <c r="V8" s="3705"/>
      <c r="W8" s="3706"/>
      <c r="Z8" s="17" t="s">
        <v>1054</v>
      </c>
      <c r="AA8" s="1219">
        <v>12</v>
      </c>
    </row>
    <row r="9" spans="1:27">
      <c r="U9" s="3276"/>
      <c r="V9" s="3882" t="s">
        <v>2526</v>
      </c>
      <c r="W9" s="3882"/>
      <c r="Z9" s="17" t="s">
        <v>1055</v>
      </c>
      <c r="AA9" s="1219">
        <v>8</v>
      </c>
    </row>
    <row r="10" spans="1:27" ht="15.75">
      <c r="A10" s="222" t="str">
        <f>"CLIENT NAME:   "&amp;'WP Index'!E3</f>
        <v>CLIENT NAME:   Example Trust</v>
      </c>
      <c r="Z10" s="17" t="s">
        <v>1056</v>
      </c>
      <c r="AA10" s="1219">
        <v>4</v>
      </c>
    </row>
    <row r="11" spans="1:27">
      <c r="A11" s="9" t="str">
        <f>"CLIENT CODE:   "&amp;'WP Index'!E4</f>
        <v>CLIENT CODE:   99999</v>
      </c>
      <c r="V11" s="47" t="s">
        <v>951</v>
      </c>
      <c r="W11" s="47">
        <f>'WP Index'!G5</f>
        <v>45473</v>
      </c>
      <c r="Z11" s="17" t="s">
        <v>1057</v>
      </c>
      <c r="AA11" s="1219">
        <v>4</v>
      </c>
    </row>
    <row r="12" spans="1:27">
      <c r="Z12" s="21" t="s">
        <v>1058</v>
      </c>
      <c r="AA12" s="1220">
        <v>0.35</v>
      </c>
    </row>
    <row r="14" spans="1:27">
      <c r="C14" s="3749" t="s">
        <v>1057</v>
      </c>
      <c r="D14" s="3750"/>
      <c r="E14" s="3751"/>
      <c r="F14" s="6"/>
      <c r="G14" s="3749" t="s">
        <v>1051</v>
      </c>
      <c r="H14" s="3750"/>
      <c r="I14" s="3751"/>
      <c r="K14" s="3749" t="s">
        <v>1052</v>
      </c>
      <c r="L14" s="3750"/>
      <c r="M14" s="3751"/>
      <c r="O14" s="3749" t="s">
        <v>1054</v>
      </c>
      <c r="P14" s="3750"/>
      <c r="Q14" s="3751"/>
      <c r="S14" s="3749" t="s">
        <v>1058</v>
      </c>
      <c r="T14" s="3750"/>
      <c r="U14" s="3751"/>
      <c r="W14" s="76" t="s">
        <v>1096</v>
      </c>
      <c r="X14" s="6" t="s">
        <v>1286</v>
      </c>
      <c r="Y14" s="6"/>
      <c r="Z14" s="6"/>
      <c r="AA14" s="6"/>
    </row>
    <row r="15" spans="1:27">
      <c r="C15" s="6" t="s">
        <v>1060</v>
      </c>
      <c r="D15" s="6"/>
      <c r="E15" s="1879" t="s">
        <v>1128</v>
      </c>
      <c r="F15" s="6"/>
      <c r="G15" s="6" t="s">
        <v>1060</v>
      </c>
      <c r="H15" s="6"/>
      <c r="I15" s="38" t="s">
        <v>1128</v>
      </c>
      <c r="K15" s="6" t="s">
        <v>1060</v>
      </c>
      <c r="L15" s="6"/>
      <c r="M15" s="38" t="s">
        <v>1128</v>
      </c>
      <c r="O15" s="6" t="s">
        <v>1060</v>
      </c>
      <c r="P15" s="6"/>
      <c r="Q15" s="38" t="s">
        <v>1128</v>
      </c>
      <c r="S15" s="6" t="s">
        <v>1060</v>
      </c>
      <c r="T15" s="6"/>
      <c r="U15" s="38" t="s">
        <v>1128</v>
      </c>
      <c r="W15" s="38" t="s">
        <v>1128</v>
      </c>
    </row>
    <row r="16" spans="1:27">
      <c r="A16" s="1" t="s">
        <v>469</v>
      </c>
      <c r="C16" s="2918"/>
      <c r="D16" s="10"/>
      <c r="E16" s="2919"/>
      <c r="F16" s="10"/>
      <c r="G16" s="2918"/>
      <c r="I16" s="2919"/>
      <c r="K16" s="2918"/>
      <c r="M16" s="2919"/>
      <c r="O16" s="2918"/>
      <c r="Q16" s="2919"/>
      <c r="S16" s="2918"/>
      <c r="U16" s="2919"/>
      <c r="W16" s="342">
        <f>U16+E16+I16+M16+Q16</f>
        <v>0</v>
      </c>
    </row>
    <row r="17" spans="1:23">
      <c r="C17" s="1794"/>
      <c r="D17" s="10"/>
      <c r="E17" s="204"/>
      <c r="F17" s="10"/>
      <c r="G17" s="163"/>
      <c r="H17" s="1637"/>
      <c r="I17" s="204"/>
      <c r="K17" s="163"/>
      <c r="M17" s="204"/>
      <c r="O17" s="1794"/>
      <c r="Q17" s="204"/>
      <c r="S17" s="163"/>
      <c r="U17" s="204"/>
      <c r="W17" s="343"/>
    </row>
    <row r="18" spans="1:23">
      <c r="A18" s="1" t="s">
        <v>544</v>
      </c>
      <c r="C18" s="2918"/>
      <c r="D18" s="10"/>
      <c r="E18" s="2919"/>
      <c r="F18" s="10"/>
      <c r="G18" s="2918"/>
      <c r="H18" s="1637"/>
      <c r="I18" s="2919"/>
      <c r="K18" s="2918"/>
      <c r="M18" s="2919"/>
      <c r="O18" s="2918"/>
      <c r="Q18" s="2919"/>
      <c r="S18" s="2918"/>
      <c r="U18" s="2919"/>
      <c r="W18" s="342">
        <f>U18+E18+I18+M18+Q18</f>
        <v>0</v>
      </c>
    </row>
    <row r="19" spans="1:23">
      <c r="C19" s="3745"/>
      <c r="D19" s="10"/>
      <c r="E19" s="204"/>
      <c r="F19" s="10"/>
      <c r="G19" s="3745"/>
      <c r="I19" s="204"/>
      <c r="K19" s="3745"/>
      <c r="M19" s="204"/>
      <c r="O19" s="3745"/>
      <c r="Q19" s="204"/>
      <c r="S19" s="3745"/>
      <c r="U19" s="204"/>
      <c r="W19" s="343"/>
    </row>
    <row r="20" spans="1:23">
      <c r="A20" s="1" t="s">
        <v>1234</v>
      </c>
      <c r="C20" s="3746"/>
      <c r="D20" s="10"/>
      <c r="E20" s="2920">
        <f>IF(ISERROR(VLOOKUP(C14,Natural_Increase,2,0)),"",VLOOKUP(C14,Natural_Increase,2,0))</f>
        <v>4</v>
      </c>
      <c r="F20" s="10"/>
      <c r="G20" s="3746"/>
      <c r="I20" s="2920">
        <f>IF(ISERROR(VLOOKUP(G14,Natural_Increase,2,0)),"",VLOOKUP(G14,Natural_Increase,2,0))</f>
        <v>20</v>
      </c>
      <c r="K20" s="3746"/>
      <c r="M20" s="2920">
        <f>IF(ISERROR(VLOOKUP(K14,Natural_Increase,2,0)),"",VLOOKUP(K14,Natural_Increase,2,0))</f>
        <v>20</v>
      </c>
      <c r="O20" s="3746"/>
      <c r="Q20" s="2920">
        <f>IF(ISERROR(VLOOKUP(O14,Natural_Increase,2,0)),"",VLOOKUP(O14,Natural_Increase,2,0))</f>
        <v>12</v>
      </c>
      <c r="S20" s="3746"/>
      <c r="U20" s="2920">
        <f>IF(ISERROR(VLOOKUP(S14,Natural_Increase,2,0)),"",VLOOKUP(S14,Natural_Increase,2,0))</f>
        <v>0.35</v>
      </c>
      <c r="W20" s="343"/>
    </row>
    <row r="21" spans="1:23">
      <c r="C21" s="3747"/>
      <c r="D21" s="10"/>
      <c r="E21" s="204"/>
      <c r="F21" s="10"/>
      <c r="G21" s="3747"/>
      <c r="I21" s="204"/>
      <c r="K21" s="3747"/>
      <c r="M21" s="204"/>
      <c r="O21" s="3747"/>
      <c r="Q21" s="204"/>
      <c r="S21" s="3747"/>
      <c r="U21" s="204"/>
      <c r="W21" s="343"/>
    </row>
    <row r="22" spans="1:23">
      <c r="A22" s="1" t="s">
        <v>470</v>
      </c>
      <c r="C22" s="2918"/>
      <c r="D22" s="10"/>
      <c r="E22" s="638">
        <f>E20*C22</f>
        <v>0</v>
      </c>
      <c r="F22" s="10"/>
      <c r="G22" s="2918"/>
      <c r="I22" s="638">
        <f>I20*G22</f>
        <v>0</v>
      </c>
      <c r="K22" s="2918"/>
      <c r="M22" s="638">
        <f>M20*K22</f>
        <v>0</v>
      </c>
      <c r="O22" s="2918"/>
      <c r="Q22" s="638">
        <f>Q20*O22</f>
        <v>0</v>
      </c>
      <c r="S22" s="2918"/>
      <c r="U22" s="638">
        <f>U20*S22</f>
        <v>0</v>
      </c>
      <c r="W22" s="343"/>
    </row>
    <row r="23" spans="1:23">
      <c r="C23" s="163"/>
      <c r="D23" s="10"/>
      <c r="E23" s="204"/>
      <c r="F23" s="10"/>
      <c r="G23" s="163"/>
      <c r="I23" s="204"/>
      <c r="K23" s="163"/>
      <c r="M23" s="204"/>
      <c r="O23" s="163"/>
      <c r="Q23" s="204"/>
      <c r="S23" s="163"/>
      <c r="U23" s="204"/>
      <c r="W23" s="343"/>
    </row>
    <row r="24" spans="1:23" ht="13.5" thickBot="1">
      <c r="A24" s="1" t="s">
        <v>1096</v>
      </c>
      <c r="C24" s="205">
        <f>SUM(C16:C23)</f>
        <v>0</v>
      </c>
      <c r="D24" s="10"/>
      <c r="E24" s="639">
        <f>SUM(E16:E23)-E20</f>
        <v>0</v>
      </c>
      <c r="F24" s="10"/>
      <c r="G24" s="205">
        <f>SUM(G16:G23)</f>
        <v>0</v>
      </c>
      <c r="I24" s="639">
        <f>SUM(I16:I23)-I20</f>
        <v>0</v>
      </c>
      <c r="K24" s="205">
        <f>SUM(K16:K23)</f>
        <v>0</v>
      </c>
      <c r="M24" s="639">
        <f>SUM(M16:M23)-M20</f>
        <v>0</v>
      </c>
      <c r="O24" s="205">
        <f>SUM(O16:O23)</f>
        <v>0</v>
      </c>
      <c r="Q24" s="639">
        <f>SUM(Q16:Q23)-Q20</f>
        <v>0</v>
      </c>
      <c r="S24" s="205">
        <f>SUM(S16:S23)</f>
        <v>0</v>
      </c>
      <c r="U24" s="639">
        <f>SUM(U16:U23)-U20</f>
        <v>0</v>
      </c>
      <c r="W24" s="343"/>
    </row>
    <row r="25" spans="1:23" ht="13.5" thickTop="1">
      <c r="C25" s="163"/>
      <c r="D25" s="10"/>
      <c r="E25" s="204"/>
      <c r="F25" s="10"/>
      <c r="G25" s="163"/>
      <c r="I25" s="204"/>
      <c r="K25" s="163"/>
      <c r="M25" s="204"/>
      <c r="O25" s="163"/>
      <c r="Q25" s="204"/>
      <c r="S25" s="163"/>
      <c r="U25" s="204"/>
      <c r="W25" s="343"/>
    </row>
    <row r="26" spans="1:23">
      <c r="A26" s="1" t="s">
        <v>471</v>
      </c>
      <c r="C26" s="2918"/>
      <c r="D26" s="10"/>
      <c r="E26" s="2919"/>
      <c r="F26" s="10"/>
      <c r="G26" s="2918"/>
      <c r="I26" s="2919"/>
      <c r="K26" s="2918"/>
      <c r="M26" s="2919"/>
      <c r="O26" s="2918"/>
      <c r="Q26" s="2919"/>
      <c r="S26" s="2918"/>
      <c r="U26" s="2919"/>
      <c r="W26" s="342">
        <f>U26+E26+I26+M26+Q26</f>
        <v>0</v>
      </c>
    </row>
    <row r="27" spans="1:23">
      <c r="C27" s="163"/>
      <c r="D27" s="10"/>
      <c r="E27" s="204"/>
      <c r="F27" s="10"/>
      <c r="G27" s="163"/>
      <c r="I27" s="204"/>
      <c r="K27" s="163"/>
      <c r="M27" s="204"/>
      <c r="O27" s="163"/>
      <c r="Q27" s="204"/>
      <c r="S27" s="163"/>
      <c r="U27" s="204"/>
      <c r="W27" s="343"/>
    </row>
    <row r="28" spans="1:23">
      <c r="A28" s="1" t="s">
        <v>472</v>
      </c>
      <c r="C28" s="2918"/>
      <c r="D28" s="10"/>
      <c r="E28" s="639">
        <v>0</v>
      </c>
      <c r="F28" s="10"/>
      <c r="G28" s="2918"/>
      <c r="I28" s="639">
        <v>0</v>
      </c>
      <c r="K28" s="2918"/>
      <c r="M28" s="639">
        <v>0</v>
      </c>
      <c r="O28" s="2918"/>
      <c r="Q28" s="639">
        <v>0</v>
      </c>
      <c r="S28" s="2918"/>
      <c r="U28" s="639">
        <v>0</v>
      </c>
      <c r="W28" s="343"/>
    </row>
    <row r="29" spans="1:23">
      <c r="C29" s="163"/>
      <c r="D29" s="10"/>
      <c r="E29" s="204"/>
      <c r="F29" s="10"/>
      <c r="G29" s="163"/>
      <c r="I29" s="204"/>
      <c r="K29" s="163"/>
      <c r="M29" s="204"/>
      <c r="O29" s="163"/>
      <c r="Q29" s="204"/>
      <c r="S29" s="163"/>
      <c r="U29" s="204"/>
      <c r="W29" s="343"/>
    </row>
    <row r="30" spans="1:23">
      <c r="A30" s="1" t="s">
        <v>473</v>
      </c>
      <c r="C30" s="2918"/>
      <c r="D30" s="10"/>
      <c r="E30" s="639">
        <f>IF(C30&gt;0,(E16/C16)*C30,0)</f>
        <v>0</v>
      </c>
      <c r="F30" s="10"/>
      <c r="G30" s="2918"/>
      <c r="I30" s="639">
        <f>IF(G30&gt;0,(I16/G16)*G30,0)</f>
        <v>0</v>
      </c>
      <c r="K30" s="2918"/>
      <c r="M30" s="639">
        <f>IF(K30&gt;0,(M16/K16)*K30,0)</f>
        <v>0</v>
      </c>
      <c r="O30" s="2918"/>
      <c r="Q30" s="639">
        <f>IF(O30&gt;0,(Q16/O16)*O30,0)</f>
        <v>0</v>
      </c>
      <c r="S30" s="2918"/>
      <c r="U30" s="639">
        <f>IF(S30&gt;0,(U16/S16)*S30,0)</f>
        <v>0</v>
      </c>
      <c r="W30" s="343"/>
    </row>
    <row r="31" spans="1:23">
      <c r="C31" s="1794"/>
      <c r="D31" s="10"/>
      <c r="E31" s="204"/>
      <c r="F31" s="10"/>
      <c r="G31" s="1794"/>
      <c r="I31" s="204"/>
      <c r="K31" s="163"/>
      <c r="M31" s="204"/>
      <c r="O31" s="204"/>
      <c r="Q31" s="204"/>
      <c r="S31" s="163"/>
      <c r="U31" s="204"/>
      <c r="W31" s="343"/>
    </row>
    <row r="32" spans="1:23">
      <c r="A32" s="1" t="s">
        <v>474</v>
      </c>
      <c r="C32" s="2918"/>
      <c r="D32" s="10"/>
      <c r="E32" s="639">
        <f>IF(C32&gt;0,C32*(E24/C24),0)</f>
        <v>0</v>
      </c>
      <c r="F32" s="10"/>
      <c r="G32" s="2918"/>
      <c r="I32" s="639">
        <f>IF(G32&gt;0,G32*(I24/G24),0)</f>
        <v>0</v>
      </c>
      <c r="K32" s="2918"/>
      <c r="M32" s="639">
        <f>IF(K32&gt;0,K32*(M24/K24),0)</f>
        <v>0</v>
      </c>
      <c r="O32" s="2918"/>
      <c r="Q32" s="639">
        <f>IF(O32&gt;0,O32*(Q24/O24),0)</f>
        <v>0</v>
      </c>
      <c r="S32" s="2918"/>
      <c r="U32" s="1795">
        <f>IF(S32&gt;0,S32*(U24/S24),0)</f>
        <v>0</v>
      </c>
      <c r="W32" s="342">
        <f>U32+E32+I32+M32+Q32</f>
        <v>0</v>
      </c>
    </row>
    <row r="33" spans="1:23">
      <c r="C33" s="163"/>
      <c r="D33" s="10"/>
      <c r="E33" s="204" t="s">
        <v>508</v>
      </c>
      <c r="F33" s="10"/>
      <c r="G33" s="163" t="s">
        <v>475</v>
      </c>
      <c r="I33" s="204" t="s">
        <v>508</v>
      </c>
      <c r="K33" s="163" t="s">
        <v>475</v>
      </c>
      <c r="M33" s="204" t="s">
        <v>508</v>
      </c>
      <c r="O33" s="163" t="s">
        <v>475</v>
      </c>
      <c r="Q33" s="1638" t="s">
        <v>508</v>
      </c>
      <c r="S33" s="163" t="s">
        <v>475</v>
      </c>
      <c r="U33" s="1638" t="s">
        <v>508</v>
      </c>
      <c r="W33" s="343" t="s">
        <v>508</v>
      </c>
    </row>
    <row r="34" spans="1:23" ht="13.5" thickBot="1">
      <c r="A34" s="1" t="s">
        <v>1096</v>
      </c>
      <c r="C34" s="205">
        <f>SUM(C26:C33)</f>
        <v>0</v>
      </c>
      <c r="D34" s="10"/>
      <c r="E34" s="2919">
        <f>E26+E28+E30+E32-E16-E18</f>
        <v>0</v>
      </c>
      <c r="F34" s="10"/>
      <c r="G34" s="205">
        <f>SUM(G26:G33)</f>
        <v>0</v>
      </c>
      <c r="I34" s="2919">
        <f>I26+I28+I30+I32-I16-I18</f>
        <v>0</v>
      </c>
      <c r="K34" s="205">
        <f>SUM(K26:K33)</f>
        <v>0</v>
      </c>
      <c r="M34" s="2919">
        <f>M26+M28+M30+M32-M16-M18</f>
        <v>0</v>
      </c>
      <c r="O34" s="205">
        <f>SUM(O26:O33)</f>
        <v>0</v>
      </c>
      <c r="Q34" s="2919">
        <f>Q26+Q28+Q30+Q32-Q16-Q18</f>
        <v>0</v>
      </c>
      <c r="S34" s="205">
        <f>SUM(S26:S33)</f>
        <v>0</v>
      </c>
      <c r="U34" s="2919">
        <f>U26+U28+U30+U32-U16-U18</f>
        <v>0</v>
      </c>
      <c r="W34" s="342">
        <f>U34+E34+I34+M34+Q34</f>
        <v>0</v>
      </c>
    </row>
    <row r="35" spans="1:23" ht="13.5" thickTop="1">
      <c r="E35" s="1"/>
      <c r="O35" s="1"/>
    </row>
    <row r="36" spans="1:23" s="667" customFormat="1">
      <c r="A36" s="667" t="s">
        <v>1069</v>
      </c>
      <c r="E36" s="934">
        <f>IF(ISERROR(E$32/C$32),0,E$32/C$32)</f>
        <v>0</v>
      </c>
      <c r="I36" s="934">
        <f>IF(ISERROR(I$32/G$32),0,I$32/G$32)</f>
        <v>0</v>
      </c>
      <c r="M36" s="934">
        <f>IF(ISERROR(M$32/K$32),0,M$32/K$32)</f>
        <v>0</v>
      </c>
      <c r="O36" s="935"/>
      <c r="Q36" s="934">
        <f>IF(ISERROR(Q$32/O$32),0,Q$32/O$32)</f>
        <v>0</v>
      </c>
      <c r="U36" s="934">
        <f>IF(ISERROR(U$32/S$32),0,U$32/S$32)</f>
        <v>0</v>
      </c>
    </row>
    <row r="37" spans="1:23" ht="9" customHeight="1"/>
    <row r="38" spans="1:23">
      <c r="A38" s="3" t="s">
        <v>172</v>
      </c>
    </row>
    <row r="39" spans="1:23" ht="54" customHeight="1">
      <c r="A39" s="3742"/>
      <c r="B39" s="3743"/>
      <c r="C39" s="3743"/>
      <c r="D39" s="3743"/>
      <c r="E39" s="3743"/>
      <c r="F39" s="3743"/>
      <c r="G39" s="3743"/>
      <c r="H39" s="3743"/>
      <c r="I39" s="3743"/>
      <c r="J39" s="3743"/>
      <c r="K39" s="3743"/>
      <c r="L39" s="3743"/>
      <c r="M39" s="3743"/>
      <c r="N39" s="3743"/>
      <c r="O39" s="3743"/>
      <c r="P39" s="3743"/>
      <c r="Q39" s="3743"/>
      <c r="R39" s="3743"/>
      <c r="S39" s="3743"/>
      <c r="T39" s="3743"/>
      <c r="U39" s="3743"/>
      <c r="V39" s="3743"/>
      <c r="W39" s="3744"/>
    </row>
  </sheetData>
  <sheetProtection selectLockedCells="1"/>
  <customSheetViews>
    <customSheetView guid="{BCBE45D4-3C45-4659-992E-5C5D3E9FD81C}" fitToPage="1" hiddenColumns="1" topLeftCell="A4">
      <selection sqref="A1:C1"/>
      <pageMargins left="0.59055118110236227" right="0.43307086614173229" top="0.6692913385826772" bottom="0.94488188976377963" header="0.51181102362204722" footer="0.39370078740157483"/>
      <printOptions horizontalCentered="1"/>
      <pageSetup paperSize="9" scale="6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AF27" sqref="AF27"/>
      <pageMargins left="0.59055118110236227" right="0.43307086614173229" top="0.6692913385826772" bottom="0.94488188976377963" header="0.51181102362204722" footer="0.39370078740157483"/>
      <printOptions horizontalCentered="1"/>
      <pageSetup paperSize="9" scale="64" fitToHeight="999" orientation="portrait" blackAndWhite="1" r:id="rId2"/>
      <headerFooter alignWithMargins="0">
        <oddFooter>&amp;L&amp;8Copyright Crowe Horwath (Aust) Pty Ltd 2016.  All rights reserved.
&amp;Z&amp;F[&amp;A]&amp;R&amp;8&amp;P/&amp;N</oddFooter>
      </headerFooter>
    </customSheetView>
  </customSheetViews>
  <mergeCells count="14">
    <mergeCell ref="A39:W39"/>
    <mergeCell ref="S19:S21"/>
    <mergeCell ref="C19:C21"/>
    <mergeCell ref="G19:G21"/>
    <mergeCell ref="K19:K21"/>
    <mergeCell ref="O19:O21"/>
    <mergeCell ref="O14:Q14"/>
    <mergeCell ref="S14:U14"/>
    <mergeCell ref="A8:W8"/>
    <mergeCell ref="A2:C2"/>
    <mergeCell ref="C14:E14"/>
    <mergeCell ref="G14:I14"/>
    <mergeCell ref="K14:M14"/>
    <mergeCell ref="V9:W9"/>
  </mergeCells>
  <phoneticPr fontId="26" type="noConversion"/>
  <dataValidations count="1">
    <dataValidation type="list" allowBlank="1" sqref="C14:E14 S14:U14 O14:Q14 K14:M14 G14:I14" xr:uid="{00000000-0002-0000-1400-000000000000}">
      <formula1>OFFSET(Natural_Increase,,,,1)</formula1>
    </dataValidation>
  </dataValidations>
  <hyperlinks>
    <hyperlink ref="V9" location="'WP Index'!E94" display="Back to Workpaper Index" xr:uid="{5B0B88D8-41FA-4028-98A0-BD4EA0C9729F}"/>
    <hyperlink ref="V9:W9" location="WPIndex!A1" display="Back to WP Index" xr:uid="{9601ACF5-B223-4532-9D4D-849595D9739E}"/>
  </hyperlinks>
  <printOptions horizontalCentered="1"/>
  <pageMargins left="0.59055118110236227" right="0.43307086614173229" top="0.6692913385826772" bottom="0.94488188976377963" header="0.51181102362204722" footer="0.39370078740157483"/>
  <pageSetup paperSize="9" scale="64" fitToHeight="999" orientation="portrait" r:id="rId3"/>
  <headerFooter alignWithMargins="0">
    <oddFooter>&amp;L&amp;8© Findex (Aust) Pty Ltd.  All rights reserved.&amp;R&amp;8&amp;P/&amp;N</oddFooter>
  </headerFooter>
  <drawing r:id="rId4"/>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Commercial_Bill_Pre_Sheet">
    <tabColor theme="8" tint="0.79998168889431442"/>
  </sheetPr>
  <dimension ref="A1:H33"/>
  <sheetViews>
    <sheetView zoomScaleNormal="100" workbookViewId="0">
      <selection sqref="A1:F1"/>
    </sheetView>
  </sheetViews>
  <sheetFormatPr defaultColWidth="9.140625" defaultRowHeight="12.75"/>
  <cols>
    <col min="1" max="1" width="27.7109375" style="1" customWidth="1"/>
    <col min="2" max="2" width="13.5703125" style="14" customWidth="1"/>
    <col min="3" max="3" width="15" style="14" customWidth="1"/>
    <col min="4" max="4" width="13.7109375" style="1" customWidth="1"/>
    <col min="5" max="5" width="12" style="1" customWidth="1"/>
    <col min="6" max="6" width="11.140625" style="1" customWidth="1"/>
    <col min="7" max="7" width="13.85546875" style="1" customWidth="1"/>
    <col min="8" max="8" width="8.28515625" style="1" hidden="1" customWidth="1"/>
    <col min="9" max="16384" width="9.140625" style="1"/>
  </cols>
  <sheetData>
    <row r="1" spans="1:8">
      <c r="F1" s="2613" t="s">
        <v>2425</v>
      </c>
      <c r="G1" s="3576" t="s">
        <v>2758</v>
      </c>
    </row>
    <row r="2" spans="1:8" ht="15.75">
      <c r="A2" s="1199"/>
      <c r="B2" s="1"/>
      <c r="C2" s="1"/>
      <c r="E2" s="40"/>
      <c r="F2" s="71" t="s">
        <v>2426</v>
      </c>
      <c r="G2" s="2621"/>
    </row>
    <row r="3" spans="1:8" ht="15.75">
      <c r="A3" s="1199"/>
      <c r="B3" s="1"/>
      <c r="C3" s="1"/>
      <c r="E3" s="40"/>
      <c r="F3" s="40"/>
    </row>
    <row r="4" spans="1:8" s="32" customFormat="1">
      <c r="A4" s="206"/>
      <c r="E4" s="11"/>
      <c r="F4" s="11" t="s">
        <v>1163</v>
      </c>
      <c r="G4" s="709" t="s">
        <v>1262</v>
      </c>
    </row>
    <row r="5" spans="1:8" s="32" customFormat="1" ht="17.25" customHeight="1">
      <c r="A5" s="206"/>
      <c r="E5" s="71" t="s">
        <v>332</v>
      </c>
      <c r="F5" s="2617" t="str">
        <f>IF(PreparedBy="","",PreparedBy)</f>
        <v/>
      </c>
      <c r="G5" s="2618" t="str">
        <f>IF(DatePrepared="","",DatePrepared)</f>
        <v/>
      </c>
    </row>
    <row r="6" spans="1:8" s="32" customFormat="1" ht="17.25" customHeight="1">
      <c r="A6" s="206"/>
      <c r="E6" s="71" t="s">
        <v>333</v>
      </c>
      <c r="F6" s="2619"/>
      <c r="G6" s="2620"/>
    </row>
    <row r="7" spans="1:8" s="32" customFormat="1" ht="15.75">
      <c r="A7" s="206"/>
      <c r="B7" s="43"/>
      <c r="C7" s="43"/>
      <c r="D7" s="43"/>
      <c r="E7" s="43"/>
    </row>
    <row r="8" spans="1:8" ht="15.75">
      <c r="A8" s="3704" t="str">
        <f>'WP Index'!E34</f>
        <v>Commercial Bill Prepayments</v>
      </c>
      <c r="B8" s="3705"/>
      <c r="C8" s="3705"/>
      <c r="D8" s="3705"/>
      <c r="E8" s="3705"/>
      <c r="F8" s="3705"/>
      <c r="G8" s="3706"/>
    </row>
    <row r="9" spans="1:8">
      <c r="B9" s="1"/>
      <c r="C9" s="1"/>
      <c r="E9" s="14"/>
      <c r="F9" s="3832" t="s">
        <v>2526</v>
      </c>
      <c r="G9" s="3832"/>
    </row>
    <row r="10" spans="1:8" s="37" customFormat="1" ht="15.75">
      <c r="A10" s="222" t="str">
        <f>"CLIENT NAME:   "&amp;'WP Index'!E3</f>
        <v>CLIENT NAME:   Example Trust</v>
      </c>
      <c r="H10" s="1"/>
    </row>
    <row r="11" spans="1:8" s="37" customFormat="1">
      <c r="A11" s="9" t="str">
        <f>"CLIENT CODE:   "&amp;'WP Index'!E4</f>
        <v>CLIENT CODE:   99999</v>
      </c>
      <c r="F11" s="47" t="s">
        <v>951</v>
      </c>
      <c r="G11" s="47">
        <f>'WP Index'!G5</f>
        <v>45473</v>
      </c>
      <c r="H11" s="1"/>
    </row>
    <row r="12" spans="1:8" s="37" customFormat="1" ht="12.75" customHeight="1"/>
    <row r="13" spans="1:8" s="37" customFormat="1" ht="15.75" customHeight="1">
      <c r="H13" s="1"/>
    </row>
    <row r="14" spans="1:8" s="3" customFormat="1">
      <c r="A14" s="54" t="s">
        <v>476</v>
      </c>
      <c r="B14" s="11" t="s">
        <v>966</v>
      </c>
      <c r="C14" s="3890" t="s">
        <v>563</v>
      </c>
      <c r="D14" s="3890"/>
      <c r="E14" s="3833" t="s">
        <v>325</v>
      </c>
      <c r="F14" s="3833" t="s">
        <v>938</v>
      </c>
      <c r="G14" s="11" t="s">
        <v>939</v>
      </c>
      <c r="H14" s="6" t="s">
        <v>1286</v>
      </c>
    </row>
    <row r="15" spans="1:8">
      <c r="A15" s="54"/>
      <c r="B15" s="11"/>
      <c r="C15" s="11" t="s">
        <v>545</v>
      </c>
      <c r="D15" s="11" t="s">
        <v>546</v>
      </c>
      <c r="E15" s="3833"/>
      <c r="F15" s="3833"/>
      <c r="G15" s="11"/>
    </row>
    <row r="16" spans="1:8">
      <c r="A16" s="2743"/>
      <c r="B16" s="2744"/>
      <c r="C16" s="2745"/>
      <c r="D16" s="2745"/>
      <c r="E16" s="394">
        <f>IF(OR(D16="",C16=""),0,+D16-C16+1)</f>
        <v>0</v>
      </c>
      <c r="F16" s="394">
        <f>IF(E16=0,0,+D16-$G$11)</f>
        <v>0</v>
      </c>
      <c r="G16" s="394">
        <f>IF(E16=0,0,+ROUND((F16/E16)*B16,2))</f>
        <v>0</v>
      </c>
    </row>
    <row r="17" spans="1:7">
      <c r="A17" s="2746"/>
      <c r="B17" s="2747"/>
      <c r="C17" s="2748"/>
      <c r="D17" s="2748"/>
      <c r="E17" s="394">
        <f>IF(OR(D17="",C17=""),0,+D17-C17+1)</f>
        <v>0</v>
      </c>
      <c r="F17" s="394">
        <f>IF(E17=0,0,+D17-$G$11)</f>
        <v>0</v>
      </c>
      <c r="G17" s="394">
        <f>IF(E17=0,0,+ROUND((F17/E17)*B17,2))</f>
        <v>0</v>
      </c>
    </row>
    <row r="18" spans="1:7">
      <c r="A18" s="2746"/>
      <c r="B18" s="2747"/>
      <c r="C18" s="2748"/>
      <c r="D18" s="2748"/>
      <c r="E18" s="394">
        <f>IF(OR(D18="",C18=""),0,+D18-C18+1)</f>
        <v>0</v>
      </c>
      <c r="F18" s="394">
        <f t="shared" ref="F18:F28" si="0">IF(E18=0,0,+D18-$G$11)</f>
        <v>0</v>
      </c>
      <c r="G18" s="394">
        <f>IF(E18=0,0,+ROUND((F18/E18)*B18,2))</f>
        <v>0</v>
      </c>
    </row>
    <row r="19" spans="1:7">
      <c r="A19" s="2746"/>
      <c r="B19" s="2747"/>
      <c r="C19" s="2748"/>
      <c r="D19" s="2748"/>
      <c r="E19" s="394">
        <f t="shared" ref="E19:E28" si="1">IF(OR(D19="",C19=""),0,+D19-C19+1)</f>
        <v>0</v>
      </c>
      <c r="F19" s="394">
        <f t="shared" si="0"/>
        <v>0</v>
      </c>
      <c r="G19" s="394">
        <f t="shared" ref="G19:G28" si="2">IF(E19=0,0,+ROUND((F19/E19)*B19,2))</f>
        <v>0</v>
      </c>
    </row>
    <row r="20" spans="1:7">
      <c r="A20" s="2746"/>
      <c r="B20" s="2747"/>
      <c r="C20" s="2748"/>
      <c r="D20" s="2748"/>
      <c r="E20" s="394">
        <f t="shared" si="1"/>
        <v>0</v>
      </c>
      <c r="F20" s="394">
        <f t="shared" si="0"/>
        <v>0</v>
      </c>
      <c r="G20" s="394">
        <f t="shared" si="2"/>
        <v>0</v>
      </c>
    </row>
    <row r="21" spans="1:7">
      <c r="A21" s="2746"/>
      <c r="B21" s="2747"/>
      <c r="C21" s="2748"/>
      <c r="D21" s="2748"/>
      <c r="E21" s="394">
        <f t="shared" si="1"/>
        <v>0</v>
      </c>
      <c r="F21" s="394">
        <f t="shared" si="0"/>
        <v>0</v>
      </c>
      <c r="G21" s="394">
        <f t="shared" si="2"/>
        <v>0</v>
      </c>
    </row>
    <row r="22" spans="1:7">
      <c r="A22" s="2746"/>
      <c r="B22" s="2747"/>
      <c r="C22" s="2748"/>
      <c r="D22" s="2748"/>
      <c r="E22" s="394">
        <f t="shared" si="1"/>
        <v>0</v>
      </c>
      <c r="F22" s="394">
        <f t="shared" si="0"/>
        <v>0</v>
      </c>
      <c r="G22" s="394">
        <f t="shared" si="2"/>
        <v>0</v>
      </c>
    </row>
    <row r="23" spans="1:7">
      <c r="A23" s="2746"/>
      <c r="B23" s="2747"/>
      <c r="C23" s="2748"/>
      <c r="D23" s="2748"/>
      <c r="E23" s="394">
        <f t="shared" si="1"/>
        <v>0</v>
      </c>
      <c r="F23" s="394">
        <f t="shared" si="0"/>
        <v>0</v>
      </c>
      <c r="G23" s="394">
        <f t="shared" si="2"/>
        <v>0</v>
      </c>
    </row>
    <row r="24" spans="1:7">
      <c r="A24" s="2746"/>
      <c r="B24" s="2747"/>
      <c r="C24" s="2748"/>
      <c r="D24" s="2748"/>
      <c r="E24" s="394">
        <f t="shared" si="1"/>
        <v>0</v>
      </c>
      <c r="F24" s="394">
        <f t="shared" si="0"/>
        <v>0</v>
      </c>
      <c r="G24" s="394">
        <f t="shared" si="2"/>
        <v>0</v>
      </c>
    </row>
    <row r="25" spans="1:7">
      <c r="A25" s="2746"/>
      <c r="B25" s="2747"/>
      <c r="C25" s="2748"/>
      <c r="D25" s="2748"/>
      <c r="E25" s="394">
        <f t="shared" si="1"/>
        <v>0</v>
      </c>
      <c r="F25" s="394">
        <f t="shared" si="0"/>
        <v>0</v>
      </c>
      <c r="G25" s="394">
        <f t="shared" si="2"/>
        <v>0</v>
      </c>
    </row>
    <row r="26" spans="1:7">
      <c r="A26" s="2746"/>
      <c r="B26" s="2747"/>
      <c r="C26" s="2748"/>
      <c r="D26" s="2748"/>
      <c r="E26" s="394">
        <f t="shared" si="1"/>
        <v>0</v>
      </c>
      <c r="F26" s="394">
        <f t="shared" si="0"/>
        <v>0</v>
      </c>
      <c r="G26" s="394">
        <f t="shared" si="2"/>
        <v>0</v>
      </c>
    </row>
    <row r="27" spans="1:7">
      <c r="A27" s="2746"/>
      <c r="B27" s="2747"/>
      <c r="C27" s="2748"/>
      <c r="D27" s="2748"/>
      <c r="E27" s="394">
        <f t="shared" si="1"/>
        <v>0</v>
      </c>
      <c r="F27" s="394">
        <f t="shared" si="0"/>
        <v>0</v>
      </c>
      <c r="G27" s="394">
        <f t="shared" si="2"/>
        <v>0</v>
      </c>
    </row>
    <row r="28" spans="1:7">
      <c r="A28" s="2749"/>
      <c r="B28" s="2750"/>
      <c r="C28" s="2751"/>
      <c r="D28" s="2751"/>
      <c r="E28" s="394">
        <f t="shared" si="1"/>
        <v>0</v>
      </c>
      <c r="F28" s="394">
        <f t="shared" si="0"/>
        <v>0</v>
      </c>
      <c r="G28" s="394">
        <f t="shared" si="2"/>
        <v>0</v>
      </c>
    </row>
    <row r="29" spans="1:7">
      <c r="A29" s="130"/>
      <c r="B29" s="130"/>
      <c r="C29" s="130"/>
      <c r="D29" s="130"/>
      <c r="E29" s="395"/>
      <c r="F29" s="395"/>
      <c r="G29" s="395"/>
    </row>
    <row r="30" spans="1:7" ht="13.5" thickBot="1">
      <c r="A30" s="130"/>
      <c r="B30" s="130"/>
      <c r="C30" s="130"/>
      <c r="D30" s="130"/>
      <c r="E30" s="395"/>
      <c r="F30" s="395"/>
      <c r="G30" s="353">
        <f>+SUM(G16:G28)</f>
        <v>0</v>
      </c>
    </row>
    <row r="31" spans="1:7" ht="13.5" thickTop="1">
      <c r="A31" s="8"/>
      <c r="B31" s="20"/>
      <c r="C31" s="20"/>
    </row>
    <row r="32" spans="1:7">
      <c r="A32" s="54" t="s">
        <v>172</v>
      </c>
      <c r="B32" s="20"/>
      <c r="C32" s="20"/>
    </row>
    <row r="33" spans="1:7" ht="65.25" customHeight="1">
      <c r="A33" s="3742"/>
      <c r="B33" s="3743"/>
      <c r="C33" s="3743"/>
      <c r="D33" s="3743"/>
      <c r="E33" s="3743"/>
      <c r="F33" s="3743"/>
      <c r="G33" s="3744"/>
    </row>
  </sheetData>
  <customSheetViews>
    <customSheetView guid="{BCBE45D4-3C45-4659-992E-5C5D3E9FD81C}" fitToPage="1" hiddenColumns="1">
      <selection activeCell="C39" sqref="C39"/>
      <pageMargins left="0.59055118110236227" right="0.43307086614173229" top="0.6692913385826772" bottom="0.94488188976377963" header="0.51181102362204722" footer="0.39370078740157483"/>
      <printOptions horizontalCentered="1"/>
      <pageSetup paperSize="9" scale="88"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C39" sqref="C39"/>
      <pageMargins left="0.59055118110236227" right="0.43307086614173229" top="0.6692913385826772" bottom="0.94488188976377963" header="0.51181102362204722" footer="0.39370078740157483"/>
      <printOptions horizontalCentered="1"/>
      <pageSetup paperSize="9" scale="88" fitToHeight="999" orientation="portrait" blackAndWhite="1" r:id="rId2"/>
      <headerFooter alignWithMargins="0">
        <oddFooter>&amp;L&amp;8Copyright Crowe Horwath (Aust) Pty Ltd 2016.  All rights reserved.
&amp;Z&amp;F[&amp;A]&amp;R&amp;8&amp;P/&amp;N</oddFooter>
      </headerFooter>
    </customSheetView>
  </customSheetViews>
  <mergeCells count="6">
    <mergeCell ref="A33:G33"/>
    <mergeCell ref="A8:G8"/>
    <mergeCell ref="F9:G9"/>
    <mergeCell ref="C14:D14"/>
    <mergeCell ref="E14:E15"/>
    <mergeCell ref="F14:F15"/>
  </mergeCells>
  <phoneticPr fontId="0" type="noConversion"/>
  <hyperlinks>
    <hyperlink ref="F9" location="WP_Prepayments" display="Back to Workpaper Index" xr:uid="{00000000-0004-0000-1600-000000000000}"/>
    <hyperlink ref="F9:G9" location="WPIndex!A1" display="Back to WP Index" xr:uid="{071F0903-0AFA-4637-8086-2F97EBABD568}"/>
  </hyperlinks>
  <printOptions horizontalCentered="1"/>
  <pageMargins left="0.59055118110236227" right="0.43307086614173229" top="0.6692913385826772" bottom="0.94488188976377963" header="0.51181102362204722" footer="0.39370078740157483"/>
  <pageSetup paperSize="9" scale="86" fitToHeight="999" orientation="portrait" r:id="rId3"/>
  <headerFooter alignWithMargins="0">
    <oddFooter>&amp;L&amp;8© Findex (Aust) Pty Ltd.  All rights reserved.&amp;R&amp;8&amp;P/&amp;N</oddFooter>
  </headerFooter>
  <drawing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rading_Stock_Sheet">
    <tabColor theme="8" tint="0.79998168889431442"/>
  </sheetPr>
  <dimension ref="A1:D90"/>
  <sheetViews>
    <sheetView showGridLines="0" zoomScaleNormal="100" workbookViewId="0">
      <selection sqref="A1:F1"/>
    </sheetView>
  </sheetViews>
  <sheetFormatPr defaultColWidth="9.140625" defaultRowHeight="12.75"/>
  <cols>
    <col min="1" max="1" width="48.42578125" style="979" customWidth="1"/>
    <col min="2" max="2" width="14.28515625" style="979" customWidth="1"/>
    <col min="3" max="3" width="15.140625" style="1150" customWidth="1"/>
    <col min="4" max="4" width="8.28515625" style="979" hidden="1" customWidth="1"/>
    <col min="5" max="16384" width="9.140625" style="979"/>
  </cols>
  <sheetData>
    <row r="1" spans="1:4">
      <c r="B1" s="2613" t="s">
        <v>2425</v>
      </c>
      <c r="C1" s="3576" t="s">
        <v>2758</v>
      </c>
    </row>
    <row r="2" spans="1:4" ht="15.75">
      <c r="A2" s="1280"/>
      <c r="B2" s="71" t="s">
        <v>2426</v>
      </c>
      <c r="C2" s="2621"/>
    </row>
    <row r="3" spans="1:4" ht="15.75">
      <c r="A3" s="1280"/>
      <c r="B3" s="1281"/>
      <c r="C3" s="979"/>
    </row>
    <row r="4" spans="1:4" s="1093" customFormat="1">
      <c r="A4" s="1135"/>
      <c r="B4" s="1135" t="s">
        <v>1163</v>
      </c>
      <c r="C4" s="1148" t="s">
        <v>1262</v>
      </c>
    </row>
    <row r="5" spans="1:4" s="1093" customFormat="1" ht="17.25" customHeight="1">
      <c r="A5" s="1149" t="s">
        <v>332</v>
      </c>
      <c r="B5" s="2617" t="str">
        <f>IF(PreparedBy="","",PreparedBy)</f>
        <v/>
      </c>
      <c r="C5" s="2618" t="str">
        <f>IF(DatePrepared="","",DatePrepared)</f>
        <v/>
      </c>
    </row>
    <row r="6" spans="1:4" s="1093" customFormat="1" ht="17.25" customHeight="1">
      <c r="A6" s="1149" t="s">
        <v>333</v>
      </c>
      <c r="B6" s="2619"/>
      <c r="C6" s="2620"/>
    </row>
    <row r="7" spans="1:4" s="1093" customFormat="1" ht="15.75">
      <c r="A7" s="1094"/>
      <c r="B7" s="1113"/>
      <c r="C7" s="1113"/>
    </row>
    <row r="8" spans="1:4" ht="15.75">
      <c r="A8" s="3704" t="str">
        <f>WP_Trading_Stock</f>
        <v>Trading Stock / Absorption Costing</v>
      </c>
      <c r="B8" s="3705"/>
      <c r="C8" s="3706"/>
    </row>
    <row r="9" spans="1:4">
      <c r="B9" s="3892" t="s">
        <v>2526</v>
      </c>
      <c r="C9" s="3892"/>
    </row>
    <row r="10" spans="1:4" ht="15.75">
      <c r="A10" s="1282" t="str">
        <f>"CLIENT NAME:   "&amp;'WP Index'!E3</f>
        <v>CLIENT NAME:   Example Trust</v>
      </c>
    </row>
    <row r="11" spans="1:4">
      <c r="A11" s="1115" t="str">
        <f>"CLIENT CODE:   "&amp;'WP Index'!E4</f>
        <v>CLIENT CODE:   99999</v>
      </c>
      <c r="B11" s="871" t="s">
        <v>951</v>
      </c>
      <c r="C11" s="871">
        <f>'WP Index'!G5</f>
        <v>45473</v>
      </c>
    </row>
    <row r="13" spans="1:4">
      <c r="A13" s="1099" t="s">
        <v>991</v>
      </c>
      <c r="C13" s="1283" t="s">
        <v>1109</v>
      </c>
      <c r="D13" s="1116" t="s">
        <v>1286</v>
      </c>
    </row>
    <row r="14" spans="1:4">
      <c r="A14" s="3891"/>
      <c r="B14" s="3891"/>
      <c r="C14" s="2616"/>
    </row>
    <row r="15" spans="1:4">
      <c r="A15" s="3891"/>
      <c r="B15" s="3891"/>
      <c r="C15" s="2616"/>
    </row>
    <row r="16" spans="1:4">
      <c r="A16" s="3891"/>
      <c r="B16" s="3891"/>
      <c r="C16" s="2616"/>
    </row>
    <row r="17" spans="1:3">
      <c r="A17" s="3891"/>
      <c r="B17" s="3891"/>
      <c r="C17" s="2616"/>
    </row>
    <row r="18" spans="1:3">
      <c r="A18" s="3891"/>
      <c r="B18" s="3891"/>
      <c r="C18" s="2616"/>
    </row>
    <row r="19" spans="1:3">
      <c r="A19" s="3891"/>
      <c r="B19" s="3891"/>
      <c r="C19" s="2616"/>
    </row>
    <row r="20" spans="1:3">
      <c r="A20" s="3891"/>
      <c r="B20" s="3891"/>
      <c r="C20" s="2616"/>
    </row>
    <row r="21" spans="1:3">
      <c r="A21" s="3891"/>
      <c r="B21" s="3891"/>
      <c r="C21" s="2616"/>
    </row>
    <row r="22" spans="1:3">
      <c r="A22" s="3893"/>
      <c r="B22" s="3894"/>
      <c r="C22" s="2616"/>
    </row>
    <row r="23" spans="1:3">
      <c r="A23" s="3891"/>
      <c r="B23" s="3891"/>
      <c r="C23" s="2616"/>
    </row>
    <row r="24" spans="1:3">
      <c r="A24" s="3891"/>
      <c r="B24" s="3891"/>
      <c r="C24" s="2616"/>
    </row>
    <row r="25" spans="1:3">
      <c r="A25" s="3891"/>
      <c r="B25" s="3891"/>
      <c r="C25" s="2616"/>
    </row>
    <row r="26" spans="1:3">
      <c r="A26" s="3891"/>
      <c r="B26" s="3891"/>
      <c r="C26" s="2616"/>
    </row>
    <row r="27" spans="1:3">
      <c r="A27" s="3891"/>
      <c r="B27" s="3891"/>
      <c r="C27" s="2616"/>
    </row>
    <row r="28" spans="1:3">
      <c r="A28" s="3891"/>
      <c r="B28" s="3891"/>
      <c r="C28" s="2616"/>
    </row>
    <row r="29" spans="1:3">
      <c r="A29" s="3891"/>
      <c r="B29" s="3891"/>
      <c r="C29" s="2616"/>
    </row>
    <row r="30" spans="1:3">
      <c r="A30" s="3891"/>
      <c r="B30" s="3891"/>
      <c r="C30" s="2616"/>
    </row>
    <row r="31" spans="1:3">
      <c r="A31" s="3891"/>
      <c r="B31" s="3891"/>
      <c r="C31" s="2616"/>
    </row>
    <row r="32" spans="1:3">
      <c r="A32" s="3891"/>
      <c r="B32" s="3891"/>
      <c r="C32" s="2616"/>
    </row>
    <row r="33" spans="1:3">
      <c r="A33" s="3891"/>
      <c r="B33" s="3891"/>
      <c r="C33" s="2616"/>
    </row>
    <row r="34" spans="1:3">
      <c r="A34" s="3891"/>
      <c r="B34" s="3891"/>
      <c r="C34" s="2616"/>
    </row>
    <row r="35" spans="1:3">
      <c r="A35" s="3891"/>
      <c r="B35" s="3891"/>
      <c r="C35" s="2616"/>
    </row>
    <row r="36" spans="1:3">
      <c r="A36" s="3891"/>
      <c r="B36" s="3891"/>
      <c r="C36" s="2616"/>
    </row>
    <row r="37" spans="1:3">
      <c r="A37" s="3891"/>
      <c r="B37" s="3891"/>
      <c r="C37" s="2616"/>
    </row>
    <row r="38" spans="1:3">
      <c r="A38" s="3891"/>
      <c r="B38" s="3891"/>
      <c r="C38" s="2616"/>
    </row>
    <row r="39" spans="1:3">
      <c r="A39" s="3891"/>
      <c r="B39" s="3891"/>
      <c r="C39" s="2616"/>
    </row>
    <row r="40" spans="1:3">
      <c r="A40" s="3891"/>
      <c r="B40" s="3891"/>
      <c r="C40" s="2616"/>
    </row>
    <row r="41" spans="1:3">
      <c r="A41" s="3891"/>
      <c r="B41" s="3891"/>
      <c r="C41" s="2616"/>
    </row>
    <row r="42" spans="1:3">
      <c r="A42" s="3891"/>
      <c r="B42" s="3891"/>
      <c r="C42" s="2616"/>
    </row>
    <row r="43" spans="1:3">
      <c r="A43" s="3891"/>
      <c r="B43" s="3891"/>
      <c r="C43" s="2616"/>
    </row>
    <row r="44" spans="1:3">
      <c r="A44" s="3891"/>
      <c r="B44" s="3891"/>
      <c r="C44" s="2616"/>
    </row>
    <row r="45" spans="1:3">
      <c r="A45" s="3891"/>
      <c r="B45" s="3891"/>
      <c r="C45" s="2616"/>
    </row>
    <row r="46" spans="1:3">
      <c r="A46" s="3891"/>
      <c r="B46" s="3891"/>
      <c r="C46" s="2616"/>
    </row>
    <row r="47" spans="1:3">
      <c r="A47" s="3891"/>
      <c r="B47" s="3891"/>
      <c r="C47" s="2616"/>
    </row>
    <row r="48" spans="1:3">
      <c r="A48" s="3891"/>
      <c r="B48" s="3891"/>
      <c r="C48" s="2616"/>
    </row>
    <row r="49" spans="1:4">
      <c r="A49" s="3891"/>
      <c r="B49" s="3891"/>
      <c r="C49" s="2616"/>
    </row>
    <row r="50" spans="1:4">
      <c r="A50" s="3891"/>
      <c r="B50" s="3891"/>
      <c r="C50" s="2616"/>
    </row>
    <row r="51" spans="1:4" ht="13.5" thickBot="1">
      <c r="A51" s="1099" t="s">
        <v>1110</v>
      </c>
      <c r="C51" s="1284">
        <f>SUM(C14:C50)</f>
        <v>0</v>
      </c>
    </row>
    <row r="52" spans="1:4" ht="13.5" thickTop="1"/>
    <row r="53" spans="1:4">
      <c r="A53" s="1099" t="s">
        <v>172</v>
      </c>
    </row>
    <row r="54" spans="1:4" ht="61.5" customHeight="1">
      <c r="A54" s="3774"/>
      <c r="B54" s="3775"/>
      <c r="C54" s="3776"/>
    </row>
    <row r="57" spans="1:4" ht="18">
      <c r="A57" s="1285" t="s">
        <v>538</v>
      </c>
    </row>
    <row r="58" spans="1:4" s="827" customFormat="1">
      <c r="A58" s="863" t="s">
        <v>469</v>
      </c>
      <c r="C58" s="2752"/>
      <c r="D58" s="979"/>
    </row>
    <row r="59" spans="1:4" s="827" customFormat="1">
      <c r="A59" s="863" t="s">
        <v>522</v>
      </c>
      <c r="C59" s="2752"/>
      <c r="D59" s="979"/>
    </row>
    <row r="60" spans="1:4" s="827" customFormat="1">
      <c r="A60" s="863" t="s">
        <v>474</v>
      </c>
      <c r="C60" s="2753">
        <f>+C51</f>
        <v>0</v>
      </c>
      <c r="D60" s="979"/>
    </row>
    <row r="61" spans="1:4" s="827" customFormat="1" ht="13.5" thickBot="1">
      <c r="A61" s="954" t="s">
        <v>523</v>
      </c>
      <c r="C61" s="1639">
        <f>C58+C59-C60</f>
        <v>0</v>
      </c>
      <c r="D61" s="979"/>
    </row>
    <row r="62" spans="1:4" s="827" customFormat="1" ht="13.5" thickTop="1">
      <c r="A62" s="863"/>
      <c r="B62" s="863"/>
      <c r="C62" s="863"/>
      <c r="D62" s="979"/>
    </row>
    <row r="63" spans="1:4" s="827" customFormat="1">
      <c r="A63" s="863" t="str">
        <f>"% of years purchases on hand as at " &amp; TEXT(Period_End,"dd/mm/yy")</f>
        <v>% of years purchases on hand as at 30/06/24</v>
      </c>
      <c r="B63" s="1231">
        <f>IF(C59=0,0,C60/C59)</f>
        <v>0</v>
      </c>
      <c r="C63" s="863"/>
      <c r="D63" s="979"/>
    </row>
    <row r="64" spans="1:4" s="827" customFormat="1">
      <c r="A64" s="863"/>
      <c r="B64" s="863"/>
      <c r="C64" s="863"/>
      <c r="D64" s="979"/>
    </row>
    <row r="65" spans="1:4" s="827" customFormat="1">
      <c r="A65" s="954" t="s">
        <v>524</v>
      </c>
      <c r="B65" s="3895" t="s">
        <v>525</v>
      </c>
      <c r="C65" s="1232" t="s">
        <v>526</v>
      </c>
      <c r="D65" s="979"/>
    </row>
    <row r="66" spans="1:4" s="827" customFormat="1">
      <c r="A66" s="970" t="s">
        <v>527</v>
      </c>
      <c r="B66" s="3895"/>
      <c r="C66" s="1232" t="s">
        <v>528</v>
      </c>
      <c r="D66" s="979"/>
    </row>
    <row r="67" spans="1:4" s="827" customFormat="1">
      <c r="A67" s="863"/>
      <c r="B67" s="863"/>
      <c r="C67" s="863"/>
      <c r="D67" s="979"/>
    </row>
    <row r="68" spans="1:4" s="827" customFormat="1">
      <c r="A68" s="2754" t="s">
        <v>529</v>
      </c>
      <c r="B68" s="2752"/>
      <c r="C68" s="1233">
        <f>+B68*$B$63</f>
        <v>0</v>
      </c>
      <c r="D68" s="979"/>
    </row>
    <row r="69" spans="1:4" s="827" customFormat="1">
      <c r="A69" s="2754" t="s">
        <v>530</v>
      </c>
      <c r="B69" s="2752"/>
      <c r="C69" s="1233">
        <f t="shared" ref="C69:C83" si="0">+B69*$B$63</f>
        <v>0</v>
      </c>
      <c r="D69" s="979"/>
    </row>
    <row r="70" spans="1:4" s="827" customFormat="1">
      <c r="A70" s="2754" t="s">
        <v>336</v>
      </c>
      <c r="B70" s="2752"/>
      <c r="C70" s="1233">
        <f t="shared" si="0"/>
        <v>0</v>
      </c>
      <c r="D70" s="979"/>
    </row>
    <row r="71" spans="1:4" s="827" customFormat="1">
      <c r="A71" s="2754" t="s">
        <v>531</v>
      </c>
      <c r="B71" s="2752"/>
      <c r="C71" s="1233">
        <f t="shared" si="0"/>
        <v>0</v>
      </c>
      <c r="D71" s="979"/>
    </row>
    <row r="72" spans="1:4" s="827" customFormat="1">
      <c r="A72" s="2754" t="s">
        <v>862</v>
      </c>
      <c r="B72" s="2752"/>
      <c r="C72" s="1233">
        <f t="shared" si="0"/>
        <v>0</v>
      </c>
      <c r="D72" s="979"/>
    </row>
    <row r="73" spans="1:4" s="827" customFormat="1">
      <c r="A73" s="2754" t="s">
        <v>532</v>
      </c>
      <c r="B73" s="2752"/>
      <c r="C73" s="1233">
        <f t="shared" si="0"/>
        <v>0</v>
      </c>
      <c r="D73" s="979"/>
    </row>
    <row r="74" spans="1:4" s="827" customFormat="1">
      <c r="A74" s="2754" t="s">
        <v>54</v>
      </c>
      <c r="B74" s="2752"/>
      <c r="C74" s="1233">
        <f t="shared" si="0"/>
        <v>0</v>
      </c>
      <c r="D74" s="979"/>
    </row>
    <row r="75" spans="1:4" s="827" customFormat="1">
      <c r="A75" s="2754" t="s">
        <v>861</v>
      </c>
      <c r="B75" s="2752"/>
      <c r="C75" s="1233">
        <f t="shared" si="0"/>
        <v>0</v>
      </c>
      <c r="D75" s="979"/>
    </row>
    <row r="76" spans="1:4" s="827" customFormat="1">
      <c r="A76" s="2754" t="s">
        <v>533</v>
      </c>
      <c r="B76" s="2752"/>
      <c r="C76" s="1233">
        <f t="shared" si="0"/>
        <v>0</v>
      </c>
      <c r="D76" s="979"/>
    </row>
    <row r="77" spans="1:4" s="827" customFormat="1">
      <c r="A77" s="2754" t="s">
        <v>534</v>
      </c>
      <c r="B77" s="2752"/>
      <c r="C77" s="1233">
        <f t="shared" si="0"/>
        <v>0</v>
      </c>
      <c r="D77" s="979"/>
    </row>
    <row r="78" spans="1:4" s="827" customFormat="1">
      <c r="A78" s="2754" t="s">
        <v>1115</v>
      </c>
      <c r="B78" s="2752"/>
      <c r="C78" s="1233">
        <f t="shared" si="0"/>
        <v>0</v>
      </c>
      <c r="D78" s="979"/>
    </row>
    <row r="79" spans="1:4" s="827" customFormat="1">
      <c r="A79" s="2754" t="s">
        <v>535</v>
      </c>
      <c r="B79" s="2752"/>
      <c r="C79" s="1233">
        <f t="shared" si="0"/>
        <v>0</v>
      </c>
      <c r="D79" s="979"/>
    </row>
    <row r="80" spans="1:4" s="827" customFormat="1">
      <c r="A80" s="2754" t="s">
        <v>468</v>
      </c>
      <c r="B80" s="2752"/>
      <c r="C80" s="1233">
        <f t="shared" si="0"/>
        <v>0</v>
      </c>
      <c r="D80" s="979"/>
    </row>
    <row r="81" spans="1:4" s="827" customFormat="1">
      <c r="A81" s="2754" t="s">
        <v>536</v>
      </c>
      <c r="B81" s="2752"/>
      <c r="C81" s="1233">
        <f t="shared" si="0"/>
        <v>0</v>
      </c>
      <c r="D81" s="979"/>
    </row>
    <row r="82" spans="1:4" s="827" customFormat="1">
      <c r="A82" s="2754" t="s">
        <v>431</v>
      </c>
      <c r="B82" s="2752"/>
      <c r="C82" s="1233">
        <f t="shared" si="0"/>
        <v>0</v>
      </c>
      <c r="D82" s="979"/>
    </row>
    <row r="83" spans="1:4" s="827" customFormat="1">
      <c r="A83" s="2754" t="s">
        <v>537</v>
      </c>
      <c r="B83" s="2752"/>
      <c r="C83" s="1233">
        <f t="shared" si="0"/>
        <v>0</v>
      </c>
      <c r="D83" s="979"/>
    </row>
    <row r="84" spans="1:4" s="827" customFormat="1">
      <c r="A84" s="1234"/>
      <c r="B84" s="1235"/>
      <c r="C84" s="1233"/>
      <c r="D84" s="979"/>
    </row>
    <row r="85" spans="1:4" s="827" customFormat="1">
      <c r="A85" s="954" t="s">
        <v>538</v>
      </c>
      <c r="B85" s="954"/>
      <c r="C85" s="1236">
        <f>SUM(C68:C83)</f>
        <v>0</v>
      </c>
      <c r="D85" s="979"/>
    </row>
    <row r="86" spans="1:4" s="827" customFormat="1">
      <c r="A86" s="863"/>
      <c r="B86" s="863"/>
      <c r="C86" s="863"/>
      <c r="D86" s="979"/>
    </row>
    <row r="87" spans="1:4" s="827" customFormat="1" ht="13.5" thickBot="1">
      <c r="A87" s="954" t="s">
        <v>539</v>
      </c>
      <c r="B87" s="954"/>
      <c r="C87" s="1237">
        <f>SUM(C60,C85)</f>
        <v>0</v>
      </c>
      <c r="D87" s="979"/>
    </row>
    <row r="88" spans="1:4" s="827" customFormat="1" ht="13.5" thickTop="1">
      <c r="A88" s="863"/>
      <c r="B88" s="863"/>
      <c r="C88" s="863"/>
      <c r="D88" s="979"/>
    </row>
    <row r="89" spans="1:4">
      <c r="A89" s="1099" t="s">
        <v>172</v>
      </c>
    </row>
    <row r="90" spans="1:4" ht="61.5" customHeight="1">
      <c r="A90" s="3774"/>
      <c r="B90" s="3775"/>
      <c r="C90" s="3776"/>
    </row>
  </sheetData>
  <customSheetViews>
    <customSheetView guid="{BCBE45D4-3C45-4659-992E-5C5D3E9FD81C}" showPageBreaks="1" showGridLines="0" fitToPage="1" hiddenColumns="1">
      <selection activeCell="H100" sqref="H100:H101"/>
      <rowBreaks count="1" manualBreakCount="1">
        <brk id="53" max="16383" man="1"/>
      </rowBreaks>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showGridLines="0" fitToPage="1" hiddenColumns="1">
      <selection activeCell="H100" sqref="H100:H101"/>
      <rowBreaks count="1" manualBreakCount="1">
        <brk id="53" max="16383" man="1"/>
      </rowBreaks>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42">
    <mergeCell ref="A32:B32"/>
    <mergeCell ref="A37:B37"/>
    <mergeCell ref="A38:B38"/>
    <mergeCell ref="A48:B48"/>
    <mergeCell ref="A90:C90"/>
    <mergeCell ref="A33:B33"/>
    <mergeCell ref="A34:B34"/>
    <mergeCell ref="A35:B35"/>
    <mergeCell ref="A41:B41"/>
    <mergeCell ref="A42:B42"/>
    <mergeCell ref="B65:B66"/>
    <mergeCell ref="A49:B49"/>
    <mergeCell ref="A39:B39"/>
    <mergeCell ref="A54:C54"/>
    <mergeCell ref="A50:B50"/>
    <mergeCell ref="A40:B40"/>
    <mergeCell ref="A46:B46"/>
    <mergeCell ref="A47:B47"/>
    <mergeCell ref="A20:B20"/>
    <mergeCell ref="A21:B21"/>
    <mergeCell ref="A22:B22"/>
    <mergeCell ref="A31:B31"/>
    <mergeCell ref="A23:B23"/>
    <mergeCell ref="A24:B24"/>
    <mergeCell ref="A36:B36"/>
    <mergeCell ref="A43:B43"/>
    <mergeCell ref="A44:B44"/>
    <mergeCell ref="A45:B45"/>
    <mergeCell ref="A29:B29"/>
    <mergeCell ref="A30:B30"/>
    <mergeCell ref="A26:B26"/>
    <mergeCell ref="A27:B27"/>
    <mergeCell ref="A28:B28"/>
    <mergeCell ref="A25:B25"/>
    <mergeCell ref="A17:B17"/>
    <mergeCell ref="A18:B18"/>
    <mergeCell ref="A19:B19"/>
    <mergeCell ref="A8:C8"/>
    <mergeCell ref="A14:B14"/>
    <mergeCell ref="A15:B15"/>
    <mergeCell ref="A16:B16"/>
    <mergeCell ref="B9:C9"/>
  </mergeCells>
  <phoneticPr fontId="26" type="noConversion"/>
  <conditionalFormatting sqref="D189">
    <cfRule type="expression" dxfId="35" priority="1" stopIfTrue="1">
      <formula>SUM($189:$189)=0</formula>
    </cfRule>
  </conditionalFormatting>
  <hyperlinks>
    <hyperlink ref="B9" location="'WP Index'!A1" display="Back to Workpaper Index" xr:uid="{00000000-0004-0000-1700-000000000000}"/>
    <hyperlink ref="B9:C9" location="WPIndex!A1" display="Back to WP Index" xr:uid="{00000000-0004-0000-1700-000001000000}"/>
    <hyperlink ref="A66" r:id="rId3" xr:uid="{00000000-0004-0000-1700-000002000000}"/>
  </hyperlinks>
  <printOptions horizontalCentered="1"/>
  <pageMargins left="0.59055118110236227" right="0.43307086614173229" top="0.6692913385826772" bottom="0.94488188976377963" header="0.51181102362204722" footer="0.39370078740157483"/>
  <pageSetup paperSize="9" scale="54" fitToHeight="999" orientation="portrait" r:id="rId4"/>
  <headerFooter alignWithMargins="0">
    <oddFooter>&amp;L&amp;8© Findex (Aust) Pty Ltd.  All rights reserved.&amp;R&amp;8&amp;P/&amp;N</oddFooter>
  </headerFooter>
  <drawing r:id="rId5"/>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Borrowing_Costs_Sheet">
    <pageSetUpPr fitToPage="1"/>
  </sheetPr>
  <dimension ref="A1:J64"/>
  <sheetViews>
    <sheetView zoomScaleNormal="100" workbookViewId="0"/>
  </sheetViews>
  <sheetFormatPr defaultColWidth="9.140625" defaultRowHeight="12.75"/>
  <cols>
    <col min="1" max="1" width="20.140625" style="1" customWidth="1"/>
    <col min="2" max="2" width="16.5703125" style="1" hidden="1" customWidth="1"/>
    <col min="3" max="6" width="21.140625" style="1" customWidth="1"/>
    <col min="7" max="7" width="21.140625" style="14" customWidth="1"/>
    <col min="8" max="8" width="3.140625" style="14" hidden="1" customWidth="1"/>
    <col min="9" max="9" width="11.85546875" style="14" customWidth="1"/>
    <col min="10" max="10" width="8.28515625" style="1" hidden="1" customWidth="1"/>
    <col min="11" max="16384" width="9.140625" style="1"/>
  </cols>
  <sheetData>
    <row r="1" spans="1:10" ht="15.75">
      <c r="A1" s="740"/>
      <c r="B1" s="740"/>
      <c r="C1" s="740"/>
      <c r="D1" s="46"/>
      <c r="E1" s="46"/>
      <c r="F1" s="46"/>
      <c r="G1" s="46"/>
      <c r="H1" s="46"/>
      <c r="I1" s="3290"/>
    </row>
    <row r="2" spans="1:10" s="32" customFormat="1">
      <c r="A2" s="206"/>
      <c r="F2" s="3351"/>
      <c r="G2" s="3351" t="s">
        <v>1163</v>
      </c>
      <c r="H2" s="1878"/>
      <c r="I2" s="3291" t="s">
        <v>1262</v>
      </c>
    </row>
    <row r="3" spans="1:10" s="32" customFormat="1" ht="17.25" customHeight="1">
      <c r="A3" s="206"/>
      <c r="F3" s="5" t="s">
        <v>332</v>
      </c>
      <c r="G3" s="3292"/>
      <c r="H3" s="1878"/>
      <c r="I3" s="3293"/>
    </row>
    <row r="4" spans="1:10" s="32" customFormat="1" ht="17.25" customHeight="1">
      <c r="A4" s="206"/>
      <c r="F4" s="5" t="s">
        <v>333</v>
      </c>
      <c r="G4" s="3294"/>
      <c r="H4" s="1878"/>
      <c r="I4" s="3295"/>
    </row>
    <row r="5" spans="1:10" s="32" customFormat="1" ht="3.95" customHeight="1">
      <c r="A5" s="206"/>
      <c r="B5" s="43"/>
      <c r="C5" s="43"/>
      <c r="D5" s="43"/>
      <c r="E5" s="43"/>
    </row>
    <row r="6" spans="1:10" ht="15.75">
      <c r="A6" s="3704" t="s">
        <v>2544</v>
      </c>
      <c r="B6" s="3705"/>
      <c r="C6" s="3705"/>
      <c r="D6" s="3705"/>
      <c r="E6" s="3705"/>
      <c r="F6" s="3705"/>
      <c r="G6" s="3705"/>
      <c r="H6" s="3705"/>
      <c r="I6" s="3706"/>
    </row>
    <row r="7" spans="1:10">
      <c r="G7" s="3832" t="s">
        <v>2526</v>
      </c>
      <c r="H7" s="3832"/>
      <c r="I7" s="3832"/>
    </row>
    <row r="8" spans="1:10" ht="15.75">
      <c r="A8" s="222" t="str">
        <f>"CLIENT NAME:   "&amp;'WP Index'!E3</f>
        <v>CLIENT NAME:   Example Trust</v>
      </c>
    </row>
    <row r="9" spans="1:10">
      <c r="A9" s="9" t="str">
        <f>"CLIENT CODE:   "&amp;'WP Index'!E4</f>
        <v>CLIENT CODE:   99999</v>
      </c>
      <c r="G9" s="47" t="s">
        <v>951</v>
      </c>
      <c r="I9" s="47">
        <f>'WP Index'!G5</f>
        <v>45473</v>
      </c>
    </row>
    <row r="10" spans="1:10">
      <c r="A10" s="9"/>
      <c r="H10" s="47"/>
      <c r="I10" s="47"/>
      <c r="J10" s="6" t="s">
        <v>1286</v>
      </c>
    </row>
    <row r="11" spans="1:10" ht="15.75" customHeight="1">
      <c r="A11" s="1" t="s">
        <v>1127</v>
      </c>
      <c r="C11" s="3368"/>
      <c r="D11" s="3368"/>
      <c r="E11" s="3368"/>
      <c r="F11" s="3368"/>
      <c r="G11" s="3359"/>
      <c r="H11" s="317"/>
      <c r="I11" s="8"/>
    </row>
    <row r="12" spans="1:10" ht="15.75" customHeight="1">
      <c r="A12" s="1" t="s">
        <v>326</v>
      </c>
      <c r="C12" s="3369">
        <v>0</v>
      </c>
      <c r="D12" s="3369">
        <v>0</v>
      </c>
      <c r="E12" s="3369">
        <v>0</v>
      </c>
      <c r="F12" s="3369">
        <v>0</v>
      </c>
      <c r="G12" s="3369">
        <v>0</v>
      </c>
      <c r="H12" s="317"/>
      <c r="I12" s="8"/>
    </row>
    <row r="13" spans="1:10" ht="15.75" customHeight="1">
      <c r="A13" s="1" t="s">
        <v>327</v>
      </c>
      <c r="C13" s="3369">
        <v>0</v>
      </c>
      <c r="D13" s="3369">
        <v>0</v>
      </c>
      <c r="E13" s="3369">
        <v>0</v>
      </c>
      <c r="F13" s="3369">
        <v>0</v>
      </c>
      <c r="G13" s="3369">
        <v>0</v>
      </c>
      <c r="H13" s="317"/>
      <c r="I13" s="8"/>
    </row>
    <row r="14" spans="1:10" ht="15.75" customHeight="1">
      <c r="A14" s="1" t="s">
        <v>301</v>
      </c>
      <c r="B14" s="1479"/>
      <c r="C14" s="3369">
        <v>0</v>
      </c>
      <c r="D14" s="3369">
        <v>0</v>
      </c>
      <c r="E14" s="3369">
        <v>0</v>
      </c>
      <c r="F14" s="3369">
        <v>0</v>
      </c>
      <c r="G14" s="3369">
        <v>0</v>
      </c>
      <c r="H14" s="317"/>
      <c r="I14" s="8"/>
    </row>
    <row r="15" spans="1:10" ht="15.75" customHeight="1">
      <c r="A15" s="3368"/>
      <c r="B15" s="1479"/>
      <c r="C15" s="3369">
        <v>0</v>
      </c>
      <c r="D15" s="3369">
        <v>0</v>
      </c>
      <c r="E15" s="3369">
        <v>0</v>
      </c>
      <c r="F15" s="3369">
        <v>0</v>
      </c>
      <c r="G15" s="3369">
        <v>0</v>
      </c>
      <c r="H15" s="317"/>
      <c r="I15" s="8"/>
    </row>
    <row r="16" spans="1:10" ht="15.75" customHeight="1">
      <c r="A16" s="3368"/>
      <c r="B16" s="1479"/>
      <c r="C16" s="3369">
        <v>0</v>
      </c>
      <c r="D16" s="3369">
        <v>0</v>
      </c>
      <c r="E16" s="3369">
        <v>0</v>
      </c>
      <c r="F16" s="3369">
        <v>0</v>
      </c>
      <c r="G16" s="3369">
        <v>0</v>
      </c>
      <c r="H16" s="317"/>
      <c r="I16" s="8"/>
    </row>
    <row r="17" spans="1:9" ht="15.75" customHeight="1">
      <c r="A17" s="1" t="s">
        <v>328</v>
      </c>
      <c r="C17" s="1640">
        <f>SUM(C12:C16)</f>
        <v>0</v>
      </c>
      <c r="D17" s="1640">
        <f>SUM(D12:D16)</f>
        <v>0</v>
      </c>
      <c r="E17" s="1640">
        <f>SUM(E12:E16)</f>
        <v>0</v>
      </c>
      <c r="F17" s="1640">
        <f>SUM(F12:F16)</f>
        <v>0</v>
      </c>
      <c r="G17" s="1640">
        <f>SUM(G12:G16)</f>
        <v>0</v>
      </c>
      <c r="H17" s="317"/>
      <c r="I17" s="8"/>
    </row>
    <row r="18" spans="1:9" ht="15.75" customHeight="1">
      <c r="A18" s="1" t="s">
        <v>949</v>
      </c>
      <c r="C18" s="3370"/>
      <c r="D18" s="3370"/>
      <c r="E18" s="3370"/>
      <c r="F18" s="3370"/>
      <c r="G18" s="3370"/>
      <c r="H18" s="318"/>
    </row>
    <row r="19" spans="1:9" ht="15.75" customHeight="1">
      <c r="A19" s="1" t="s">
        <v>1424</v>
      </c>
      <c r="C19" s="3371">
        <v>5</v>
      </c>
      <c r="D19" s="3371">
        <v>5</v>
      </c>
      <c r="E19" s="3371">
        <v>5</v>
      </c>
      <c r="F19" s="3371">
        <v>5</v>
      </c>
      <c r="G19" s="3371">
        <v>5</v>
      </c>
      <c r="H19" s="319"/>
      <c r="I19" s="11" t="s">
        <v>1110</v>
      </c>
    </row>
    <row r="20" spans="1:9" ht="15.75" hidden="1" customHeight="1">
      <c r="C20" s="707">
        <f>ROUND(C19,0)</f>
        <v>5</v>
      </c>
      <c r="D20" s="707">
        <f>ROUND(D19,0)</f>
        <v>5</v>
      </c>
      <c r="E20" s="707">
        <f>ROUND(E19,0)</f>
        <v>5</v>
      </c>
      <c r="F20" s="707">
        <f>ROUND(F19,0)</f>
        <v>5</v>
      </c>
      <c r="G20" s="707">
        <f>ROUND(G19,0)</f>
        <v>5</v>
      </c>
      <c r="H20" s="319"/>
      <c r="I20" s="11"/>
    </row>
    <row r="21" spans="1:9" ht="15.75" hidden="1" customHeight="1">
      <c r="C21" s="707">
        <f>C20-C19</f>
        <v>0</v>
      </c>
      <c r="D21" s="707">
        <f>D20-D19</f>
        <v>0</v>
      </c>
      <c r="E21" s="707">
        <f>E20-E19</f>
        <v>0</v>
      </c>
      <c r="F21" s="707">
        <f>F20-F19</f>
        <v>0</v>
      </c>
      <c r="G21" s="707">
        <f>G20-G19</f>
        <v>0</v>
      </c>
      <c r="H21" s="319"/>
      <c r="I21" s="11"/>
    </row>
    <row r="22" spans="1:9" ht="15.75" hidden="1" customHeight="1">
      <c r="C22" s="707">
        <f>(C29-C30)*C21</f>
        <v>0</v>
      </c>
      <c r="D22" s="707">
        <f>(D29-D30)*D21</f>
        <v>0</v>
      </c>
      <c r="E22" s="707">
        <f>(E29-E30)*E21</f>
        <v>0</v>
      </c>
      <c r="F22" s="707">
        <f>(F29-F30)*F21</f>
        <v>0</v>
      </c>
      <c r="G22" s="707">
        <f>(G29-G30)*G21</f>
        <v>0</v>
      </c>
      <c r="H22" s="319"/>
      <c r="I22" s="11"/>
    </row>
    <row r="23" spans="1:9" ht="15.75" hidden="1" customHeight="1">
      <c r="B23" s="306" t="s">
        <v>1544</v>
      </c>
      <c r="C23" s="307">
        <f>IF(C18&gt;DATE(C24,6,30),C24+1,C24)</f>
        <v>1900</v>
      </c>
      <c r="D23" s="307">
        <f>IF(D18&gt;DATE(D24,6,30),D24+1,D24)</f>
        <v>1900</v>
      </c>
      <c r="E23" s="307">
        <f>IF(E18&gt;DATE(E24,6,30),E24+1,E24)</f>
        <v>1900</v>
      </c>
      <c r="F23" s="307">
        <f>IF(F18&gt;DATE(F24,6,30),F24+1,F24)</f>
        <v>1900</v>
      </c>
      <c r="G23" s="307">
        <f>IF(G18&gt;DATE(G24,6,30),G24+1,G24)</f>
        <v>1900</v>
      </c>
      <c r="H23" s="320"/>
      <c r="I23" s="321"/>
    </row>
    <row r="24" spans="1:9" ht="15.75" hidden="1" customHeight="1">
      <c r="B24" s="306" t="s">
        <v>1425</v>
      </c>
      <c r="C24" s="307">
        <f>+YEAR(C18)</f>
        <v>1900</v>
      </c>
      <c r="D24" s="307">
        <f>+YEAR(D18)</f>
        <v>1900</v>
      </c>
      <c r="E24" s="307">
        <f>+YEAR(E18)</f>
        <v>1900</v>
      </c>
      <c r="F24" s="307">
        <f>+YEAR(F18)</f>
        <v>1900</v>
      </c>
      <c r="G24" s="307">
        <f>+YEAR(G18)</f>
        <v>1900</v>
      </c>
      <c r="H24" s="320"/>
      <c r="I24" s="321"/>
    </row>
    <row r="25" spans="1:9" ht="15.75" hidden="1" customHeight="1">
      <c r="B25" s="306" t="s">
        <v>1426</v>
      </c>
      <c r="C25" s="308">
        <f>+SUMIF($B$38:$B$49,C23,$A$38:$A$49)</f>
        <v>0</v>
      </c>
      <c r="D25" s="308">
        <f>+SUMIF($B$38:$B$49,D23,$A$38:$A$49)</f>
        <v>0</v>
      </c>
      <c r="E25" s="308">
        <f>+SUMIF($B$38:$B$49,E23,$A$38:$A$49)</f>
        <v>0</v>
      </c>
      <c r="F25" s="308">
        <f>+SUMIF($B$38:$B$49,F23,$A$38:$A$49)</f>
        <v>0</v>
      </c>
      <c r="G25" s="308">
        <f>+SUMIF($B$38:$B$49,G23,$A$38:$A$49)</f>
        <v>0</v>
      </c>
      <c r="H25" s="322"/>
      <c r="I25" s="321"/>
    </row>
    <row r="26" spans="1:9" ht="15.75" hidden="1" customHeight="1">
      <c r="B26" s="306" t="s">
        <v>1427</v>
      </c>
      <c r="C26" s="307">
        <f>+C25-C18</f>
        <v>0</v>
      </c>
      <c r="D26" s="307">
        <f>+D25-D18</f>
        <v>0</v>
      </c>
      <c r="E26" s="307">
        <f>+E25-E18</f>
        <v>0</v>
      </c>
      <c r="F26" s="307">
        <f>+F25-F18</f>
        <v>0</v>
      </c>
      <c r="G26" s="307">
        <f>+G25-G18</f>
        <v>0</v>
      </c>
      <c r="H26" s="320"/>
      <c r="I26" s="321"/>
    </row>
    <row r="27" spans="1:9" ht="15.75" hidden="1" customHeight="1">
      <c r="B27" s="306" t="s">
        <v>1428</v>
      </c>
      <c r="C27" s="308">
        <f>+DATE(C23-1,6,30)</f>
        <v>693778</v>
      </c>
      <c r="D27" s="308">
        <f>+DATE(D23-1,6,30)</f>
        <v>693778</v>
      </c>
      <c r="E27" s="308">
        <f>+DATE(E23-1,6,30)</f>
        <v>693778</v>
      </c>
      <c r="F27" s="308">
        <f>+DATE(F23-1,6,30)</f>
        <v>693778</v>
      </c>
      <c r="G27" s="308">
        <f>+DATE(G23-1,6,30)</f>
        <v>693778</v>
      </c>
      <c r="H27" s="322"/>
      <c r="I27" s="321"/>
    </row>
    <row r="28" spans="1:9" ht="15.75" hidden="1" customHeight="1">
      <c r="B28" s="306" t="s">
        <v>1429</v>
      </c>
      <c r="C28" s="307">
        <f>+C25-C27</f>
        <v>-693778</v>
      </c>
      <c r="D28" s="307">
        <f>+D25-D27</f>
        <v>-693778</v>
      </c>
      <c r="E28" s="307">
        <f>+E25-E27</f>
        <v>-693778</v>
      </c>
      <c r="F28" s="307">
        <f>+F25-F27</f>
        <v>-693778</v>
      </c>
      <c r="G28" s="307">
        <f>+G25-G27</f>
        <v>-693778</v>
      </c>
      <c r="H28" s="320"/>
      <c r="I28" s="321"/>
    </row>
    <row r="29" spans="1:9" ht="15.75" hidden="1" customHeight="1">
      <c r="B29" s="306"/>
      <c r="C29" s="308">
        <f>IF(C19&gt;5,DATE(C23+5,6,30),DATE(C23+C20,6,30))</f>
        <v>2008</v>
      </c>
      <c r="D29" s="308">
        <f>IF(D19&gt;5,DATE(D23+5,6,30),DATE(D23+D20,6,30))</f>
        <v>2008</v>
      </c>
      <c r="E29" s="308">
        <f>IF(E19&gt;5,DATE(E23+5,6,30),DATE(E23+E20,6,30))</f>
        <v>2008</v>
      </c>
      <c r="F29" s="308">
        <f>IF(F19&gt;5,DATE(F23+5,6,30),DATE(F23+F20,6,30))</f>
        <v>2008</v>
      </c>
      <c r="G29" s="308">
        <f>IF(G19&gt;5,DATE(G23+5,6,30),DATE(G23+G20,6,30))</f>
        <v>2008</v>
      </c>
      <c r="H29" s="320"/>
      <c r="I29" s="321"/>
    </row>
    <row r="30" spans="1:9" ht="15.75" hidden="1" customHeight="1">
      <c r="B30" s="306" t="s">
        <v>1430</v>
      </c>
      <c r="C30" s="308">
        <f>IF(C19&gt;5,DATE(C23+4,6,30),DATE(C23+C20-1,6,30))</f>
        <v>1643</v>
      </c>
      <c r="D30" s="308">
        <f>IF(D19&gt;5,DATE(D23+4,6,30),DATE(D23+D20-1,6,30))</f>
        <v>1643</v>
      </c>
      <c r="E30" s="308">
        <f>IF(E19&gt;5,DATE(E23+4,6,30),DATE(E23+E20-1,6,30))</f>
        <v>1643</v>
      </c>
      <c r="F30" s="308">
        <f>IF(F19&gt;5,DATE(F23+4,6,30),DATE(F23+F20-1,6,30))</f>
        <v>1643</v>
      </c>
      <c r="G30" s="308">
        <f>IF(G19&gt;5,DATE(G23+4,6,30),DATE(G23+G20-1,6,30))</f>
        <v>1643</v>
      </c>
      <c r="H30" s="322"/>
      <c r="I30" s="321"/>
    </row>
    <row r="31" spans="1:9" ht="15.75" hidden="1" customHeight="1">
      <c r="B31" s="306"/>
      <c r="C31" s="708">
        <f>C32-C26-C22</f>
        <v>365</v>
      </c>
      <c r="D31" s="708">
        <f>D32-D26-D22</f>
        <v>365</v>
      </c>
      <c r="E31" s="708">
        <f>E32-E26-E22</f>
        <v>365</v>
      </c>
      <c r="F31" s="708">
        <f>F32-F26-F22</f>
        <v>365</v>
      </c>
      <c r="G31" s="708">
        <f>G32-G26-G22</f>
        <v>365</v>
      </c>
      <c r="H31" s="322"/>
      <c r="I31" s="321"/>
    </row>
    <row r="32" spans="1:9" ht="15.75" hidden="1" customHeight="1">
      <c r="B32" s="306"/>
      <c r="C32" s="708">
        <f>C29-C30</f>
        <v>365</v>
      </c>
      <c r="D32" s="708">
        <f>D29-D30</f>
        <v>365</v>
      </c>
      <c r="E32" s="708">
        <f>E29-E30</f>
        <v>365</v>
      </c>
      <c r="F32" s="708">
        <f>F29-F30</f>
        <v>365</v>
      </c>
      <c r="G32" s="708">
        <f>G29-G30</f>
        <v>365</v>
      </c>
      <c r="H32" s="322"/>
      <c r="I32" s="321"/>
    </row>
    <row r="33" spans="1:9" ht="15.75" hidden="1" customHeight="1">
      <c r="B33" s="306" t="s">
        <v>1431</v>
      </c>
      <c r="C33" s="309">
        <f>+ROUND(C26/C28*C34,2)</f>
        <v>0</v>
      </c>
      <c r="D33" s="309">
        <f>+ROUND(D26/D28*D34,2)</f>
        <v>0</v>
      </c>
      <c r="E33" s="309">
        <f>+ROUND(E26/E28*E34,2)</f>
        <v>0</v>
      </c>
      <c r="F33" s="309">
        <f>+ROUND(F26/F28*F34,2)</f>
        <v>0</v>
      </c>
      <c r="G33" s="309">
        <f>+ROUND(G26/G28*G34,2)</f>
        <v>0</v>
      </c>
      <c r="H33" s="313"/>
      <c r="I33" s="321"/>
    </row>
    <row r="34" spans="1:9" ht="15.75" hidden="1" customHeight="1">
      <c r="B34" s="306" t="s">
        <v>1432</v>
      </c>
      <c r="C34" s="310">
        <f>ROUND(IF(C19&gt;5,C17/5,C17/C19),2)</f>
        <v>0</v>
      </c>
      <c r="D34" s="310">
        <f>ROUND(IF(D19&gt;5,D17/5,D17/D19),2)</f>
        <v>0</v>
      </c>
      <c r="E34" s="310">
        <f>ROUND(IF(E19&gt;5,E17/5,E17/E19),2)</f>
        <v>0</v>
      </c>
      <c r="F34" s="310">
        <f>ROUND(IF(F19&gt;5,F17/5,F17/F19),2)</f>
        <v>0</v>
      </c>
      <c r="G34" s="310">
        <f>ROUND(IF(G19&gt;5,G17/5,G17/G19),2)</f>
        <v>0</v>
      </c>
      <c r="H34" s="323"/>
      <c r="I34" s="321"/>
    </row>
    <row r="35" spans="1:9" ht="15.75" hidden="1" customHeight="1">
      <c r="B35" s="306" t="s">
        <v>1433</v>
      </c>
      <c r="C35" s="309">
        <f>IF(C21=0,(C34-C33),+ROUND(C31/C32*C34,2))</f>
        <v>0</v>
      </c>
      <c r="D35" s="309">
        <f>IF(D21=0,(D34-D33),+ROUND(D31/D32*D34,2))</f>
        <v>0</v>
      </c>
      <c r="E35" s="309">
        <f>IF(E21=0,(E34-E33),+ROUND(E31/E32*E34,2))</f>
        <v>0</v>
      </c>
      <c r="F35" s="309">
        <f>IF(F21=0,(F34-F33),+ROUND(F31/F32*F34,2))</f>
        <v>0</v>
      </c>
      <c r="G35" s="309">
        <f>IF(G21=0,(G34-G33),+ROUND(G31/G32*G34,2))</f>
        <v>0</v>
      </c>
      <c r="H35" s="313"/>
      <c r="I35" s="321"/>
    </row>
    <row r="36" spans="1:9" ht="15.75" hidden="1" customHeight="1">
      <c r="B36" s="306" t="s">
        <v>1434</v>
      </c>
      <c r="C36" s="308" t="b">
        <f>AND(C18&lt;=$A$43,C18&gt;$A$42)</f>
        <v>0</v>
      </c>
      <c r="D36" s="308" t="b">
        <f>AND(D18&lt;=$A$43,D18&gt;$A$42)</f>
        <v>0</v>
      </c>
      <c r="E36" s="308" t="b">
        <f>AND(E18&lt;=$A$43,E18&gt;$A$42)</f>
        <v>0</v>
      </c>
      <c r="F36" s="308" t="b">
        <f>AND(F18&lt;=$A$43,F18&gt;$A$42)</f>
        <v>0</v>
      </c>
      <c r="G36" s="308" t="b">
        <f>AND(G18&lt;=$A$43,G18&gt;$A$42)</f>
        <v>0</v>
      </c>
      <c r="H36" s="322"/>
      <c r="I36" s="321"/>
    </row>
    <row r="37" spans="1:9" ht="15.75" customHeight="1">
      <c r="A37" s="7"/>
      <c r="B37" s="7"/>
      <c r="C37" s="326"/>
      <c r="D37" s="326"/>
      <c r="E37" s="326"/>
      <c r="F37" s="326"/>
      <c r="G37" s="326"/>
      <c r="H37" s="322"/>
      <c r="I37" s="327"/>
    </row>
    <row r="38" spans="1:9" ht="15.75" customHeight="1">
      <c r="A38" s="325">
        <f>+DATE(B38,6,30)</f>
        <v>43646</v>
      </c>
      <c r="B38" s="312">
        <f>+B39-1</f>
        <v>2019</v>
      </c>
      <c r="C38" s="229">
        <f>IF(C25=0,0,IF($A$38=C25,C33,IF($A$38=C29,C35,IF(AND($A$38&gt;C25,$A$38&lt;C29)=TRUE,C34,0))))</f>
        <v>0</v>
      </c>
      <c r="D38" s="229">
        <f>IF(D25=0,0,IF($A$38=D25,D33,IF($A$38=D29,D35,IF(AND($A$38&gt;D25,$A$38&lt;D29)=TRUE,D34,0))))</f>
        <v>0</v>
      </c>
      <c r="E38" s="229">
        <f>IF(E25=0,0,IF($A$38=E25,E33,IF($A$38=E29,E35,IF(AND($A$38&gt;E25,$A$38&lt;E29)=TRUE,E34,0))))</f>
        <v>0</v>
      </c>
      <c r="F38" s="229">
        <f>IF(F25=0,0,IF($A$38=F25,F33,IF($A$38=F29,F35,IF(AND($A$38&gt;F25,$A$38&lt;F29)=TRUE,F34,0))))</f>
        <v>0</v>
      </c>
      <c r="G38" s="229">
        <f>IF(G25=0,0,IF($A$38=G25,G33,IF($A$38=G29,G35,IF(AND($A$38&gt;G25,$A$38&lt;G29)=TRUE,G34,0))))</f>
        <v>0</v>
      </c>
      <c r="H38" s="313"/>
      <c r="I38" s="230">
        <f>SUM(C38:H38)</f>
        <v>0</v>
      </c>
    </row>
    <row r="39" spans="1:9" ht="15.75" customHeight="1">
      <c r="A39" s="325">
        <f>+DATE(B39,6,30)</f>
        <v>44012</v>
      </c>
      <c r="B39" s="312">
        <f>+B40-1</f>
        <v>2020</v>
      </c>
      <c r="C39" s="229">
        <f>IF(C25=0,0,IF($A$39=C25,C33,IF($A$39=C29,C35,IF(AND($A$39&gt;C25,$A$39&lt;C29)=TRUE,C34,0))))</f>
        <v>0</v>
      </c>
      <c r="D39" s="229">
        <f>IF(D25=0,0,IF($A$39=D25,D33,IF($A$39=D29,D35,IF(AND($A$39&gt;D25,$A$39&lt;D29)=TRUE,D34,0))))</f>
        <v>0</v>
      </c>
      <c r="E39" s="229">
        <f>IF(E25=0,0,IF($A$39=E25,E33,IF($A$39=E29,E35,IF(AND($A$39&gt;E25,$A$39&lt;E29)=TRUE,E34,0))))</f>
        <v>0</v>
      </c>
      <c r="F39" s="229">
        <f>IF(F25=0,0,IF($A$39=F25,F33,IF($A$39=F29,F35,IF(AND($A$39&gt;F25,$A$39&lt;F29)=TRUE,F34,0))))</f>
        <v>0</v>
      </c>
      <c r="G39" s="229">
        <f>IF(G25=0,0,IF($A$39=G25,G33,IF($A$39=G29,G35,IF(AND($A$39&gt;G25,$A$39&lt;G29)=TRUE,G34,0))))</f>
        <v>0</v>
      </c>
      <c r="H39" s="313"/>
      <c r="I39" s="230">
        <f t="shared" ref="I39:I49" si="0">SUM(C39:H39)</f>
        <v>0</v>
      </c>
    </row>
    <row r="40" spans="1:9" ht="15.75" customHeight="1">
      <c r="A40" s="325">
        <f>+DATE(B40,6,30)</f>
        <v>44377</v>
      </c>
      <c r="B40" s="312">
        <f>+B41-1</f>
        <v>2021</v>
      </c>
      <c r="C40" s="229">
        <f>IF(C25=0,0,IF($A$40=C25,C33,IF($A$40=C29,C35,IF(AND($A$40&gt;C25,$A$40&lt;C29)=TRUE,C34,0))))</f>
        <v>0</v>
      </c>
      <c r="D40" s="229">
        <f>IF(D25=0,0,IF($A$40=D25,D33,IF($A$40=D29,D35,IF(AND($A$40&gt;D25,$A$40&lt;D29)=TRUE,D34,0))))</f>
        <v>0</v>
      </c>
      <c r="E40" s="229">
        <f>IF(E25=0,0,IF($A$40=E25,E33,IF($A$40=E29,E35,IF(AND($A$40&gt;E25,$A$40&lt;E29)=TRUE,E34,0))))</f>
        <v>0</v>
      </c>
      <c r="F40" s="229">
        <f>IF(F25=0,0,IF($A$40=F25,F33,IF($A$40=F29,F35,IF(AND($A$40&gt;F25,$A$40&lt;F29)=TRUE,F34,0))))</f>
        <v>0</v>
      </c>
      <c r="G40" s="229">
        <f>IF(G25=0,0,IF($A$40=G25,G33,IF($A$40=G29,G35,IF(AND($A$40&gt;G25,$A$40&lt;G29)=TRUE,G34,0))))</f>
        <v>0</v>
      </c>
      <c r="H40" s="313"/>
      <c r="I40" s="230">
        <f t="shared" si="0"/>
        <v>0</v>
      </c>
    </row>
    <row r="41" spans="1:9" ht="15.75" customHeight="1">
      <c r="A41" s="325">
        <f>+DATE(B41,6,30)</f>
        <v>44742</v>
      </c>
      <c r="B41" s="312">
        <f>+B42-1</f>
        <v>2022</v>
      </c>
      <c r="C41" s="229">
        <f>IF(C25=0,0,IF($A$41=C25,C33,IF($A$41=C29,C35,IF(AND($A$41&gt;C25,$A$41&lt;C29)=TRUE,C34,0))))</f>
        <v>0</v>
      </c>
      <c r="D41" s="229">
        <f>IF(D25=0,0,IF($A$41=D25,D33,IF($A$41=D29,D35,IF(AND($A$41&gt;D25,$A$41&lt;D29)=TRUE,D34,0))))</f>
        <v>0</v>
      </c>
      <c r="E41" s="229">
        <f>IF(E25=0,0,IF($A$41=E25,E33,IF($A$41=E29,E35,IF(AND($A$41&gt;E25,$A$41&lt;E29)=TRUE,E34,0))))</f>
        <v>0</v>
      </c>
      <c r="F41" s="229">
        <f>IF(F25=0,0,IF($A$41=F25,F33,IF($A$41=F29,F35,IF(AND($A$41&gt;F25,$A$41&lt;F29)=TRUE,F34,0))))</f>
        <v>0</v>
      </c>
      <c r="G41" s="229">
        <f>IF(G25=0,0,IF($A$41=G25,G33,IF($A$41=G29,G35,IF(AND($A$41&gt;G25,$A$41&lt;G29)=TRUE,G34,0))))</f>
        <v>0</v>
      </c>
      <c r="H41" s="313"/>
      <c r="I41" s="230">
        <f t="shared" si="0"/>
        <v>0</v>
      </c>
    </row>
    <row r="42" spans="1:9" ht="15.75" customHeight="1">
      <c r="A42" s="325">
        <f>+DATE(B42,6,30)</f>
        <v>45107</v>
      </c>
      <c r="B42" s="312">
        <f>+B43-1</f>
        <v>2023</v>
      </c>
      <c r="C42" s="229">
        <f>IF(C25=0,0,IF($A$42=C25,C33,IF($A$42=C29,C35,IF(AND($A$42&gt;C25,$A$42&lt;C29)=TRUE,C34,0))))</f>
        <v>0</v>
      </c>
      <c r="D42" s="229">
        <f>IF(D25=0,0,IF($A$42=D25,D33,IF($A$42=D29,D35,IF(AND($A$42&gt;D25,$A$42&lt;D29)=TRUE,D34,0))))</f>
        <v>0</v>
      </c>
      <c r="E42" s="229">
        <f>IF(E25=0,0,IF($A$42=E25,E33,IF($A$42=E29,E35,IF(AND($A$42&gt;E25,$A$42&lt;E29)=TRUE,E34,0))))</f>
        <v>0</v>
      </c>
      <c r="F42" s="229">
        <f>IF(F25=0,0,IF($A$42=F25,F33,IF($A$42=F29,F35,IF(AND($A$42&gt;F25,$A$42&lt;F29)=TRUE,F34,0))))</f>
        <v>0</v>
      </c>
      <c r="G42" s="229">
        <f>IF(G25=0,0,IF($A$42=G25,G33,IF($A$42=G29,G35,IF(AND($A$42&gt;G25,$A$42&lt;G29)=TRUE,G34,0))))</f>
        <v>0</v>
      </c>
      <c r="H42" s="32"/>
      <c r="I42" s="230">
        <f t="shared" si="0"/>
        <v>0</v>
      </c>
    </row>
    <row r="43" spans="1:9" s="1479" customFormat="1" ht="15.75" customHeight="1">
      <c r="A43" s="3372">
        <f>DATE(YEAR(I9),6,30)</f>
        <v>45473</v>
      </c>
      <c r="B43" s="3373">
        <f>+YEAR(A43)</f>
        <v>2024</v>
      </c>
      <c r="C43" s="3374">
        <f>IF(C25=0,0,IF($A$43=C25,C33,IF($A$43=C29,C35,IF(AND($A$43&gt;C25,$A$43&lt;C29)=TRUE,C34,0))))</f>
        <v>0</v>
      </c>
      <c r="D43" s="3374">
        <f>IF(D25=0,0,IF($A$43=D25,D33,IF($A$43=D29,D35,IF(AND($A$43&gt;D25,$A$43&lt;D29)=TRUE,D34,0))))</f>
        <v>0</v>
      </c>
      <c r="E43" s="3374">
        <f>IF(E25=0,0,IF($A$43=E25,E33,IF($A$43=E29,E35,IF(AND($A$43&gt;E25,$A$43&lt;E29)=TRUE,E34,0))))</f>
        <v>0</v>
      </c>
      <c r="F43" s="3374">
        <f>IF(F25=0,0,IF($A$43=F25,F33,IF($A$43=F29,F35,IF(AND($A$43&gt;F25,$A$43&lt;F29)=TRUE,F34,0))))</f>
        <v>0</v>
      </c>
      <c r="G43" s="3374">
        <f>IF(G25=0,0,IF($A$43=G25,G33,IF($A$43=G29,G35,IF(AND($A$43&gt;G25,$A$43&lt;G29)=TRUE,G34,0))))</f>
        <v>0</v>
      </c>
      <c r="I43" s="3375">
        <f t="shared" si="0"/>
        <v>0</v>
      </c>
    </row>
    <row r="44" spans="1:9" ht="15.75" customHeight="1">
      <c r="A44" s="325">
        <f t="shared" ref="A44:A49" si="1">+DATE(B44,6,30)</f>
        <v>45838</v>
      </c>
      <c r="B44" s="312">
        <f t="shared" ref="B44:B49" si="2">+B43+1</f>
        <v>2025</v>
      </c>
      <c r="C44" s="229">
        <f>IF(C25=0,0,IF($A$44=C25,C33,IF($A$44=C29,C35,IF(AND($A$44&gt;C25,$A$44&lt;C29)=TRUE,C34,0))))</f>
        <v>0</v>
      </c>
      <c r="D44" s="229">
        <f>IF(D25=0,0,IF($A$44=D25,D33,IF($A$44=D29,D35,IF(AND($A$44&gt;D25,$A$44&lt;D29)=TRUE,D34,0))))</f>
        <v>0</v>
      </c>
      <c r="E44" s="229">
        <f>IF(E25=0,0,IF($A$44=E25,E33,IF($A$44=E29,E35,IF(AND($A$44&gt;E25,$A$44&lt;E29)=TRUE,E34,0))))</f>
        <v>0</v>
      </c>
      <c r="F44" s="229">
        <f>IF(F25=0,0,IF($A$44=F25,F33,IF($A$44=F29,F35,IF(AND($A$44&gt;F25,$A$44&lt;F29)=TRUE,F34,0))))</f>
        <v>0</v>
      </c>
      <c r="G44" s="229">
        <f>IF(G25=0,0,IF($A$44=G25,G33,IF($A$44=G29,G35,IF(AND($A$44&gt;G25,$A$44&lt;G29)=TRUE,G34,0))))</f>
        <v>0</v>
      </c>
      <c r="H44" s="313"/>
      <c r="I44" s="230">
        <f t="shared" si="0"/>
        <v>0</v>
      </c>
    </row>
    <row r="45" spans="1:9" ht="15.75" customHeight="1">
      <c r="A45" s="325">
        <f t="shared" si="1"/>
        <v>46203</v>
      </c>
      <c r="B45" s="312">
        <f t="shared" si="2"/>
        <v>2026</v>
      </c>
      <c r="C45" s="229">
        <f>IF(C25=0,0,IF($A$45=C25,C33,IF($A$45=C29,C35,IF(AND($A$45&gt;C25,$A$45&lt;C29)=TRUE,C34,0))))</f>
        <v>0</v>
      </c>
      <c r="D45" s="229">
        <f>IF(D25=0,0,IF($A$45=D25,D33,IF($A$45=D29,D35,IF(AND($A$45&gt;D25,$A$45&lt;D29)=TRUE,D34,0))))</f>
        <v>0</v>
      </c>
      <c r="E45" s="229">
        <f>IF(E25=0,0,IF($A$45=E25,E33,IF($A$45=E29,E35,IF(AND($A$45&gt;E25,$A$45&lt;E29)=TRUE,E34,0))))</f>
        <v>0</v>
      </c>
      <c r="F45" s="229">
        <f>IF(F25=0,0,IF($A$45=F25,F33,IF($A$45=F29,F35,IF(AND($A$45&gt;F25,$A$45&lt;F29)=TRUE,F34,0))))</f>
        <v>0</v>
      </c>
      <c r="G45" s="229">
        <f>IF(G25=0,0,IF($A$45=G25,G33,IF($A$45=G29,G35,IF(AND($A$45&gt;G25,$A$45&lt;G29)=TRUE,G34,0))))</f>
        <v>0</v>
      </c>
      <c r="H45" s="313"/>
      <c r="I45" s="230">
        <f t="shared" si="0"/>
        <v>0</v>
      </c>
    </row>
    <row r="46" spans="1:9" ht="15.75" customHeight="1">
      <c r="A46" s="325">
        <f t="shared" si="1"/>
        <v>46568</v>
      </c>
      <c r="B46" s="312">
        <f t="shared" si="2"/>
        <v>2027</v>
      </c>
      <c r="C46" s="229">
        <f>IF(C25=0,0,IF($A$46=C25,C33,IF($A$46=C29,C35,IF(AND($A$46&gt;C25,$A$46&lt;C29)=TRUE,C34,0))))</f>
        <v>0</v>
      </c>
      <c r="D46" s="229">
        <f>IF(D25=0,0,IF($A$46=D25,D33,IF($A$46=D29,D35,IF(AND($A$46&gt;D25,$A$46&lt;D29)=TRUE,D34,0))))</f>
        <v>0</v>
      </c>
      <c r="E46" s="229">
        <f>IF(E25=0,0,IF($A$46=E25,E33,IF($A$46=E29,E35,IF(AND($A$46&gt;E25,$A$46&lt;E29)=TRUE,E34,0))))</f>
        <v>0</v>
      </c>
      <c r="F46" s="229">
        <f>IF(F25=0,0,IF($A$46=F25,F33,IF($A$46=F29,F35,IF(AND($A$46&gt;F25,$A$46&lt;F29)=TRUE,F34,0))))</f>
        <v>0</v>
      </c>
      <c r="G46" s="229">
        <f>IF(G25=0,0,IF($A$46=G25,G33,IF($A$46=G29,G35,IF(AND($A$46&gt;G25,$A$46&lt;G29)=TRUE,G34,0))))</f>
        <v>0</v>
      </c>
      <c r="H46" s="313"/>
      <c r="I46" s="230">
        <f t="shared" si="0"/>
        <v>0</v>
      </c>
    </row>
    <row r="47" spans="1:9" ht="15.75" customHeight="1">
      <c r="A47" s="325">
        <f t="shared" si="1"/>
        <v>46934</v>
      </c>
      <c r="B47" s="312">
        <f t="shared" si="2"/>
        <v>2028</v>
      </c>
      <c r="C47" s="229">
        <f>IF(C25=0,0,IF($A$47=C25,C33,IF($A$47=C29,C35,IF(AND($A$47&gt;C25,$A$47&lt;C29)=TRUE,C34,0))))</f>
        <v>0</v>
      </c>
      <c r="D47" s="229">
        <f>IF(D25=0,0,IF($A$47=D25,D33,IF($A$47=D29,D35,IF(AND($A$47&gt;D25,$A$47&lt;D29)=TRUE,D34,0))))</f>
        <v>0</v>
      </c>
      <c r="E47" s="229">
        <f>IF(E25=0,0,IF($A$47=E25,E33,IF($A$47=E29,E35,IF(AND($A$47&gt;E25,$A$47&lt;E29)=TRUE,E34,0))))</f>
        <v>0</v>
      </c>
      <c r="F47" s="229">
        <f>IF(F25=0,0,IF($A$47=F25,F33,IF($A$47=F29,F35,IF(AND($A$47&gt;F25,$A$47&lt;F29)=TRUE,F34,0))))</f>
        <v>0</v>
      </c>
      <c r="G47" s="229">
        <f>IF(G25=0,0,IF($A$47=G25,G33,IF($A$47=G29,G35,IF(AND($A$47&gt;G25,$A$47&lt;G29)=TRUE,G34,0))))</f>
        <v>0</v>
      </c>
      <c r="H47" s="313"/>
      <c r="I47" s="230">
        <f t="shared" si="0"/>
        <v>0</v>
      </c>
    </row>
    <row r="48" spans="1:9" ht="15.75" customHeight="1">
      <c r="A48" s="325">
        <f t="shared" si="1"/>
        <v>47299</v>
      </c>
      <c r="B48" s="312">
        <f t="shared" si="2"/>
        <v>2029</v>
      </c>
      <c r="C48" s="229">
        <f>IF(C25=0,0,IF($A$48=C25,C33,IF($A$48=C29,C35,IF(AND($A$48&gt;C25,$A$48&lt;C29)=TRUE,C34,0))))</f>
        <v>0</v>
      </c>
      <c r="D48" s="229">
        <f>IF(D25=0,0,IF($A$48=D25,D33,IF($A$48=D29,D35,IF(AND($A$48&gt;D25,$A$48&lt;D29)=TRUE,D34,0))))</f>
        <v>0</v>
      </c>
      <c r="E48" s="229">
        <f>IF(E25=0,0,IF($A$48=E25,E33,IF($A$48=E29,E35,IF(AND($A$48&gt;E25,$A$48&lt;E29)=TRUE,E34,0))))</f>
        <v>0</v>
      </c>
      <c r="F48" s="229">
        <f>IF(F25=0,0,IF($A$48=F25,F33,IF($A$48=F29,F35,IF(AND($A$48&gt;F25,$A$48&lt;F29)=TRUE,F34,0))))</f>
        <v>0</v>
      </c>
      <c r="G48" s="229">
        <f>IF(G25=0,0,IF($A$48=G25,G33,IF($A$48=G29,G35,IF(AND($A$48&gt;G25,$A$48&lt;G29)=TRUE,G34,0))))</f>
        <v>0</v>
      </c>
      <c r="H48" s="313"/>
      <c r="I48" s="230">
        <f t="shared" si="0"/>
        <v>0</v>
      </c>
    </row>
    <row r="49" spans="1:9" ht="15.75" customHeight="1">
      <c r="A49" s="325">
        <f t="shared" si="1"/>
        <v>47664</v>
      </c>
      <c r="B49" s="312">
        <f t="shared" si="2"/>
        <v>2030</v>
      </c>
      <c r="C49" s="229">
        <f>IF(C25=0,0,IF($A$49=C25,C33,IF($A$49=C29,C35,IF(AND($A$49&gt;C25,$A$49&lt;C29)=TRUE,C34,0))))</f>
        <v>0</v>
      </c>
      <c r="D49" s="229">
        <f>IF(D25=0,0,IF($A$49=D25,D33,IF($A$49=D29,D35,IF(AND($A$49&gt;D25,$A$49&lt;D29)=TRUE,D34,0))))</f>
        <v>0</v>
      </c>
      <c r="E49" s="229">
        <f>IF(E25=0,0,IF($A$49=E25,E33,IF($A$49=E29,E35,IF(AND($A$49&gt;E25,$A$49&lt;E29)=TRUE,E34,0))))</f>
        <v>0</v>
      </c>
      <c r="F49" s="229">
        <f>IF(F25=0,0,IF($A$49=F25,F33,IF($A$49=F29,F35,IF(AND($A$49&gt;F25,$A$49&lt;F29)=TRUE,F34,0))))</f>
        <v>0</v>
      </c>
      <c r="G49" s="229">
        <f>IF(G25=0,0,IF($A$49=G25,G33,IF($A$49=G29,G35,IF(AND($A$49&gt;G25,$A$49&lt;G29)=TRUE,G34,0))))</f>
        <v>0</v>
      </c>
      <c r="H49" s="313"/>
      <c r="I49" s="230">
        <f t="shared" si="0"/>
        <v>0</v>
      </c>
    </row>
    <row r="50" spans="1:9" ht="15.75" customHeight="1">
      <c r="A50" s="16"/>
      <c r="B50" s="8"/>
      <c r="C50" s="315">
        <f>SUM(C38:C49)</f>
        <v>0</v>
      </c>
      <c r="D50" s="315">
        <f>SUM(D38:D49)</f>
        <v>0</v>
      </c>
      <c r="E50" s="315">
        <f>SUM(E38:E49)</f>
        <v>0</v>
      </c>
      <c r="F50" s="315">
        <f>SUM(F38:F49)</f>
        <v>0</v>
      </c>
      <c r="G50" s="324">
        <f>SUM(G38:G49)</f>
        <v>0</v>
      </c>
      <c r="H50" s="313"/>
      <c r="I50" s="324">
        <f>SUM(C50:H50)</f>
        <v>0</v>
      </c>
    </row>
    <row r="51" spans="1:9">
      <c r="C51" s="314"/>
      <c r="D51" s="314"/>
      <c r="E51" s="314"/>
      <c r="F51" s="314"/>
      <c r="G51" s="314"/>
      <c r="H51" s="314"/>
      <c r="I51" s="314"/>
    </row>
    <row r="52" spans="1:9">
      <c r="G52" s="1"/>
      <c r="H52" s="1"/>
      <c r="I52" s="1"/>
    </row>
    <row r="53" spans="1:9">
      <c r="A53" s="78" t="s">
        <v>1296</v>
      </c>
      <c r="B53" s="78"/>
      <c r="C53" s="78"/>
      <c r="D53" s="191">
        <f>+A42+1</f>
        <v>45108</v>
      </c>
      <c r="E53" s="345">
        <f>+SUM(I43:I49)-E55</f>
        <v>0</v>
      </c>
      <c r="F53" s="315"/>
      <c r="G53" s="1"/>
      <c r="H53" s="1"/>
      <c r="I53" s="1"/>
    </row>
    <row r="54" spans="1:9">
      <c r="A54" s="3"/>
      <c r="B54" s="3"/>
      <c r="C54" s="3"/>
      <c r="D54" s="3"/>
      <c r="E54" s="315"/>
      <c r="G54" s="1"/>
      <c r="H54" s="1"/>
      <c r="I54" s="1"/>
    </row>
    <row r="55" spans="1:9">
      <c r="A55" s="1" t="s">
        <v>1435</v>
      </c>
      <c r="B55" s="311"/>
      <c r="C55" s="311"/>
      <c r="D55" s="311"/>
      <c r="E55" s="346">
        <f>SUMIF(C36:H36,TRUE,C17:H17)</f>
        <v>0</v>
      </c>
      <c r="G55" s="1"/>
      <c r="H55" s="1"/>
      <c r="I55" s="1"/>
    </row>
    <row r="56" spans="1:9">
      <c r="B56" s="311"/>
      <c r="C56" s="311"/>
      <c r="D56" s="311"/>
      <c r="E56" s="346"/>
      <c r="G56" s="1"/>
      <c r="H56" s="1"/>
      <c r="I56" s="1"/>
    </row>
    <row r="57" spans="1:9">
      <c r="A57" s="1" t="s">
        <v>1436</v>
      </c>
      <c r="B57" s="311"/>
      <c r="C57" s="316"/>
      <c r="D57" s="316"/>
      <c r="E57" s="1765">
        <f>-I43</f>
        <v>0</v>
      </c>
      <c r="G57" s="1"/>
      <c r="H57" s="1"/>
      <c r="I57" s="1"/>
    </row>
    <row r="58" spans="1:9">
      <c r="A58" s="3"/>
      <c r="B58" s="3"/>
      <c r="C58" s="3"/>
      <c r="D58" s="3"/>
      <c r="E58" s="315"/>
      <c r="G58" s="1"/>
      <c r="H58" s="1"/>
      <c r="I58" s="1"/>
    </row>
    <row r="59" spans="1:9">
      <c r="A59" s="78" t="s">
        <v>1103</v>
      </c>
      <c r="B59" s="78"/>
      <c r="C59" s="78"/>
      <c r="D59" s="191">
        <f>+A43</f>
        <v>45473</v>
      </c>
      <c r="E59" s="347">
        <f>SUM(E53:E58)</f>
        <v>0</v>
      </c>
      <c r="G59" s="1"/>
      <c r="H59" s="1"/>
      <c r="I59" s="1"/>
    </row>
    <row r="61" spans="1:9">
      <c r="A61" s="3" t="s">
        <v>172</v>
      </c>
    </row>
    <row r="62" spans="1:9" ht="52.5" customHeight="1">
      <c r="A62" s="3896"/>
      <c r="B62" s="3897"/>
      <c r="C62" s="3897"/>
      <c r="D62" s="3897"/>
      <c r="E62" s="3897"/>
      <c r="F62" s="3897"/>
      <c r="G62" s="3897"/>
      <c r="H62" s="3897"/>
      <c r="I62" s="3898"/>
    </row>
    <row r="64" spans="1:9">
      <c r="A64" s="3" t="s">
        <v>2541</v>
      </c>
    </row>
  </sheetData>
  <customSheetViews>
    <customSheetView guid="{BCBE45D4-3C45-4659-992E-5C5D3E9FD81C}" fitToPage="1" hiddenRows="1" hiddenColumns="1">
      <selection activeCell="M15" sqref="M15"/>
      <pageMargins left="0.59055118110236227" right="0.43307086614173229" top="0.6692913385826772" bottom="0.94488188976377963" header="0.51181102362204722" footer="0.39370078740157483"/>
      <printOptions horizontalCentered="1"/>
      <pageSetup paperSize="9" scale="68"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Rows="1" hiddenColumns="1">
      <selection activeCell="N46" sqref="N46"/>
      <pageMargins left="0.59055118110236227" right="0.43307086614173229" top="0.6692913385826772" bottom="0.94488188976377963" header="0.51181102362204722" footer="0.39370078740157483"/>
      <printOptions horizontalCentered="1"/>
      <pageSetup paperSize="9" scale="68"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6:I6"/>
    <mergeCell ref="G7:I7"/>
    <mergeCell ref="A62:I62"/>
  </mergeCells>
  <phoneticPr fontId="26" type="noConversion"/>
  <conditionalFormatting sqref="J152">
    <cfRule type="expression" dxfId="34" priority="1" stopIfTrue="1">
      <formula>SUM($152:$152)=0</formula>
    </cfRule>
  </conditionalFormatting>
  <hyperlinks>
    <hyperlink ref="G7" location="WP_Borrowing_Costs" display="Back to Workpaper Index" xr:uid="{00000000-0004-0000-1800-000000000000}"/>
    <hyperlink ref="G7:I7" location="WPIndex!A1" display="Back to WP Index" xr:uid="{90F90DD3-8234-463C-BE57-9C598E2E54AB}"/>
  </hyperlinks>
  <printOptions horizontalCentered="1"/>
  <pageMargins left="0.59055118110236227" right="0.43307086614173229" top="0.6692913385826772" bottom="0.94488188976377963" header="0.51181102362204722" footer="0.39370078740157483"/>
  <pageSetup paperSize="9" scale="67" fitToHeight="999" orientation="portrait" blackAndWhite="1"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69" r:id="rId6" name="Button 21">
              <controlPr defaultSize="0" print="0" autoFill="0" autoPict="0" macro="[0]!Insert_New_Borrowing_Cost_Column">
                <anchor moveWithCells="1">
                  <from>
                    <xdr:col>11</xdr:col>
                    <xdr:colOff>0</xdr:colOff>
                    <xdr:row>6</xdr:row>
                    <xdr:rowOff>76200</xdr:rowOff>
                  </from>
                  <to>
                    <xdr:col>12</xdr:col>
                    <xdr:colOff>228600</xdr:colOff>
                    <xdr:row>9</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Blackhole_Expenses_Sheet">
    <pageSetUpPr fitToPage="1"/>
  </sheetPr>
  <dimension ref="A1:K64"/>
  <sheetViews>
    <sheetView zoomScaleNormal="100" workbookViewId="0"/>
  </sheetViews>
  <sheetFormatPr defaultColWidth="9.140625" defaultRowHeight="12.75"/>
  <cols>
    <col min="1" max="1" width="20.140625" style="1" customWidth="1"/>
    <col min="2" max="2" width="13.42578125" style="1" customWidth="1"/>
    <col min="3" max="5" width="21.140625" style="1" customWidth="1"/>
    <col min="6" max="7" width="21.140625" style="14" customWidth="1"/>
    <col min="8" max="8" width="3.140625" style="14" hidden="1" customWidth="1"/>
    <col min="9" max="9" width="11.85546875" style="14" customWidth="1"/>
    <col min="10" max="10" width="8.28515625" style="1" hidden="1" customWidth="1"/>
    <col min="11" max="11" width="9.140625" style="1" hidden="1" customWidth="1"/>
    <col min="12" max="16384" width="9.140625" style="1"/>
  </cols>
  <sheetData>
    <row r="1" spans="1:10" ht="15.75">
      <c r="A1" s="740"/>
      <c r="B1" s="740"/>
      <c r="C1" s="740"/>
      <c r="D1" s="46"/>
      <c r="E1" s="46"/>
      <c r="F1" s="46"/>
      <c r="G1" s="46"/>
      <c r="H1" s="46"/>
      <c r="I1" s="3353"/>
    </row>
    <row r="2" spans="1:10" s="32" customFormat="1">
      <c r="A2" s="206"/>
      <c r="G2" s="3288" t="s">
        <v>1163</v>
      </c>
      <c r="H2" s="1878"/>
      <c r="I2" s="3354" t="s">
        <v>1262</v>
      </c>
    </row>
    <row r="3" spans="1:10" s="32" customFormat="1" ht="17.25" customHeight="1">
      <c r="A3" s="206"/>
      <c r="F3" s="71" t="s">
        <v>332</v>
      </c>
      <c r="G3" s="3355"/>
      <c r="H3" s="1878"/>
      <c r="I3" s="3356"/>
    </row>
    <row r="4" spans="1:10" s="32" customFormat="1" ht="17.25" customHeight="1">
      <c r="A4" s="206"/>
      <c r="F4" s="71" t="s">
        <v>333</v>
      </c>
      <c r="G4" s="3357"/>
      <c r="H4" s="1878"/>
      <c r="I4" s="3358"/>
    </row>
    <row r="5" spans="1:10" s="32" customFormat="1" ht="3.95" customHeight="1">
      <c r="A5" s="206"/>
      <c r="B5" s="43"/>
      <c r="C5" s="43"/>
      <c r="D5" s="43"/>
      <c r="E5" s="43"/>
      <c r="G5" s="1608"/>
      <c r="I5" s="1608"/>
    </row>
    <row r="6" spans="1:10" ht="15.75">
      <c r="A6" s="3704" t="s">
        <v>2543</v>
      </c>
      <c r="B6" s="3705"/>
      <c r="C6" s="3705"/>
      <c r="D6" s="3705"/>
      <c r="E6" s="3705"/>
      <c r="F6" s="3705"/>
      <c r="G6" s="3705"/>
      <c r="H6" s="3705"/>
      <c r="I6" s="3706"/>
    </row>
    <row r="7" spans="1:10">
      <c r="F7" s="2330"/>
      <c r="G7" s="3832" t="s">
        <v>2526</v>
      </c>
      <c r="H7" s="3832"/>
      <c r="I7" s="3832"/>
    </row>
    <row r="8" spans="1:10" ht="15.75">
      <c r="A8" s="1167" t="str">
        <f>"CLIENT NAME:   "&amp;IF(ClientName="[ENTER CLIENT NAME]","",ClientName)</f>
        <v>CLIENT NAME:   Example Trust</v>
      </c>
    </row>
    <row r="9" spans="1:10">
      <c r="A9" s="9" t="str">
        <f>"CLIENT CODE:   "&amp;'WP Index'!E4</f>
        <v>CLIENT CODE:   99999</v>
      </c>
      <c r="G9" s="47" t="s">
        <v>951</v>
      </c>
      <c r="I9" s="47">
        <f>'WP Index'!G5</f>
        <v>45473</v>
      </c>
    </row>
    <row r="10" spans="1:10">
      <c r="A10" s="9"/>
      <c r="H10" s="47"/>
      <c r="I10" s="47"/>
      <c r="J10" s="6" t="s">
        <v>1286</v>
      </c>
    </row>
    <row r="11" spans="1:10" ht="15.75" customHeight="1">
      <c r="A11" s="1" t="s">
        <v>1127</v>
      </c>
      <c r="C11" s="3359"/>
      <c r="D11" s="3359"/>
      <c r="E11" s="3359"/>
      <c r="F11" s="3359"/>
      <c r="G11" s="3359"/>
      <c r="H11" s="317"/>
      <c r="I11" s="8"/>
    </row>
    <row r="12" spans="1:10" ht="15.75" customHeight="1">
      <c r="A12" s="3359"/>
      <c r="C12" s="3360">
        <v>0</v>
      </c>
      <c r="D12" s="3360">
        <v>0</v>
      </c>
      <c r="E12" s="3360">
        <v>0</v>
      </c>
      <c r="F12" s="3360">
        <v>0</v>
      </c>
      <c r="G12" s="3360">
        <v>0</v>
      </c>
      <c r="H12" s="317"/>
      <c r="I12" s="8"/>
    </row>
    <row r="13" spans="1:10" ht="15.75" customHeight="1">
      <c r="A13" s="3359"/>
      <c r="C13" s="3360">
        <v>0</v>
      </c>
      <c r="D13" s="3360">
        <v>0</v>
      </c>
      <c r="E13" s="3360">
        <v>0</v>
      </c>
      <c r="F13" s="3360">
        <v>0</v>
      </c>
      <c r="G13" s="3360">
        <v>0</v>
      </c>
      <c r="H13" s="317"/>
      <c r="I13" s="8"/>
    </row>
    <row r="14" spans="1:10" ht="15.75" customHeight="1">
      <c r="A14" s="3359"/>
      <c r="C14" s="3360">
        <v>0</v>
      </c>
      <c r="D14" s="3360">
        <v>0</v>
      </c>
      <c r="E14" s="3360">
        <v>0</v>
      </c>
      <c r="F14" s="3360">
        <v>0</v>
      </c>
      <c r="G14" s="3360">
        <v>0</v>
      </c>
      <c r="H14" s="317"/>
      <c r="I14" s="8"/>
    </row>
    <row r="15" spans="1:10" ht="15.75" customHeight="1">
      <c r="A15" s="3359"/>
      <c r="C15" s="3360">
        <v>0</v>
      </c>
      <c r="D15" s="3360">
        <v>0</v>
      </c>
      <c r="E15" s="3360">
        <v>0</v>
      </c>
      <c r="F15" s="3360">
        <v>0</v>
      </c>
      <c r="G15" s="3360">
        <v>0</v>
      </c>
      <c r="H15" s="317"/>
      <c r="I15" s="8"/>
    </row>
    <row r="16" spans="1:10" ht="15.75" customHeight="1">
      <c r="A16" s="3359"/>
      <c r="C16" s="3360">
        <v>0</v>
      </c>
      <c r="D16" s="3360">
        <v>0</v>
      </c>
      <c r="E16" s="3360">
        <v>0</v>
      </c>
      <c r="F16" s="3360">
        <v>0</v>
      </c>
      <c r="G16" s="3360">
        <v>0</v>
      </c>
      <c r="H16" s="317"/>
      <c r="I16" s="8"/>
    </row>
    <row r="17" spans="1:9" ht="15.75" customHeight="1">
      <c r="A17" s="1" t="s">
        <v>1129</v>
      </c>
      <c r="C17" s="1640">
        <f>SUM(C12:C16)</f>
        <v>0</v>
      </c>
      <c r="D17" s="1640">
        <f>SUM(D12:D16)</f>
        <v>0</v>
      </c>
      <c r="E17" s="1640">
        <f>SUM(E12:E16)</f>
        <v>0</v>
      </c>
      <c r="F17" s="1640">
        <f>SUM(F12:F16)</f>
        <v>0</v>
      </c>
      <c r="G17" s="1640">
        <f>SUM(G12:G16)</f>
        <v>0</v>
      </c>
      <c r="H17" s="317"/>
      <c r="I17" s="8"/>
    </row>
    <row r="18" spans="1:9" ht="15.75" customHeight="1">
      <c r="A18" s="1" t="s">
        <v>949</v>
      </c>
      <c r="C18" s="3361"/>
      <c r="D18" s="3361"/>
      <c r="E18" s="3361"/>
      <c r="F18" s="3361"/>
      <c r="G18" s="3361"/>
      <c r="H18" s="318"/>
      <c r="I18" s="11" t="s">
        <v>1110</v>
      </c>
    </row>
    <row r="19" spans="1:9" ht="15.75" customHeight="1">
      <c r="A19" s="1" t="s">
        <v>1424</v>
      </c>
      <c r="C19" s="3362">
        <v>5</v>
      </c>
      <c r="D19" s="3362">
        <v>5</v>
      </c>
      <c r="E19" s="3362">
        <v>5</v>
      </c>
      <c r="F19" s="3362">
        <v>5</v>
      </c>
      <c r="G19" s="3362">
        <v>5</v>
      </c>
      <c r="H19" s="319"/>
    </row>
    <row r="20" spans="1:9" ht="15.75" hidden="1" customHeight="1">
      <c r="C20" s="707">
        <f>ROUND(C19,0)</f>
        <v>5</v>
      </c>
      <c r="D20" s="707">
        <f>ROUND(D19,0)</f>
        <v>5</v>
      </c>
      <c r="E20" s="707">
        <f>ROUND(E19,0)</f>
        <v>5</v>
      </c>
      <c r="F20" s="707">
        <f>ROUND(F19,0)</f>
        <v>5</v>
      </c>
      <c r="G20" s="707">
        <f>ROUND(G19,0)</f>
        <v>5</v>
      </c>
      <c r="H20" s="319"/>
      <c r="I20" s="11"/>
    </row>
    <row r="21" spans="1:9" ht="15.75" hidden="1" customHeight="1">
      <c r="C21" s="707">
        <f>C20-C19</f>
        <v>0</v>
      </c>
      <c r="D21" s="707">
        <f>D20-D19</f>
        <v>0</v>
      </c>
      <c r="E21" s="707">
        <f>E20-E19</f>
        <v>0</v>
      </c>
      <c r="F21" s="707">
        <f>F20-F19</f>
        <v>0</v>
      </c>
      <c r="G21" s="707">
        <f>G20-G19</f>
        <v>0</v>
      </c>
      <c r="H21" s="319"/>
      <c r="I21" s="11"/>
    </row>
    <row r="22" spans="1:9" ht="15.75" hidden="1" customHeight="1">
      <c r="C22" s="707">
        <f>(C29-C30)*C21</f>
        <v>0</v>
      </c>
      <c r="D22" s="707">
        <f>(D29-D30)*D21</f>
        <v>0</v>
      </c>
      <c r="E22" s="707">
        <f>(E29-E30)*E21</f>
        <v>0</v>
      </c>
      <c r="F22" s="707">
        <f>(F29-F30)*F21</f>
        <v>0</v>
      </c>
      <c r="G22" s="707">
        <f>(G29-G30)*G21</f>
        <v>0</v>
      </c>
      <c r="H22" s="319"/>
      <c r="I22" s="11"/>
    </row>
    <row r="23" spans="1:9" ht="15.75" hidden="1" customHeight="1">
      <c r="B23" s="306" t="s">
        <v>1544</v>
      </c>
      <c r="C23" s="307">
        <f>IF(C18&gt;DATE(C24,6,30),C24+1,C24)</f>
        <v>1900</v>
      </c>
      <c r="D23" s="307">
        <f>IF(D18&gt;DATE(D24,6,30),D24+1,D24)</f>
        <v>1900</v>
      </c>
      <c r="E23" s="307">
        <f>IF(E18&gt;DATE(E24,6,30),E24+1,E24)</f>
        <v>1900</v>
      </c>
      <c r="F23" s="307">
        <f>IF(F18&gt;DATE(F24,6,30),F24+1,F24)</f>
        <v>1900</v>
      </c>
      <c r="G23" s="307">
        <f>IF(G18&gt;DATE(G24,6,30),G24+1,G24)</f>
        <v>1900</v>
      </c>
      <c r="H23" s="320"/>
      <c r="I23" s="321"/>
    </row>
    <row r="24" spans="1:9" ht="15.75" hidden="1" customHeight="1">
      <c r="B24" s="306" t="s">
        <v>1425</v>
      </c>
      <c r="C24" s="307">
        <f>+YEAR(C18)</f>
        <v>1900</v>
      </c>
      <c r="D24" s="307">
        <f>+YEAR(D18)</f>
        <v>1900</v>
      </c>
      <c r="E24" s="307">
        <f>+YEAR(E18)</f>
        <v>1900</v>
      </c>
      <c r="F24" s="307">
        <f>+YEAR(F18)</f>
        <v>1900</v>
      </c>
      <c r="G24" s="307">
        <f>+YEAR(G18)</f>
        <v>1900</v>
      </c>
      <c r="H24" s="320"/>
      <c r="I24" s="321"/>
    </row>
    <row r="25" spans="1:9" ht="15.75" hidden="1" customHeight="1">
      <c r="B25" s="306" t="s">
        <v>1426</v>
      </c>
      <c r="C25" s="308">
        <f>+SUMIF($B$38:$B$49,C23,$A$38:$A$49)</f>
        <v>0</v>
      </c>
      <c r="D25" s="308">
        <f>+SUMIF($B$38:$B$49,D23,$A$38:$A$49)</f>
        <v>0</v>
      </c>
      <c r="E25" s="308">
        <f>+SUMIF($B$38:$B$49,E23,$A$38:$A$49)</f>
        <v>0</v>
      </c>
      <c r="F25" s="308">
        <f>+SUMIF($B$38:$B$49,F23,$A$38:$A$49)</f>
        <v>0</v>
      </c>
      <c r="G25" s="308">
        <f>+SUMIF($B$38:$B$49,G23,$A$38:$A$49)</f>
        <v>0</v>
      </c>
      <c r="H25" s="322"/>
      <c r="I25" s="321"/>
    </row>
    <row r="26" spans="1:9" ht="15.75" hidden="1" customHeight="1">
      <c r="B26" s="306" t="s">
        <v>1427</v>
      </c>
      <c r="C26" s="307">
        <f>+C25-C18</f>
        <v>0</v>
      </c>
      <c r="D26" s="307">
        <f>+D25-D18</f>
        <v>0</v>
      </c>
      <c r="E26" s="307">
        <f>+E25-E18</f>
        <v>0</v>
      </c>
      <c r="F26" s="307">
        <f>+F25-F18</f>
        <v>0</v>
      </c>
      <c r="G26" s="307">
        <f>+G25-G18</f>
        <v>0</v>
      </c>
      <c r="H26" s="320"/>
      <c r="I26" s="321"/>
    </row>
    <row r="27" spans="1:9" ht="15.75" hidden="1" customHeight="1">
      <c r="B27" s="306" t="s">
        <v>1428</v>
      </c>
      <c r="C27" s="308">
        <f>+DATE(C23-1,6,30)</f>
        <v>693778</v>
      </c>
      <c r="D27" s="308">
        <f>+DATE(D23-1,6,30)</f>
        <v>693778</v>
      </c>
      <c r="E27" s="308">
        <f>+DATE(E23-1,6,30)</f>
        <v>693778</v>
      </c>
      <c r="F27" s="308">
        <f>+DATE(F23-1,6,30)</f>
        <v>693778</v>
      </c>
      <c r="G27" s="308">
        <f>+DATE(G23-1,6,30)</f>
        <v>693778</v>
      </c>
      <c r="H27" s="322"/>
      <c r="I27" s="321"/>
    </row>
    <row r="28" spans="1:9" ht="15.75" hidden="1" customHeight="1">
      <c r="B28" s="306" t="s">
        <v>1429</v>
      </c>
      <c r="C28" s="307">
        <f>+C25-C27</f>
        <v>-693778</v>
      </c>
      <c r="D28" s="307">
        <f>+D25-D27</f>
        <v>-693778</v>
      </c>
      <c r="E28" s="307">
        <f>+E25-E27</f>
        <v>-693778</v>
      </c>
      <c r="F28" s="307">
        <f>+F25-F27</f>
        <v>-693778</v>
      </c>
      <c r="G28" s="307">
        <f>+G25-G27</f>
        <v>-693778</v>
      </c>
      <c r="H28" s="320"/>
      <c r="I28" s="321"/>
    </row>
    <row r="29" spans="1:9" ht="15.75" hidden="1" customHeight="1">
      <c r="B29" s="306"/>
      <c r="C29" s="308">
        <f>IF(C19&gt;5,DATE(C23+5,6,30),DATE(C23+C20,6,30))</f>
        <v>2008</v>
      </c>
      <c r="D29" s="308">
        <f>IF(D19&gt;5,DATE(D23+5,6,30),DATE(D23+D20,6,30))</f>
        <v>2008</v>
      </c>
      <c r="E29" s="308">
        <f>IF(E19&gt;5,DATE(E23+5,6,30),DATE(E23+E20,6,30))</f>
        <v>2008</v>
      </c>
      <c r="F29" s="308">
        <f>IF(F19&gt;5,DATE(F23+5,6,30),DATE(F23+F20,6,30))</f>
        <v>2008</v>
      </c>
      <c r="G29" s="308">
        <f>IF(G19&gt;5,DATE(G23+5,6,30),DATE(G23+G20,6,30))</f>
        <v>2008</v>
      </c>
      <c r="H29" s="320"/>
      <c r="I29" s="321"/>
    </row>
    <row r="30" spans="1:9" ht="15.75" hidden="1" customHeight="1">
      <c r="B30" s="306" t="s">
        <v>1430</v>
      </c>
      <c r="C30" s="308">
        <f>IF(C19&gt;5,DATE(C23+4,6,30),DATE(C23+C20-1,6,30))</f>
        <v>1643</v>
      </c>
      <c r="D30" s="308">
        <f>IF(D19&gt;5,DATE(D23+4,6,30),DATE(D23+D20-1,6,30))</f>
        <v>1643</v>
      </c>
      <c r="E30" s="308">
        <f>IF(E19&gt;5,DATE(E23+4,6,30),DATE(E23+E20-1,6,30))</f>
        <v>1643</v>
      </c>
      <c r="F30" s="308">
        <f>IF(F19&gt;5,DATE(F23+4,6,30),DATE(F23+F20-1,6,30))</f>
        <v>1643</v>
      </c>
      <c r="G30" s="308">
        <f>IF(G19&gt;5,DATE(G23+4,6,30),DATE(G23+G20-1,6,30))</f>
        <v>1643</v>
      </c>
      <c r="H30" s="322"/>
      <c r="I30" s="321"/>
    </row>
    <row r="31" spans="1:9" ht="15.75" hidden="1" customHeight="1">
      <c r="B31" s="306"/>
      <c r="C31" s="708">
        <f>C32-C26-C22</f>
        <v>365</v>
      </c>
      <c r="D31" s="708">
        <f>D32-D26-D22</f>
        <v>365</v>
      </c>
      <c r="E31" s="708">
        <f>E32-E26-E22</f>
        <v>365</v>
      </c>
      <c r="F31" s="708">
        <f>F32-F26-F22</f>
        <v>365</v>
      </c>
      <c r="G31" s="708">
        <f>G32-G26-G22</f>
        <v>365</v>
      </c>
      <c r="H31" s="322"/>
      <c r="I31" s="321"/>
    </row>
    <row r="32" spans="1:9" ht="15.75" hidden="1" customHeight="1">
      <c r="B32" s="306"/>
      <c r="C32" s="708">
        <f>C29-C30</f>
        <v>365</v>
      </c>
      <c r="D32" s="708">
        <f>D29-D30</f>
        <v>365</v>
      </c>
      <c r="E32" s="708">
        <f>E29-E30</f>
        <v>365</v>
      </c>
      <c r="F32" s="708">
        <f>F29-F30</f>
        <v>365</v>
      </c>
      <c r="G32" s="708">
        <f>G29-G30</f>
        <v>365</v>
      </c>
      <c r="H32" s="322"/>
      <c r="I32" s="321"/>
    </row>
    <row r="33" spans="1:9" ht="15.75" hidden="1" customHeight="1">
      <c r="B33" s="306" t="s">
        <v>1431</v>
      </c>
      <c r="C33" s="309">
        <f>+ROUND(C17/C19,2)</f>
        <v>0</v>
      </c>
      <c r="D33" s="309">
        <f>+ROUND(D17/D19,2)</f>
        <v>0</v>
      </c>
      <c r="E33" s="309">
        <f>+ROUND(E17/E19,2)</f>
        <v>0</v>
      </c>
      <c r="F33" s="309">
        <f>+ROUND(F17/F19,2)</f>
        <v>0</v>
      </c>
      <c r="G33" s="309">
        <f>+ROUND(G17/G19,2)</f>
        <v>0</v>
      </c>
      <c r="H33" s="313"/>
      <c r="I33" s="321"/>
    </row>
    <row r="34" spans="1:9" ht="15.75" hidden="1" customHeight="1">
      <c r="B34" s="306" t="s">
        <v>1432</v>
      </c>
      <c r="C34" s="310">
        <f>ROUND(IF(C19&gt;5,C17/5,C17/C19),2)</f>
        <v>0</v>
      </c>
      <c r="D34" s="310">
        <f>ROUND(IF(D19&gt;5,D17/5,D17/D19),2)</f>
        <v>0</v>
      </c>
      <c r="E34" s="310">
        <f>ROUND(IF(E19&gt;5,E17/5,E17/E19),2)</f>
        <v>0</v>
      </c>
      <c r="F34" s="310">
        <f>ROUND(IF(F19&gt;5,F17/5,F17/F19),2)</f>
        <v>0</v>
      </c>
      <c r="G34" s="310">
        <f>ROUND(IF(G19&gt;5,G17/5,G17/G19),2)</f>
        <v>0</v>
      </c>
      <c r="H34" s="323"/>
      <c r="I34" s="321"/>
    </row>
    <row r="35" spans="1:9" ht="15.75" hidden="1" customHeight="1">
      <c r="B35" s="306" t="s">
        <v>1433</v>
      </c>
      <c r="C35" s="309">
        <f>IF(C21=0,(C34-C33),+ROUND(C31/C32*C34,2))</f>
        <v>0</v>
      </c>
      <c r="D35" s="309">
        <f>IF(D21=0,(D34-D33),+ROUND(D31/D32*D34,2))</f>
        <v>0</v>
      </c>
      <c r="E35" s="309">
        <f>IF(E21=0,(E34-E33),+ROUND(E31/E32*E34,2))</f>
        <v>0</v>
      </c>
      <c r="F35" s="309">
        <f>IF(F21=0,(F34-F33),+ROUND(F31/F32*F34,2))</f>
        <v>0</v>
      </c>
      <c r="G35" s="309">
        <f>IF(G21=0,(G34-G33),+ROUND(G31/G32*G34,2))</f>
        <v>0</v>
      </c>
      <c r="H35" s="313"/>
      <c r="I35" s="321"/>
    </row>
    <row r="36" spans="1:9" ht="15.75" hidden="1" customHeight="1">
      <c r="B36" s="306" t="s">
        <v>1434</v>
      </c>
      <c r="C36" s="308" t="b">
        <f>AND(C18&lt;=$A$43,C18&gt;$A$42)</f>
        <v>0</v>
      </c>
      <c r="D36" s="308" t="b">
        <f>AND(D18&lt;=$A$43,D18&gt;$A$42)</f>
        <v>0</v>
      </c>
      <c r="E36" s="308" t="b">
        <f>AND(E18&lt;=$A$43,E18&gt;$A$42)</f>
        <v>0</v>
      </c>
      <c r="F36" s="308" t="b">
        <f>AND(F18&lt;=$A$43,F18&gt;$A$42)</f>
        <v>0</v>
      </c>
      <c r="G36" s="308" t="b">
        <f>AND(G18&lt;=$A$43,G18&gt;$A$42)</f>
        <v>0</v>
      </c>
      <c r="H36" s="322"/>
      <c r="I36" s="321"/>
    </row>
    <row r="37" spans="1:9" ht="15.75" customHeight="1">
      <c r="A37" s="7"/>
      <c r="B37" s="7"/>
      <c r="C37" s="326"/>
      <c r="D37" s="326"/>
      <c r="E37" s="326"/>
      <c r="F37" s="326"/>
      <c r="G37" s="326"/>
      <c r="H37" s="322"/>
      <c r="I37" s="327"/>
    </row>
    <row r="38" spans="1:9" ht="15.75" customHeight="1">
      <c r="A38" s="325">
        <f>+DATE(B38,6,30)</f>
        <v>43646</v>
      </c>
      <c r="B38" s="312">
        <f>+B39-1</f>
        <v>2019</v>
      </c>
      <c r="C38" s="229">
        <f>IF(C25=0,0,IF($A$38=C25,C33,IF($A$38=C29,C35,IF(AND($A$38&gt;C25,$A$38&lt;C29)=TRUE,C34,0))))</f>
        <v>0</v>
      </c>
      <c r="D38" s="229">
        <f>IF(D25=0,0,IF($A$38=D25,D33,IF($A$38=D29,D35,IF(AND($A$38&gt;D25,$A$38&lt;D29)=TRUE,D34,0))))</f>
        <v>0</v>
      </c>
      <c r="E38" s="229">
        <f>IF(E25=0,0,IF($A$38=E25,E33,IF($A$38=E29,E35,IF(AND($A$38&gt;E25,$A$38&lt;E29)=TRUE,E34,0))))</f>
        <v>0</v>
      </c>
      <c r="F38" s="229">
        <f>IF(F25=0,0,IF($A$38=F25,F33,IF($A$38=F29,F35,IF(AND($A$38&gt;F25,$A$38&lt;F29)=TRUE,F34,0))))</f>
        <v>0</v>
      </c>
      <c r="G38" s="229">
        <f>IF(G25=0,0,IF($A$38=G25,G33,IF($A$38=G29,G35,IF(AND($A$38&gt;G25,$A$38&lt;G29)=TRUE,G34,0))))</f>
        <v>0</v>
      </c>
      <c r="H38" s="313"/>
      <c r="I38" s="230">
        <f t="shared" ref="I38:I50" si="0">SUM(C38:H38)</f>
        <v>0</v>
      </c>
    </row>
    <row r="39" spans="1:9" ht="15.75" customHeight="1">
      <c r="A39" s="325">
        <f>+DATE(B39,6,30)</f>
        <v>44012</v>
      </c>
      <c r="B39" s="312">
        <f>+B40-1</f>
        <v>2020</v>
      </c>
      <c r="C39" s="229">
        <f>IF(C25=0,0,IF($A$39=C25,C33,IF($A$39=C29,C35,IF(AND($A$39&gt;C25,$A$39&lt;C29)=TRUE,C34,0))))</f>
        <v>0</v>
      </c>
      <c r="D39" s="229">
        <f>IF(D25=0,0,IF($A$39=D25,D33,IF($A$39=D29,D35,IF(AND($A$39&gt;D25,$A$39&lt;D29)=TRUE,D34,0))))</f>
        <v>0</v>
      </c>
      <c r="E39" s="229">
        <f>IF(E25=0,0,IF($A$39=E25,E33,IF($A$39=E29,E35,IF(AND($A$39&gt;E25,$A$39&lt;E29)=TRUE,E34,0))))</f>
        <v>0</v>
      </c>
      <c r="F39" s="229">
        <f>IF(F25=0,0,IF($A$39=F25,F33,IF($A$39=F29,F35,IF(AND($A$39&gt;F25,$A$39&lt;F29)=TRUE,F34,0))))</f>
        <v>0</v>
      </c>
      <c r="G39" s="229">
        <f>IF(G25=0,0,IF($A$39=G25,G33,IF($A$39=G29,G35,IF(AND($A$39&gt;G25,$A$39&lt;G29)=TRUE,G34,0))))</f>
        <v>0</v>
      </c>
      <c r="H39" s="313"/>
      <c r="I39" s="230">
        <f t="shared" si="0"/>
        <v>0</v>
      </c>
    </row>
    <row r="40" spans="1:9" ht="15.75" customHeight="1">
      <c r="A40" s="325">
        <f>+DATE(B40,6,30)</f>
        <v>44377</v>
      </c>
      <c r="B40" s="312">
        <f>+B41-1</f>
        <v>2021</v>
      </c>
      <c r="C40" s="229">
        <f>IF(C25=0,0,IF($A$40=C25,C33,IF($A$40=C29,C35,IF(AND($A$40&gt;C25,$A$40&lt;C29)=TRUE,C34,0))))</f>
        <v>0</v>
      </c>
      <c r="D40" s="229">
        <f>IF(D25=0,0,IF($A$40=D25,D33,IF($A$40=D29,D35,IF(AND($A$40&gt;D25,$A$40&lt;D29)=TRUE,D34,0))))</f>
        <v>0</v>
      </c>
      <c r="E40" s="229">
        <f>IF(E25=0,0,IF($A$40=E25,E33,IF($A$40=E29,E35,IF(AND($A$40&gt;E25,$A$40&lt;E29)=TRUE,E34,0))))</f>
        <v>0</v>
      </c>
      <c r="F40" s="229">
        <f>IF(F25=0,0,IF($A$40=F25,F33,IF($A$40=F29,F35,IF(AND($A$40&gt;F25,$A$40&lt;F29)=TRUE,F34,0))))</f>
        <v>0</v>
      </c>
      <c r="G40" s="229">
        <f>IF(G25=0,0,IF($A$40=G25,G33,IF($A$40=G29,G35,IF(AND($A$40&gt;G25,$A$40&lt;G29)=TRUE,G34,0))))</f>
        <v>0</v>
      </c>
      <c r="H40" s="313"/>
      <c r="I40" s="230">
        <f t="shared" si="0"/>
        <v>0</v>
      </c>
    </row>
    <row r="41" spans="1:9" ht="15.75" customHeight="1">
      <c r="A41" s="325">
        <f>+DATE(B41,6,30)</f>
        <v>44742</v>
      </c>
      <c r="B41" s="312">
        <f>+B42-1</f>
        <v>2022</v>
      </c>
      <c r="C41" s="229">
        <f>IF(C25=0,0,IF($A$41=C25,C33,IF($A$41=C29,C35,IF(AND($A$41&gt;C25,$A$41&lt;C29)=TRUE,C34,0))))</f>
        <v>0</v>
      </c>
      <c r="D41" s="229">
        <f>IF(D25=0,0,IF($A$41=D25,D33,IF($A$41=D29,D35,IF(AND($A$41&gt;D25,$A$41&lt;D29)=TRUE,D34,0))))</f>
        <v>0</v>
      </c>
      <c r="E41" s="229">
        <f>IF(E25=0,0,IF($A$41=E25,E33,IF($A$41=E29,E35,IF(AND($A$41&gt;E25,$A$41&lt;E29)=TRUE,E34,0))))</f>
        <v>0</v>
      </c>
      <c r="F41" s="229">
        <f>IF(F25=0,0,IF($A$41=F25,F33,IF($A$41=F29,F35,IF(AND($A$41&gt;F25,$A$41&lt;F29)=TRUE,F34,0))))</f>
        <v>0</v>
      </c>
      <c r="G41" s="229">
        <f>IF(G25=0,0,IF($A$41=G25,G33,IF($A$41=G29,G35,IF(AND($A$41&gt;G25,$A$41&lt;G29)=TRUE,G34,0))))</f>
        <v>0</v>
      </c>
      <c r="H41" s="313"/>
      <c r="I41" s="230">
        <f t="shared" si="0"/>
        <v>0</v>
      </c>
    </row>
    <row r="42" spans="1:9" ht="15.75" customHeight="1">
      <c r="A42" s="325">
        <f>+DATE(B42,6,30)</f>
        <v>45107</v>
      </c>
      <c r="B42" s="312">
        <f>+B43-1</f>
        <v>2023</v>
      </c>
      <c r="C42" s="229">
        <f>IF(C25=0,0,IF($A$42=C25,C33,IF($A$42=C29,C35,IF(AND($A$42&gt;C25,$A$42&lt;C29)=TRUE,C34,0))))</f>
        <v>0</v>
      </c>
      <c r="D42" s="229">
        <f>IF(D25=0,0,IF($A$42=D25,D33,IF($A$42=D29,D35,IF(AND($A$42&gt;D25,$A$42&lt;D29)=TRUE,D34,0))))</f>
        <v>0</v>
      </c>
      <c r="E42" s="229">
        <f>IF(E25=0,0,IF($A$42=E25,E33,IF($A$42=E29,E35,IF(AND($A$42&gt;E25,$A$42&lt;E29)=TRUE,E34,0))))</f>
        <v>0</v>
      </c>
      <c r="F42" s="229">
        <f>IF(F25=0,0,IF($A$42=F25,F33,IF($A$42=F29,F35,IF(AND($A$42&gt;F25,$A$42&lt;F29)=TRUE,F34,0))))</f>
        <v>0</v>
      </c>
      <c r="G42" s="229">
        <f>IF(G25=0,0,IF($A$42=G25,G33,IF($A$42=G29,G35,IF(AND($A$42&gt;G25,$A$42&lt;G29)=TRUE,G34,0))))</f>
        <v>0</v>
      </c>
      <c r="H42" s="313"/>
      <c r="I42" s="230">
        <f t="shared" si="0"/>
        <v>0</v>
      </c>
    </row>
    <row r="43" spans="1:9" s="1479" customFormat="1" ht="15.75" customHeight="1">
      <c r="A43" s="3363">
        <f>DATE(YEAR(I9),6,30)</f>
        <v>45473</v>
      </c>
      <c r="B43" s="3364">
        <f>+YEAR(A43)</f>
        <v>2024</v>
      </c>
      <c r="C43" s="3365">
        <f>IF(C25=0,0,IF($A$43=C25,C33,IF($A$43=C29,C35,IF(AND($A$43&gt;C25,$A$43&lt;C29)=TRUE,C34,0))))</f>
        <v>0</v>
      </c>
      <c r="D43" s="3365">
        <f>IF(D25=0,0,IF($A$43=D25,D33,IF($A$43=D29,D35,IF(AND($A$43&gt;D25,$A$43&lt;D29)=TRUE,D34,0))))</f>
        <v>0</v>
      </c>
      <c r="E43" s="3365">
        <f>IF(E25=0,0,IF($A$43=E25,E33,IF($A$43=E29,E35,IF(AND($A$43&gt;E25,$A$43&lt;E29)=TRUE,E34,0))))</f>
        <v>0</v>
      </c>
      <c r="F43" s="3365">
        <f>IF(F25=0,0,IF($A$43=F25,F33,IF($A$43=F29,F35,IF(AND($A$43&gt;F25,$A$43&lt;F29)=TRUE,F34,0))))</f>
        <v>0</v>
      </c>
      <c r="G43" s="3365">
        <f>IF(G25=0,0,IF($A$43=G25,G33,IF($A$43=G29,G35,IF(AND($A$43&gt;G25,$A$43&lt;G29)=TRUE,G34,0))))</f>
        <v>0</v>
      </c>
      <c r="H43" s="3366"/>
      <c r="I43" s="3367">
        <f t="shared" si="0"/>
        <v>0</v>
      </c>
    </row>
    <row r="44" spans="1:9" ht="15.75" customHeight="1">
      <c r="A44" s="325">
        <f t="shared" ref="A44:A49" si="1">+DATE(B44,6,30)</f>
        <v>45838</v>
      </c>
      <c r="B44" s="312">
        <f t="shared" ref="B44:B49" si="2">+B43+1</f>
        <v>2025</v>
      </c>
      <c r="C44" s="229">
        <f>IF(C25=0,0,IF($A$44=C25,C33,IF($A$44=C29,C35,IF(AND($A$44&gt;C25,$A$44&lt;C29)=TRUE,C34,0))))</f>
        <v>0</v>
      </c>
      <c r="D44" s="229">
        <f>IF(D25=0,0,IF($A$44=D25,D33,IF($A$44=D29,D35,IF(AND($A$44&gt;D25,$A$44&lt;D29)=TRUE,D34,0))))</f>
        <v>0</v>
      </c>
      <c r="E44" s="229">
        <f>IF(E25=0,0,IF($A$44=E25,E33,IF($A$44=E29,E35,IF(AND($A$44&gt;E25,$A$44&lt;E29)=TRUE,E34,0))))</f>
        <v>0</v>
      </c>
      <c r="F44" s="229">
        <f>IF(F25=0,0,IF($A$44=F25,F33,IF($A$44=F29,F35,IF(AND($A$44&gt;F25,$A$44&lt;F29)=TRUE,F34,0))))</f>
        <v>0</v>
      </c>
      <c r="G44" s="229">
        <f>IF(G25=0,0,IF($A$44=G25,G33,IF($A$44=G29,G35,IF(AND($A$44&gt;G25,$A$44&lt;G29)=TRUE,G34,0))))</f>
        <v>0</v>
      </c>
      <c r="H44" s="313"/>
      <c r="I44" s="230">
        <f t="shared" si="0"/>
        <v>0</v>
      </c>
    </row>
    <row r="45" spans="1:9" ht="15.75" customHeight="1">
      <c r="A45" s="325">
        <f t="shared" si="1"/>
        <v>46203</v>
      </c>
      <c r="B45" s="312">
        <f t="shared" si="2"/>
        <v>2026</v>
      </c>
      <c r="C45" s="229">
        <f>IF(C25=0,0,IF($A$45=C25,C33,IF($A$45=C29,C35,IF(AND($A$45&gt;C25,$A$45&lt;C29)=TRUE,C34,0))))</f>
        <v>0</v>
      </c>
      <c r="D45" s="229">
        <f>IF(D25=0,0,IF($A$45=D25,D33,IF($A$45=D29,D35,IF(AND($A$45&gt;D25,$A$45&lt;D29)=TRUE,D34,0))))</f>
        <v>0</v>
      </c>
      <c r="E45" s="229">
        <f>IF(E25=0,0,IF($A$45=E25,E33,IF($A$45=E29,E35,IF(AND($A$45&gt;E25,$A$45&lt;E29)=TRUE,E34,0))))</f>
        <v>0</v>
      </c>
      <c r="F45" s="229">
        <f>IF(F25=0,0,IF($A$45=F25,F33,IF($A$45=F29,F35,IF(AND($A$45&gt;F25,$A$45&lt;F29)=TRUE,F34,0))))</f>
        <v>0</v>
      </c>
      <c r="G45" s="229">
        <f>IF(G25=0,0,IF($A$45=G25,G33,IF($A$45=G29,G35,IF(AND($A$45&gt;G25,$A$45&lt;G29)=TRUE,G34,0))))</f>
        <v>0</v>
      </c>
      <c r="H45" s="313"/>
      <c r="I45" s="230">
        <f t="shared" si="0"/>
        <v>0</v>
      </c>
    </row>
    <row r="46" spans="1:9" ht="15.75" customHeight="1">
      <c r="A46" s="325">
        <f t="shared" si="1"/>
        <v>46568</v>
      </c>
      <c r="B46" s="312">
        <f t="shared" si="2"/>
        <v>2027</v>
      </c>
      <c r="C46" s="229">
        <f>IF(C25=0,0,IF($A$46=C25,C33,IF($A$46=C29,C35,IF(AND($A$46&gt;C25,$A$46&lt;C29)=TRUE,C34,0))))</f>
        <v>0</v>
      </c>
      <c r="D46" s="229">
        <f>IF(D25=0,0,IF($A$46=D25,D33,IF($A$46=D29,D35,IF(AND($A$46&gt;D25,$A$46&lt;D29)=TRUE,D34,0))))</f>
        <v>0</v>
      </c>
      <c r="E46" s="229">
        <f>IF(E25=0,0,IF($A$46=E25,E33,IF($A$46=E29,E35,IF(AND($A$46&gt;E25,$A$46&lt;E29)=TRUE,E34,0))))</f>
        <v>0</v>
      </c>
      <c r="F46" s="229">
        <f>IF(F25=0,0,IF($A$46=F25,F33,IF($A$46=F29,F35,IF(AND($A$46&gt;F25,$A$46&lt;F29)=TRUE,F34,0))))</f>
        <v>0</v>
      </c>
      <c r="G46" s="229">
        <f>IF(G25=0,0,IF($A$46=G25,G33,IF($A$46=G29,G35,IF(AND($A$46&gt;G25,$A$46&lt;G29)=TRUE,G34,0))))</f>
        <v>0</v>
      </c>
      <c r="H46" s="313"/>
      <c r="I46" s="230">
        <f t="shared" si="0"/>
        <v>0</v>
      </c>
    </row>
    <row r="47" spans="1:9" ht="15.75" customHeight="1">
      <c r="A47" s="325">
        <f t="shared" si="1"/>
        <v>46934</v>
      </c>
      <c r="B47" s="312">
        <f t="shared" si="2"/>
        <v>2028</v>
      </c>
      <c r="C47" s="229">
        <f>IF(C25=0,0,IF($A$47=C25,C33,IF($A$47=C29,C35,IF(AND($A$47&gt;C25,$A$47&lt;C29)=TRUE,C34,0))))</f>
        <v>0</v>
      </c>
      <c r="D47" s="229">
        <f>IF(D25=0,0,IF($A$47=D25,D33,IF($A$47=D29,D35,IF(AND($A$47&gt;D25,$A$47&lt;D29)=TRUE,D34,0))))</f>
        <v>0</v>
      </c>
      <c r="E47" s="229">
        <f>IF(E25=0,0,IF($A$47=E25,E33,IF($A$47=E29,E35,IF(AND($A$47&gt;E25,$A$47&lt;E29)=TRUE,E34,0))))</f>
        <v>0</v>
      </c>
      <c r="F47" s="229">
        <f>IF(F25=0,0,IF($A$47=F25,F33,IF($A$47=F29,F35,IF(AND($A$47&gt;F25,$A$47&lt;F29)=TRUE,F34,0))))</f>
        <v>0</v>
      </c>
      <c r="G47" s="229">
        <f>IF(G25=0,0,IF($A$47=G25,G33,IF($A$47=G29,G35,IF(AND($A$47&gt;G25,$A$47&lt;G29)=TRUE,G34,0))))</f>
        <v>0</v>
      </c>
      <c r="H47" s="313"/>
      <c r="I47" s="230">
        <f t="shared" si="0"/>
        <v>0</v>
      </c>
    </row>
    <row r="48" spans="1:9" ht="15.75" customHeight="1">
      <c r="A48" s="325">
        <f t="shared" si="1"/>
        <v>47299</v>
      </c>
      <c r="B48" s="312">
        <f t="shared" si="2"/>
        <v>2029</v>
      </c>
      <c r="C48" s="229">
        <f>IF(C25=0,0,IF($A$48=C25,C33,IF($A$48=C29,C35,IF(AND($A$48&gt;C25,$A$48&lt;C29)=TRUE,C34,0))))</f>
        <v>0</v>
      </c>
      <c r="D48" s="229">
        <f>IF(D25=0,0,IF($A$48=D25,D33,IF($A$48=D29,D35,IF(AND($A$48&gt;D25,$A$48&lt;D29)=TRUE,D34,0))))</f>
        <v>0</v>
      </c>
      <c r="E48" s="229">
        <f>IF(E25=0,0,IF($A$48=E25,E33,IF($A$48=E29,E35,IF(AND($A$48&gt;E25,$A$48&lt;E29)=TRUE,E34,0))))</f>
        <v>0</v>
      </c>
      <c r="F48" s="229">
        <f>IF(F25=0,0,IF($A$48=F25,F33,IF($A$48=F29,F35,IF(AND($A$48&gt;F25,$A$48&lt;F29)=TRUE,F34,0))))</f>
        <v>0</v>
      </c>
      <c r="G48" s="229">
        <f>IF(G25=0,0,IF($A$48=G25,G33,IF($A$48=G29,G35,IF(AND($A$48&gt;G25,$A$48&lt;G29)=TRUE,G34,0))))</f>
        <v>0</v>
      </c>
      <c r="H48" s="313"/>
      <c r="I48" s="230">
        <f t="shared" si="0"/>
        <v>0</v>
      </c>
    </row>
    <row r="49" spans="1:9" ht="15.75" customHeight="1">
      <c r="A49" s="325">
        <f t="shared" si="1"/>
        <v>47664</v>
      </c>
      <c r="B49" s="312">
        <f t="shared" si="2"/>
        <v>2030</v>
      </c>
      <c r="C49" s="229">
        <f>IF(C25=0,0,IF($A$49=C25,C33,IF($A$49=C29,C35,IF(AND($A$49&gt;C25,$A$49&lt;C29)=TRUE,C34,0))))</f>
        <v>0</v>
      </c>
      <c r="D49" s="229">
        <f>IF(D25=0,0,IF($A$49=D25,D33,IF($A$49=D29,D35,IF(AND($A$49&gt;D25,$A$49&lt;D29)=TRUE,D34,0))))</f>
        <v>0</v>
      </c>
      <c r="E49" s="229">
        <f>IF(E25=0,0,IF($A$49=E25,E33,IF($A$49=E29,E35,IF(AND($A$49&gt;E25,$A$49&lt;E29)=TRUE,E34,0))))</f>
        <v>0</v>
      </c>
      <c r="F49" s="229">
        <f>IF(F25=0,0,IF($A$49=F25,F33,IF($A$49=F29,F35,IF(AND($A$49&gt;F25,$A$49&lt;F29)=TRUE,F34,0))))</f>
        <v>0</v>
      </c>
      <c r="G49" s="229">
        <f>IF(G25=0,0,IF($A$49=G25,G33,IF($A$49=G29,G35,IF(AND($A$49&gt;G25,$A$49&lt;G29)=TRUE,G34,0))))</f>
        <v>0</v>
      </c>
      <c r="H49" s="313"/>
      <c r="I49" s="230">
        <f t="shared" si="0"/>
        <v>0</v>
      </c>
    </row>
    <row r="50" spans="1:9" ht="15.75" customHeight="1">
      <c r="A50" s="16"/>
      <c r="B50" s="8"/>
      <c r="C50" s="315">
        <f>SUM(C38:C49)</f>
        <v>0</v>
      </c>
      <c r="D50" s="315">
        <f>SUM(D38:D49)</f>
        <v>0</v>
      </c>
      <c r="E50" s="315">
        <f>SUM(E38:E49)</f>
        <v>0</v>
      </c>
      <c r="F50" s="324">
        <f>SUM(F38:F49)</f>
        <v>0</v>
      </c>
      <c r="G50" s="324">
        <f>SUM(G38:G49)</f>
        <v>0</v>
      </c>
      <c r="H50" s="313"/>
      <c r="I50" s="324">
        <f t="shared" si="0"/>
        <v>0</v>
      </c>
    </row>
    <row r="51" spans="1:9">
      <c r="C51" s="314"/>
      <c r="D51" s="314"/>
      <c r="E51" s="314"/>
      <c r="F51" s="314"/>
      <c r="G51" s="314"/>
      <c r="H51" s="314"/>
      <c r="I51" s="314"/>
    </row>
    <row r="52" spans="1:9">
      <c r="F52" s="1"/>
      <c r="G52" s="1"/>
      <c r="H52" s="1"/>
      <c r="I52" s="1"/>
    </row>
    <row r="53" spans="1:9">
      <c r="A53" s="78" t="s">
        <v>1296</v>
      </c>
      <c r="B53" s="78"/>
      <c r="C53" s="78"/>
      <c r="D53" s="191">
        <f>+A42+1</f>
        <v>45108</v>
      </c>
      <c r="E53" s="345">
        <f>+SUM(I43:I49)-E55</f>
        <v>0</v>
      </c>
      <c r="F53" s="1"/>
      <c r="G53" s="1"/>
      <c r="H53" s="1"/>
      <c r="I53" s="1"/>
    </row>
    <row r="54" spans="1:9">
      <c r="A54" s="3"/>
      <c r="B54" s="3"/>
      <c r="C54" s="3"/>
      <c r="D54" s="3"/>
      <c r="E54" s="315"/>
      <c r="F54" s="1"/>
      <c r="G54" s="1"/>
      <c r="H54" s="1"/>
      <c r="I54" s="1"/>
    </row>
    <row r="55" spans="1:9">
      <c r="A55" s="1" t="s">
        <v>330</v>
      </c>
      <c r="B55" s="311"/>
      <c r="C55" s="311"/>
      <c r="D55" s="311"/>
      <c r="E55" s="346">
        <f>SUMIF(C36:H36,TRUE,C17:H17)</f>
        <v>0</v>
      </c>
      <c r="F55" s="1"/>
      <c r="G55" s="1"/>
      <c r="H55" s="1"/>
      <c r="I55" s="1"/>
    </row>
    <row r="56" spans="1:9">
      <c r="B56" s="311"/>
      <c r="C56" s="311"/>
      <c r="D56" s="311"/>
      <c r="E56" s="346"/>
      <c r="F56" s="1"/>
      <c r="G56" s="1"/>
      <c r="H56" s="1"/>
      <c r="I56" s="1"/>
    </row>
    <row r="57" spans="1:9">
      <c r="A57" s="1" t="s">
        <v>1436</v>
      </c>
      <c r="B57" s="311"/>
      <c r="C57" s="316"/>
      <c r="D57" s="316"/>
      <c r="E57" s="1765">
        <f>-I43</f>
        <v>0</v>
      </c>
      <c r="F57" s="1"/>
      <c r="G57" s="1"/>
      <c r="H57" s="1"/>
      <c r="I57" s="1"/>
    </row>
    <row r="58" spans="1:9">
      <c r="A58" s="3"/>
      <c r="B58" s="3"/>
      <c r="C58" s="3"/>
      <c r="D58" s="3"/>
      <c r="E58" s="315"/>
      <c r="F58" s="1"/>
      <c r="G58" s="1"/>
      <c r="H58" s="1"/>
      <c r="I58" s="1"/>
    </row>
    <row r="59" spans="1:9">
      <c r="A59" s="78" t="s">
        <v>1103</v>
      </c>
      <c r="B59" s="78"/>
      <c r="C59" s="78"/>
      <c r="D59" s="191">
        <f>+A43</f>
        <v>45473</v>
      </c>
      <c r="E59" s="347">
        <f>SUM(E53:E58)</f>
        <v>0</v>
      </c>
      <c r="F59" s="1"/>
      <c r="G59" s="1"/>
      <c r="H59" s="1"/>
      <c r="I59" s="1"/>
    </row>
    <row r="61" spans="1:9">
      <c r="A61" s="3" t="s">
        <v>172</v>
      </c>
    </row>
    <row r="62" spans="1:9" ht="52.5" customHeight="1">
      <c r="A62" s="3899"/>
      <c r="B62" s="3900"/>
      <c r="C62" s="3900"/>
      <c r="D62" s="3900"/>
      <c r="E62" s="3900"/>
      <c r="F62" s="3900"/>
      <c r="G62" s="3900"/>
      <c r="H62" s="3900"/>
      <c r="I62" s="3901"/>
    </row>
    <row r="64" spans="1:9">
      <c r="A64" s="3" t="s">
        <v>2541</v>
      </c>
    </row>
  </sheetData>
  <customSheetViews>
    <customSheetView guid="{BCBE45D4-3C45-4659-992E-5C5D3E9FD81C}" fitToPage="1" hiddenRows="1" hiddenColumns="1">
      <selection activeCell="Q49" sqref="Q49"/>
      <pageMargins left="0.59055118110236227" right="0.43307086614173229" top="0.6692913385826772" bottom="0.94488188976377963" header="0.51181102362204722" footer="0.39370078740157483"/>
      <printOptions horizontalCentered="1"/>
      <pageSetup paperSize="9" scale="68"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Rows="1" hiddenColumns="1">
      <selection activeCell="P37" sqref="P37"/>
      <pageMargins left="0.59055118110236227" right="0.43307086614173229" top="0.6692913385826772" bottom="0.94488188976377963" header="0.51181102362204722" footer="0.39370078740157483"/>
      <printOptions horizontalCentered="1"/>
      <pageSetup paperSize="9" scale="68"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6:I6"/>
    <mergeCell ref="A62:I62"/>
    <mergeCell ref="G7:I7"/>
  </mergeCells>
  <phoneticPr fontId="26" type="noConversion"/>
  <conditionalFormatting sqref="J152">
    <cfRule type="expression" dxfId="33" priority="1" stopIfTrue="1">
      <formula>SUM($152:$152)=0</formula>
    </cfRule>
  </conditionalFormatting>
  <hyperlinks>
    <hyperlink ref="A8" location="ClientName" display="ClientName" xr:uid="{00000000-0004-0000-1900-000002000000}"/>
    <hyperlink ref="G7" location="WP_Borrowing_Costs" display="Back to Workpaper Index" xr:uid="{3C4BFDB0-3BB5-4EDF-94CC-1434971D989D}"/>
    <hyperlink ref="G7:I7" location="WPIndex!A1" display="Back to WP Index" xr:uid="{D2A537D4-8367-4AB6-88D5-28DF5C11A3BA}"/>
  </hyperlinks>
  <printOptions horizontalCentered="1"/>
  <pageMargins left="0.59055118110236227" right="0.43307086614173229" top="0.6692913385826772" bottom="0.94488188976377963" header="0.51181102362204722" footer="0.39370078740157483"/>
  <pageSetup paperSize="9" scale="61" fitToHeight="999" orientation="portrait" blackAndWhite="1"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16740" r:id="rId6" name="Button 4">
              <controlPr defaultSize="0" print="0" autoFill="0" autoPict="0" macro="[0]!Insert_New_Blackhole_Expense_Column">
                <anchor moveWithCells="1">
                  <from>
                    <xdr:col>12</xdr:col>
                    <xdr:colOff>0</xdr:colOff>
                    <xdr:row>6</xdr:row>
                    <xdr:rowOff>76200</xdr:rowOff>
                  </from>
                  <to>
                    <xdr:col>13</xdr:col>
                    <xdr:colOff>228600</xdr:colOff>
                    <xdr:row>9</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Low_Value_Pool_Sheet">
    <tabColor theme="8" tint="0.79998168889431442"/>
  </sheetPr>
  <dimension ref="A1:I44"/>
  <sheetViews>
    <sheetView zoomScaleNormal="100" workbookViewId="0">
      <selection sqref="A1:F1"/>
    </sheetView>
  </sheetViews>
  <sheetFormatPr defaultColWidth="9.140625" defaultRowHeight="12.75"/>
  <cols>
    <col min="1" max="1" width="14.42578125" style="1" customWidth="1"/>
    <col min="2" max="2" width="13.28515625" style="1" customWidth="1"/>
    <col min="3" max="3" width="12.28515625" style="1" customWidth="1"/>
    <col min="4" max="4" width="13.140625" style="1" customWidth="1"/>
    <col min="5" max="5" width="6.7109375" style="1" customWidth="1"/>
    <col min="6" max="6" width="9.7109375" style="1" customWidth="1"/>
    <col min="7" max="7" width="12.85546875" style="1" bestFit="1" customWidth="1"/>
    <col min="8" max="8" width="13.140625" style="1" customWidth="1"/>
    <col min="9" max="9" width="8.28515625" style="1" hidden="1" customWidth="1"/>
    <col min="10" max="16384" width="9.140625" style="1"/>
  </cols>
  <sheetData>
    <row r="1" spans="1:9">
      <c r="G1" s="2613" t="s">
        <v>2425</v>
      </c>
      <c r="H1" s="3576" t="s">
        <v>2758</v>
      </c>
    </row>
    <row r="2" spans="1:9" ht="15.75">
      <c r="A2" s="740"/>
      <c r="B2" s="740"/>
      <c r="C2" s="40"/>
      <c r="D2" s="40"/>
      <c r="E2" s="40"/>
      <c r="F2" s="40"/>
      <c r="G2" s="71" t="s">
        <v>2426</v>
      </c>
      <c r="H2" s="2621"/>
    </row>
    <row r="3" spans="1:9" ht="15.75">
      <c r="A3" s="740"/>
      <c r="B3" s="740"/>
      <c r="C3" s="40"/>
      <c r="D3" s="40"/>
      <c r="E3" s="40"/>
      <c r="F3" s="40"/>
      <c r="G3" s="40"/>
    </row>
    <row r="4" spans="1:9" s="32" customFormat="1">
      <c r="A4" s="206"/>
      <c r="F4" s="11"/>
      <c r="G4" s="11" t="s">
        <v>1163</v>
      </c>
      <c r="H4" s="709" t="s">
        <v>1262</v>
      </c>
    </row>
    <row r="5" spans="1:9" s="32" customFormat="1" ht="17.25" customHeight="1">
      <c r="A5" s="206"/>
      <c r="F5" s="71" t="s">
        <v>332</v>
      </c>
      <c r="G5" s="2617" t="str">
        <f>IF(PreparedBy="","",PreparedBy)</f>
        <v/>
      </c>
      <c r="H5" s="2618" t="str">
        <f>IF(DatePrepared="","",DatePrepared)</f>
        <v/>
      </c>
    </row>
    <row r="6" spans="1:9" s="32" customFormat="1" ht="17.25" customHeight="1">
      <c r="A6" s="206"/>
      <c r="F6" s="71" t="s">
        <v>333</v>
      </c>
      <c r="G6" s="2619"/>
      <c r="H6" s="2620"/>
    </row>
    <row r="7" spans="1:9" s="32" customFormat="1" ht="3.95" customHeight="1">
      <c r="A7" s="206"/>
      <c r="B7" s="43"/>
      <c r="C7" s="43"/>
      <c r="D7" s="43"/>
      <c r="E7" s="43"/>
    </row>
    <row r="8" spans="1:9" ht="15.75">
      <c r="A8" s="3704" t="str">
        <f>WP_Low_Value_Pool</f>
        <v>Low Value Pool</v>
      </c>
      <c r="B8" s="3705"/>
      <c r="C8" s="3705"/>
      <c r="D8" s="3705"/>
      <c r="E8" s="3705"/>
      <c r="F8" s="3705"/>
      <c r="G8" s="3705"/>
      <c r="H8" s="3706"/>
    </row>
    <row r="9" spans="1:9">
      <c r="A9" s="52"/>
      <c r="B9" s="52"/>
      <c r="C9" s="52"/>
      <c r="D9" s="52"/>
      <c r="E9" s="52"/>
      <c r="F9" s="52"/>
      <c r="G9" s="3832" t="s">
        <v>2526</v>
      </c>
      <c r="H9" s="3832"/>
    </row>
    <row r="10" spans="1:9" ht="15.75">
      <c r="A10" s="1167" t="str">
        <f>"CLIENT NAME:   "&amp;IF(ClientName="[ENTER CLIENT NAME]","",ClientName)</f>
        <v>CLIENT NAME:   Example Trust</v>
      </c>
      <c r="B10" s="52"/>
      <c r="C10" s="52"/>
      <c r="D10" s="52"/>
      <c r="E10" s="52"/>
      <c r="F10" s="52"/>
    </row>
    <row r="11" spans="1:9">
      <c r="A11" s="9" t="str">
        <f>"CLIENT CODE:   "&amp;'WP Index'!E4</f>
        <v>CLIENT CODE:   99999</v>
      </c>
      <c r="B11" s="52"/>
      <c r="C11" s="52"/>
      <c r="D11" s="52"/>
      <c r="E11" s="52"/>
      <c r="F11" s="52"/>
      <c r="G11" s="47" t="s">
        <v>951</v>
      </c>
      <c r="H11" s="47">
        <f>'WP Index'!G5</f>
        <v>45473</v>
      </c>
    </row>
    <row r="12" spans="1:9">
      <c r="A12" s="9"/>
      <c r="B12" s="52"/>
      <c r="C12" s="52"/>
      <c r="D12" s="52"/>
      <c r="E12" s="52"/>
      <c r="F12" s="52"/>
      <c r="G12" s="47"/>
      <c r="H12" s="47"/>
    </row>
    <row r="13" spans="1:9">
      <c r="D13" s="14"/>
      <c r="F13" s="10"/>
      <c r="H13" s="159" t="s">
        <v>1115</v>
      </c>
      <c r="I13" s="6" t="s">
        <v>1286</v>
      </c>
    </row>
    <row r="14" spans="1:9">
      <c r="A14" s="1" t="s">
        <v>1120</v>
      </c>
      <c r="D14" s="2052"/>
      <c r="F14" s="53" t="s">
        <v>1048</v>
      </c>
      <c r="H14" s="332">
        <f>D14*0.375</f>
        <v>0</v>
      </c>
    </row>
    <row r="15" spans="1:9">
      <c r="D15" s="332"/>
      <c r="F15" s="10"/>
      <c r="H15" s="332"/>
    </row>
    <row r="16" spans="1:9">
      <c r="A16" s="1" t="s">
        <v>1283</v>
      </c>
      <c r="D16" s="2755"/>
      <c r="H16" s="314"/>
    </row>
    <row r="17" spans="1:8">
      <c r="D17" s="670">
        <f>SUM(D16:D16)</f>
        <v>0</v>
      </c>
      <c r="F17" s="53" t="s">
        <v>1048</v>
      </c>
      <c r="H17" s="332">
        <f>D17*0.375</f>
        <v>0</v>
      </c>
    </row>
    <row r="18" spans="1:8">
      <c r="D18" s="331"/>
      <c r="F18" s="53"/>
      <c r="H18" s="332"/>
    </row>
    <row r="19" spans="1:8">
      <c r="A19" s="1" t="s">
        <v>1121</v>
      </c>
      <c r="D19" s="332">
        <f>D40</f>
        <v>0</v>
      </c>
      <c r="F19" s="53" t="s">
        <v>1049</v>
      </c>
      <c r="H19" s="332">
        <f>D19*0.1875</f>
        <v>0</v>
      </c>
    </row>
    <row r="20" spans="1:8">
      <c r="D20" s="332"/>
      <c r="F20" s="10"/>
      <c r="H20" s="162"/>
    </row>
    <row r="21" spans="1:8">
      <c r="A21" s="1" t="s">
        <v>1122</v>
      </c>
      <c r="D21" s="332">
        <f>SUM(H14:H19)*-1</f>
        <v>0</v>
      </c>
      <c r="F21" s="10"/>
      <c r="H21" s="162"/>
    </row>
    <row r="22" spans="1:8">
      <c r="D22" s="332"/>
      <c r="F22" s="10"/>
      <c r="H22" s="162"/>
    </row>
    <row r="23" spans="1:8">
      <c r="A23" s="1" t="s">
        <v>1123</v>
      </c>
      <c r="D23" s="332">
        <f>H40</f>
        <v>0</v>
      </c>
      <c r="F23" s="10"/>
      <c r="H23" s="162"/>
    </row>
    <row r="24" spans="1:8">
      <c r="D24" s="332"/>
      <c r="F24" s="10"/>
      <c r="H24" s="162"/>
    </row>
    <row r="25" spans="1:8" ht="13.5" thickBot="1">
      <c r="A25" s="1" t="s">
        <v>1124</v>
      </c>
      <c r="D25" s="344">
        <f>D14+D17+D19+D21+D23</f>
        <v>0</v>
      </c>
      <c r="F25" s="10"/>
      <c r="H25" s="162"/>
    </row>
    <row r="26" spans="1:8" ht="13.5" thickTop="1"/>
    <row r="27" spans="1:8">
      <c r="A27" s="15" t="s">
        <v>1125</v>
      </c>
      <c r="B27" s="16"/>
      <c r="C27" s="16"/>
      <c r="D27" s="30"/>
      <c r="E27" s="15" t="s">
        <v>1126</v>
      </c>
      <c r="F27" s="16"/>
      <c r="G27" s="16"/>
      <c r="H27" s="30"/>
    </row>
    <row r="28" spans="1:8">
      <c r="A28" s="165"/>
      <c r="B28" s="8"/>
      <c r="C28" s="8"/>
      <c r="D28" s="28"/>
      <c r="E28" s="165"/>
      <c r="F28" s="8"/>
      <c r="G28" s="8"/>
      <c r="H28" s="28"/>
    </row>
    <row r="29" spans="1:8">
      <c r="A29" s="3902" t="s">
        <v>1127</v>
      </c>
      <c r="B29" s="3903"/>
      <c r="C29" s="11" t="s">
        <v>1262</v>
      </c>
      <c r="D29" s="48" t="s">
        <v>1128</v>
      </c>
      <c r="E29" s="3902" t="s">
        <v>1127</v>
      </c>
      <c r="F29" s="3903"/>
      <c r="G29" s="11" t="s">
        <v>1262</v>
      </c>
      <c r="H29" s="48" t="s">
        <v>1128</v>
      </c>
    </row>
    <row r="30" spans="1:8">
      <c r="A30" s="3904"/>
      <c r="B30" s="3904"/>
      <c r="C30" s="2756"/>
      <c r="D30" s="2757"/>
      <c r="E30" s="3904"/>
      <c r="F30" s="3904"/>
      <c r="G30" s="2756"/>
      <c r="H30" s="2757"/>
    </row>
    <row r="31" spans="1:8">
      <c r="A31" s="3905"/>
      <c r="B31" s="3905"/>
      <c r="C31" s="2758"/>
      <c r="D31" s="2759"/>
      <c r="E31" s="3905"/>
      <c r="F31" s="3905"/>
      <c r="G31" s="2758"/>
      <c r="H31" s="2759"/>
    </row>
    <row r="32" spans="1:8">
      <c r="A32" s="3905"/>
      <c r="B32" s="3905"/>
      <c r="C32" s="2758"/>
      <c r="D32" s="2759"/>
      <c r="E32" s="3905"/>
      <c r="F32" s="3905"/>
      <c r="G32" s="2758"/>
      <c r="H32" s="2759"/>
    </row>
    <row r="33" spans="1:8">
      <c r="A33" s="3905"/>
      <c r="B33" s="3905"/>
      <c r="C33" s="2758"/>
      <c r="D33" s="2759"/>
      <c r="E33" s="3905"/>
      <c r="F33" s="3905"/>
      <c r="G33" s="2758"/>
      <c r="H33" s="2759"/>
    </row>
    <row r="34" spans="1:8">
      <c r="A34" s="3905"/>
      <c r="B34" s="3905"/>
      <c r="C34" s="2758"/>
      <c r="D34" s="2759"/>
      <c r="E34" s="3905"/>
      <c r="F34" s="3905"/>
      <c r="G34" s="2758"/>
      <c r="H34" s="2759"/>
    </row>
    <row r="35" spans="1:8">
      <c r="A35" s="3905"/>
      <c r="B35" s="3905"/>
      <c r="C35" s="2758"/>
      <c r="D35" s="2759"/>
      <c r="E35" s="3905"/>
      <c r="F35" s="3905"/>
      <c r="G35" s="2758"/>
      <c r="H35" s="2759"/>
    </row>
    <row r="36" spans="1:8">
      <c r="A36" s="3905"/>
      <c r="B36" s="3905"/>
      <c r="C36" s="2758"/>
      <c r="D36" s="2759"/>
      <c r="E36" s="3905"/>
      <c r="F36" s="3905"/>
      <c r="G36" s="2758"/>
      <c r="H36" s="2759"/>
    </row>
    <row r="37" spans="1:8">
      <c r="A37" s="3905"/>
      <c r="B37" s="3905"/>
      <c r="C37" s="2758"/>
      <c r="D37" s="2759"/>
      <c r="E37" s="3905"/>
      <c r="F37" s="3905"/>
      <c r="G37" s="2758"/>
      <c r="H37" s="2759"/>
    </row>
    <row r="38" spans="1:8">
      <c r="A38" s="3905"/>
      <c r="B38" s="3905"/>
      <c r="C38" s="2758"/>
      <c r="D38" s="2759"/>
      <c r="E38" s="3905"/>
      <c r="F38" s="3905"/>
      <c r="G38" s="2758"/>
      <c r="H38" s="2759"/>
    </row>
    <row r="39" spans="1:8">
      <c r="A39" s="3908"/>
      <c r="B39" s="3908"/>
      <c r="C39" s="2760"/>
      <c r="D39" s="2761"/>
      <c r="E39" s="3908"/>
      <c r="F39" s="3908"/>
      <c r="G39" s="2760"/>
      <c r="H39" s="2761"/>
    </row>
    <row r="40" spans="1:8" ht="13.5" thickBot="1">
      <c r="A40" s="3906" t="s">
        <v>1129</v>
      </c>
      <c r="B40" s="3907"/>
      <c r="C40" s="57"/>
      <c r="D40" s="348">
        <f>SUM(D30:D39)</f>
        <v>0</v>
      </c>
      <c r="E40" s="3906" t="s">
        <v>1129</v>
      </c>
      <c r="F40" s="3907"/>
      <c r="G40" s="57"/>
      <c r="H40" s="348">
        <f>SUM(H30:H39)*-1</f>
        <v>0</v>
      </c>
    </row>
    <row r="41" spans="1:8" ht="13.5" thickTop="1">
      <c r="A41" s="21"/>
      <c r="B41" s="7"/>
      <c r="C41" s="7"/>
      <c r="D41" s="31"/>
      <c r="E41" s="21"/>
      <c r="F41" s="7"/>
      <c r="G41" s="7"/>
      <c r="H41" s="31"/>
    </row>
    <row r="43" spans="1:8">
      <c r="A43" s="3" t="s">
        <v>172</v>
      </c>
    </row>
    <row r="44" spans="1:8" ht="60.75" customHeight="1">
      <c r="A44" s="3742"/>
      <c r="B44" s="3743"/>
      <c r="C44" s="3743"/>
      <c r="D44" s="3743"/>
      <c r="E44" s="3743"/>
      <c r="F44" s="3743"/>
      <c r="G44" s="3743"/>
      <c r="H44" s="3744"/>
    </row>
  </sheetData>
  <customSheetViews>
    <customSheetView guid="{BCBE45D4-3C45-4659-992E-5C5D3E9FD81C}" fitToPage="1" hiddenColumns="1" topLeftCell="A22">
      <selection activeCell="J28" sqref="J28"/>
      <pageMargins left="0.59055118110236227" right="0.43307086614173229" top="0.6692913385826772" bottom="0.94488188976377963" header="0.51181102362204722" footer="0.39370078740157483"/>
      <printOptions horizontalCentered="1"/>
      <pageSetup paperSize="9" scale="98"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J28" sqref="J28"/>
      <pageMargins left="0.59055118110236227" right="0.43307086614173229" top="0.6692913385826772" bottom="0.94488188976377963" header="0.51181102362204722" footer="0.39370078740157483"/>
      <printOptions horizontalCentered="1"/>
      <pageSetup paperSize="9" scale="98" fitToHeight="999" orientation="portrait" blackAndWhite="1" r:id="rId2"/>
      <headerFooter alignWithMargins="0">
        <oddFooter>&amp;L&amp;8Copyright Crowe Horwath (Aust) Pty Ltd 2016.  All rights reserved.
&amp;Z&amp;F[&amp;A]&amp;R&amp;8&amp;P/&amp;N</oddFooter>
      </headerFooter>
    </customSheetView>
  </customSheetViews>
  <mergeCells count="27">
    <mergeCell ref="A39:B39"/>
    <mergeCell ref="E39:F39"/>
    <mergeCell ref="A38:B38"/>
    <mergeCell ref="E32:F32"/>
    <mergeCell ref="E35:F35"/>
    <mergeCell ref="A36:B36"/>
    <mergeCell ref="E36:F36"/>
    <mergeCell ref="A33:B33"/>
    <mergeCell ref="E33:F33"/>
    <mergeCell ref="A34:B34"/>
    <mergeCell ref="E38:F38"/>
    <mergeCell ref="A44:H44"/>
    <mergeCell ref="A8:H8"/>
    <mergeCell ref="A29:B29"/>
    <mergeCell ref="E29:F29"/>
    <mergeCell ref="A30:B30"/>
    <mergeCell ref="E30:F30"/>
    <mergeCell ref="G9:H9"/>
    <mergeCell ref="A31:B31"/>
    <mergeCell ref="E31:F31"/>
    <mergeCell ref="A32:B32"/>
    <mergeCell ref="A37:B37"/>
    <mergeCell ref="E37:F37"/>
    <mergeCell ref="A35:B35"/>
    <mergeCell ref="E34:F34"/>
    <mergeCell ref="A40:B40"/>
    <mergeCell ref="E40:F40"/>
  </mergeCells>
  <phoneticPr fontId="26" type="noConversion"/>
  <conditionalFormatting sqref="I154">
    <cfRule type="expression" dxfId="32" priority="1" stopIfTrue="1">
      <formula>SUM($154:$154)=0</formula>
    </cfRule>
  </conditionalFormatting>
  <hyperlinks>
    <hyperlink ref="G9" location="WP_Low_Value_Pool" display="Back to Workpaper Index" xr:uid="{00000000-0004-0000-1A00-000000000000}"/>
    <hyperlink ref="G9:H9" location="WPIndex!A1" display="Back to WP Index" xr:uid="{00000000-0004-0000-1A00-000001000000}"/>
    <hyperlink ref="A10" location="ClientName" display="ClientName" xr:uid="{00000000-0004-0000-1A00-000002000000}"/>
  </hyperlinks>
  <printOptions horizontalCentered="1"/>
  <pageMargins left="0.59055118110236227" right="0.43307086614173229" top="0.6692913385826772" bottom="0.94488188976377963" header="0.51181102362204722" footer="0.39370078740157483"/>
  <pageSetup paperSize="9" scale="97" fitToHeight="999" orientation="portrait" r:id="rId3"/>
  <headerFooter alignWithMargins="0">
    <oddFooter>&amp;L&amp;8© Findex (Aust) Pty Ltd.  All rights reserved.&amp;R&amp;8&amp;P/&amp;N</oddFooter>
  </headerFooter>
  <drawing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Capital_Asset_Sheet">
    <pageSetUpPr fitToPage="1"/>
  </sheetPr>
  <dimension ref="A1:X136"/>
  <sheetViews>
    <sheetView showGridLines="0" zoomScaleNormal="100" workbookViewId="0"/>
  </sheetViews>
  <sheetFormatPr defaultColWidth="9.140625" defaultRowHeight="12.75"/>
  <cols>
    <col min="1" max="1" width="27.7109375" style="979" customWidth="1"/>
    <col min="2" max="2" width="11.28515625" style="979" bestFit="1" customWidth="1"/>
    <col min="3" max="3" width="10.5703125" style="979" bestFit="1" customWidth="1"/>
    <col min="4" max="4" width="10.85546875" style="979" customWidth="1"/>
    <col min="5" max="5" width="10.7109375" style="979" bestFit="1" customWidth="1"/>
    <col min="6" max="6" width="11.85546875" style="1150" customWidth="1"/>
    <col min="7" max="7" width="12.5703125" style="979" bestFit="1" customWidth="1"/>
    <col min="8" max="8" width="11.28515625" style="1150" bestFit="1" customWidth="1"/>
    <col min="9" max="9" width="12.42578125" style="1150" bestFit="1" customWidth="1"/>
    <col min="10" max="10" width="17.42578125" style="1150" bestFit="1" customWidth="1"/>
    <col min="11" max="11" width="12.7109375" style="979" bestFit="1" customWidth="1"/>
    <col min="12" max="12" width="12" style="1392" customWidth="1"/>
    <col min="13" max="15" width="11.5703125" style="1392" customWidth="1"/>
    <col min="16" max="16" width="1.42578125" style="1392" customWidth="1"/>
    <col min="17" max="19" width="8.42578125" style="1392" customWidth="1"/>
    <col min="20" max="21" width="10.7109375" style="1392" customWidth="1"/>
    <col min="22" max="22" width="15.85546875" style="979" bestFit="1" customWidth="1"/>
    <col min="23" max="23" width="8.28515625" style="979" hidden="1" customWidth="1"/>
    <col min="24" max="16384" width="9.140625" style="979"/>
  </cols>
  <sheetData>
    <row r="1" spans="1:24" ht="15.75">
      <c r="A1" s="1094"/>
      <c r="B1" s="1094"/>
      <c r="C1" s="1281"/>
      <c r="D1" s="1281"/>
      <c r="E1" s="1281"/>
      <c r="F1" s="1281"/>
      <c r="G1" s="1281"/>
      <c r="H1" s="1281"/>
      <c r="I1" s="1281"/>
      <c r="J1" s="1281"/>
      <c r="K1" s="1281"/>
      <c r="L1" s="1281"/>
      <c r="M1" s="1281"/>
      <c r="N1" s="1281"/>
      <c r="O1" s="1281"/>
      <c r="P1" s="1281"/>
      <c r="Q1" s="1281"/>
      <c r="R1" s="1281"/>
      <c r="S1" s="1281"/>
      <c r="T1" s="1281"/>
      <c r="U1" s="3289"/>
      <c r="V1" s="3290"/>
    </row>
    <row r="2" spans="1:24" s="1093" customFormat="1">
      <c r="A2" s="1094"/>
      <c r="T2" s="3287"/>
      <c r="U2" s="2542" t="s">
        <v>1163</v>
      </c>
      <c r="V2" s="3291" t="s">
        <v>1262</v>
      </c>
    </row>
    <row r="3" spans="1:24" s="1093" customFormat="1" ht="17.25" customHeight="1">
      <c r="A3" s="1094"/>
      <c r="T3" s="1149" t="s">
        <v>332</v>
      </c>
      <c r="U3" s="3292" t="s">
        <v>208</v>
      </c>
      <c r="V3" s="3293" t="s">
        <v>208</v>
      </c>
    </row>
    <row r="4" spans="1:24" s="1093" customFormat="1" ht="17.25" customHeight="1">
      <c r="A4" s="1094"/>
      <c r="T4" s="1149" t="s">
        <v>333</v>
      </c>
      <c r="U4" s="3294"/>
      <c r="V4" s="3295"/>
    </row>
    <row r="5" spans="1:24" s="1093" customFormat="1" ht="3.95" customHeight="1">
      <c r="A5" s="1094"/>
      <c r="B5" s="1113"/>
      <c r="C5" s="1113"/>
      <c r="D5" s="1113"/>
      <c r="E5" s="1113"/>
    </row>
    <row r="6" spans="1:24" ht="15.75">
      <c r="A6" s="3704" t="s">
        <v>2534</v>
      </c>
      <c r="B6" s="3705"/>
      <c r="C6" s="3705"/>
      <c r="D6" s="3705"/>
      <c r="E6" s="3705"/>
      <c r="F6" s="3705"/>
      <c r="G6" s="3705"/>
      <c r="H6" s="3705"/>
      <c r="I6" s="3705"/>
      <c r="J6" s="3705"/>
      <c r="K6" s="3705"/>
      <c r="L6" s="3705"/>
      <c r="M6" s="3705"/>
      <c r="N6" s="3705"/>
      <c r="O6" s="3705"/>
      <c r="P6" s="3705"/>
      <c r="Q6" s="3705"/>
      <c r="R6" s="3705"/>
      <c r="S6" s="3705"/>
      <c r="T6" s="3705"/>
      <c r="U6" s="3705"/>
      <c r="V6" s="3706"/>
    </row>
    <row r="7" spans="1:24">
      <c r="L7" s="3832"/>
      <c r="M7" s="3832"/>
      <c r="N7" s="3832"/>
      <c r="O7" s="3352"/>
      <c r="P7" s="3352"/>
      <c r="Q7" s="3352"/>
      <c r="R7" s="3352"/>
      <c r="S7" s="3352"/>
      <c r="T7" s="3352"/>
      <c r="U7" s="3352"/>
      <c r="V7" s="2330" t="s">
        <v>2526</v>
      </c>
      <c r="W7" s="2330"/>
      <c r="X7" s="2330"/>
    </row>
    <row r="8" spans="1:24" ht="15.75">
      <c r="A8" s="1282" t="str">
        <f>"CLIENT NAME:   "&amp;'WP Index'!E3</f>
        <v>CLIENT NAME:   Example Trust</v>
      </c>
    </row>
    <row r="9" spans="1:24">
      <c r="A9" s="1115" t="str">
        <f>"CLIENT CODE:   "&amp;'WP Index'!E4</f>
        <v>CLIENT CODE:   99999</v>
      </c>
      <c r="L9" s="871"/>
      <c r="M9" s="871"/>
      <c r="N9" s="871"/>
      <c r="O9" s="871"/>
      <c r="P9" s="871"/>
      <c r="R9" s="871"/>
      <c r="S9" s="871"/>
      <c r="T9" s="871"/>
      <c r="U9" s="871" t="s">
        <v>951</v>
      </c>
      <c r="V9" s="871">
        <f>'WP Index'!G5</f>
        <v>45473</v>
      </c>
    </row>
    <row r="11" spans="1:24">
      <c r="A11" s="1396" t="s">
        <v>1165</v>
      </c>
      <c r="B11" s="1397"/>
      <c r="C11" s="1397"/>
      <c r="D11" s="1397"/>
      <c r="E11" s="1397"/>
      <c r="F11" s="1398"/>
      <c r="G11" s="1397"/>
      <c r="H11" s="1398"/>
      <c r="I11" s="1398"/>
      <c r="J11" s="1398"/>
      <c r="K11" s="1397"/>
      <c r="L11" s="1393"/>
      <c r="M11" s="1393"/>
      <c r="N11" s="1393"/>
      <c r="O11" s="1393"/>
      <c r="P11" s="1393"/>
      <c r="Q11" s="1393"/>
      <c r="R11" s="1393"/>
      <c r="S11" s="1393"/>
      <c r="T11" s="1393"/>
      <c r="U11" s="1393"/>
      <c r="V11" s="1399"/>
    </row>
    <row r="12" spans="1:24" s="1099" customFormat="1" ht="15.75" customHeight="1">
      <c r="A12" s="3922" t="s">
        <v>1166</v>
      </c>
      <c r="B12" s="3923"/>
      <c r="C12" s="3923"/>
      <c r="D12" s="3923"/>
      <c r="E12" s="3286"/>
      <c r="F12" s="3287" t="s">
        <v>1262</v>
      </c>
      <c r="G12" s="1400" t="s">
        <v>1168</v>
      </c>
      <c r="H12" s="3287" t="s">
        <v>1262</v>
      </c>
      <c r="I12" s="1400" t="s">
        <v>1170</v>
      </c>
      <c r="J12" s="1400"/>
      <c r="K12" s="1400" t="s">
        <v>1129</v>
      </c>
      <c r="L12" s="3287" t="s">
        <v>452</v>
      </c>
      <c r="M12" s="3287"/>
      <c r="N12" s="3287"/>
      <c r="O12" s="3287"/>
      <c r="P12" s="3287"/>
      <c r="Q12" s="3924" t="s">
        <v>248</v>
      </c>
      <c r="R12" s="3925"/>
      <c r="S12" s="3925"/>
      <c r="T12" s="3925"/>
      <c r="U12" s="3926"/>
      <c r="V12" s="1401" t="s">
        <v>1217</v>
      </c>
      <c r="W12" s="979"/>
    </row>
    <row r="13" spans="1:24" s="1099" customFormat="1">
      <c r="A13" s="1402"/>
      <c r="B13" s="1317"/>
      <c r="C13" s="1317"/>
      <c r="D13" s="1317"/>
      <c r="E13" s="1317"/>
      <c r="F13" s="3287" t="s">
        <v>1167</v>
      </c>
      <c r="G13" s="1403"/>
      <c r="H13" s="3287" t="s">
        <v>1169</v>
      </c>
      <c r="I13" s="1400" t="s">
        <v>553</v>
      </c>
      <c r="J13" s="1400"/>
      <c r="K13" s="1400" t="s">
        <v>554</v>
      </c>
      <c r="L13" s="3287" t="s">
        <v>453</v>
      </c>
      <c r="M13" s="3287"/>
      <c r="N13" s="3287"/>
      <c r="O13" s="3287"/>
      <c r="P13" s="3287"/>
      <c r="Q13" s="3287"/>
      <c r="S13" s="3287"/>
      <c r="T13" s="3287" t="s">
        <v>1663</v>
      </c>
      <c r="U13" s="3287" t="s">
        <v>1661</v>
      </c>
      <c r="V13" s="1401" t="s">
        <v>454</v>
      </c>
      <c r="W13" s="1116" t="s">
        <v>1286</v>
      </c>
    </row>
    <row r="14" spans="1:24" s="1099" customFormat="1">
      <c r="A14" s="1402"/>
      <c r="B14" s="1317"/>
      <c r="C14" s="1317"/>
      <c r="D14" s="1317"/>
      <c r="E14" s="1317"/>
      <c r="F14" s="1404"/>
      <c r="G14" s="1403"/>
      <c r="H14" s="1317"/>
      <c r="I14" s="1403"/>
      <c r="J14" s="1403"/>
      <c r="K14" s="1403"/>
      <c r="L14" s="3287" t="s">
        <v>456</v>
      </c>
      <c r="M14" s="3287" t="s">
        <v>1274</v>
      </c>
      <c r="N14" s="3287" t="s">
        <v>1648</v>
      </c>
      <c r="O14" s="3287" t="s">
        <v>1649</v>
      </c>
      <c r="P14" s="3287"/>
      <c r="Q14" s="3287" t="s">
        <v>243</v>
      </c>
      <c r="R14" s="1099" t="s">
        <v>244</v>
      </c>
      <c r="S14" s="3287" t="s">
        <v>245</v>
      </c>
      <c r="T14" s="3287" t="s">
        <v>246</v>
      </c>
      <c r="U14" s="3287" t="s">
        <v>1662</v>
      </c>
      <c r="V14" s="1401" t="s">
        <v>455</v>
      </c>
      <c r="W14" s="979"/>
    </row>
    <row r="15" spans="1:24">
      <c r="A15" s="3350" t="s">
        <v>2535</v>
      </c>
      <c r="B15" s="3310"/>
      <c r="C15" s="3310"/>
      <c r="D15" s="3310"/>
      <c r="E15" s="3311"/>
      <c r="F15" s="3312"/>
      <c r="G15" s="3313"/>
      <c r="H15" s="3312"/>
      <c r="I15" s="3314"/>
      <c r="J15" s="1405"/>
      <c r="K15" s="1406">
        <f>IF(F15="",0,IF(F15&gt;=DATE(1985,9,20),IF(I15&gt;0,I15-G15,0),"NIL (Pre-CGT)"))</f>
        <v>0</v>
      </c>
      <c r="L15" s="3315"/>
      <c r="M15" s="3316"/>
      <c r="N15" s="3316"/>
      <c r="O15" s="3317"/>
      <c r="P15" s="1425"/>
      <c r="Q15" s="3315"/>
      <c r="R15" s="3318"/>
      <c r="S15" s="3318"/>
      <c r="T15" s="3306"/>
      <c r="U15" s="3319"/>
      <c r="V15" s="1407">
        <f>IF(Q15="Y",0,IF(U15="Y",0,IF(L15="Y",IF(R15="y",IF(S15="y",IF((K15/4)&gt;=500000*T15,(K15/4)-500000*T15,0),K15/4),K15/2),IF(R15="y",IF(S15="y",IF((K15/2)&gt;=500000*T15,(K15/2)-500000*T15,0),K15/2),K15))))</f>
        <v>0</v>
      </c>
    </row>
    <row r="16" spans="1:24">
      <c r="A16" s="3310" t="s">
        <v>2536</v>
      </c>
      <c r="B16" s="3310"/>
      <c r="C16" s="3310"/>
      <c r="D16" s="3310"/>
      <c r="E16" s="3311"/>
      <c r="F16" s="3312"/>
      <c r="G16" s="3313"/>
      <c r="H16" s="3312"/>
      <c r="I16" s="3314"/>
      <c r="J16" s="1405"/>
      <c r="K16" s="1406">
        <f>IF(I16&gt;0, I16-G16,0)</f>
        <v>0</v>
      </c>
      <c r="L16" s="3315"/>
      <c r="M16" s="3316"/>
      <c r="N16" s="3316"/>
      <c r="O16" s="3317"/>
      <c r="P16" s="1425"/>
      <c r="Q16" s="3315"/>
      <c r="R16" s="3318"/>
      <c r="S16" s="3318"/>
      <c r="T16" s="3318"/>
      <c r="U16" s="3319"/>
      <c r="V16" s="1407">
        <f>IF(Q16="Y",0,IF(U16="Y",0,IF(L16="Y",IF(R16="y",IF(S16="y",IF((K16/4)&gt;=500000*T16,(K16/4)-500000*T16,0),K16/4),K16/2),IF(R16="y",IF(S16="y",IF((K16/2)&gt;=500000*T16,(K16/2)-500000*T16,0),K16/2),K16))))</f>
        <v>0</v>
      </c>
    </row>
    <row r="17" spans="1:22">
      <c r="A17" s="3310" t="s">
        <v>301</v>
      </c>
      <c r="B17" s="3310"/>
      <c r="C17" s="3310"/>
      <c r="D17" s="3310"/>
      <c r="E17" s="3311"/>
      <c r="F17" s="3312"/>
      <c r="G17" s="3313"/>
      <c r="H17" s="3312"/>
      <c r="I17" s="3314"/>
      <c r="J17" s="1405"/>
      <c r="K17" s="1406">
        <f t="shared" ref="K17:K18" si="0">IF(I17&gt;0, I17-G17,0)</f>
        <v>0</v>
      </c>
      <c r="L17" s="3315"/>
      <c r="M17" s="3316"/>
      <c r="N17" s="3316"/>
      <c r="O17" s="3317"/>
      <c r="P17" s="1425"/>
      <c r="Q17" s="3315"/>
      <c r="R17" s="3318"/>
      <c r="S17" s="3318"/>
      <c r="T17" s="3318"/>
      <c r="U17" s="3319"/>
      <c r="V17" s="1407">
        <f t="shared" ref="V17:V67" si="1">IF(Q17="Y",0,IF(U17="Y",0,IF(L17="Y",IF(R17="y",IF(S17="y",IF((K17/4)&gt;=500000*T17,(K17/4)-500000*T17,0),K17/4),K17/2),IF(R17="y",IF(S17="y",IF((K17/2)&gt;=500000*T17,(K17/2)-500000*T17,0),K17/2),K17))))</f>
        <v>0</v>
      </c>
    </row>
    <row r="18" spans="1:22">
      <c r="A18" s="3310" t="s">
        <v>2537</v>
      </c>
      <c r="B18" s="3310"/>
      <c r="C18" s="3310"/>
      <c r="D18" s="3310"/>
      <c r="E18" s="3311"/>
      <c r="F18" s="3312"/>
      <c r="G18" s="3313"/>
      <c r="H18" s="3312"/>
      <c r="I18" s="3314"/>
      <c r="J18" s="1405"/>
      <c r="K18" s="1406">
        <f t="shared" si="0"/>
        <v>0</v>
      </c>
      <c r="L18" s="3315"/>
      <c r="M18" s="3316"/>
      <c r="N18" s="3316"/>
      <c r="O18" s="3317"/>
      <c r="P18" s="1425"/>
      <c r="Q18" s="3315"/>
      <c r="R18" s="3318"/>
      <c r="S18" s="3318"/>
      <c r="T18" s="3318"/>
      <c r="U18" s="3319"/>
      <c r="V18" s="1407">
        <f t="shared" si="1"/>
        <v>0</v>
      </c>
    </row>
    <row r="19" spans="1:22">
      <c r="A19" s="3310"/>
      <c r="B19" s="3310"/>
      <c r="C19" s="3310"/>
      <c r="D19" s="3310"/>
      <c r="E19" s="3310"/>
      <c r="F19" s="3312"/>
      <c r="G19" s="3313"/>
      <c r="H19" s="3312"/>
      <c r="I19" s="3314"/>
      <c r="J19" s="1405"/>
      <c r="K19" s="1406">
        <f>IF(I19&gt;0, I19-G19,0)</f>
        <v>0</v>
      </c>
      <c r="L19" s="3315"/>
      <c r="M19" s="3316"/>
      <c r="N19" s="3316"/>
      <c r="O19" s="3317"/>
      <c r="P19" s="1425"/>
      <c r="Q19" s="3315"/>
      <c r="R19" s="3318"/>
      <c r="S19" s="3318"/>
      <c r="T19" s="3318"/>
      <c r="U19" s="3319"/>
      <c r="V19" s="1407">
        <f t="shared" si="1"/>
        <v>0</v>
      </c>
    </row>
    <row r="20" spans="1:22">
      <c r="A20" s="3310"/>
      <c r="B20" s="3310"/>
      <c r="C20" s="3310"/>
      <c r="D20" s="3310"/>
      <c r="E20" s="3310"/>
      <c r="F20" s="3312"/>
      <c r="G20" s="3313"/>
      <c r="H20" s="3312"/>
      <c r="I20" s="3314"/>
      <c r="J20" s="1405"/>
      <c r="K20" s="1406">
        <f t="shared" ref="K20:K67" si="2">IF(I20&gt;0, I20-G20,0)</f>
        <v>0</v>
      </c>
      <c r="L20" s="3315"/>
      <c r="M20" s="3316"/>
      <c r="N20" s="3316"/>
      <c r="O20" s="3317"/>
      <c r="P20" s="1425"/>
      <c r="Q20" s="3315"/>
      <c r="R20" s="3318"/>
      <c r="S20" s="3318"/>
      <c r="T20" s="3318"/>
      <c r="U20" s="3319"/>
      <c r="V20" s="1407">
        <f t="shared" si="1"/>
        <v>0</v>
      </c>
    </row>
    <row r="21" spans="1:22" hidden="1">
      <c r="A21" s="3350" t="s">
        <v>2535</v>
      </c>
      <c r="B21" s="3310"/>
      <c r="C21" s="3310"/>
      <c r="D21" s="3310"/>
      <c r="E21" s="3311"/>
      <c r="F21" s="3312"/>
      <c r="G21" s="3313"/>
      <c r="H21" s="3312"/>
      <c r="I21" s="3314"/>
      <c r="J21" s="1405"/>
      <c r="K21" s="1406">
        <f t="shared" si="2"/>
        <v>0</v>
      </c>
      <c r="L21" s="3315"/>
      <c r="M21" s="3316"/>
      <c r="N21" s="3316"/>
      <c r="O21" s="3317"/>
      <c r="P21" s="1425"/>
      <c r="Q21" s="3315"/>
      <c r="R21" s="3318"/>
      <c r="S21" s="3318"/>
      <c r="T21" s="3318"/>
      <c r="U21" s="3319"/>
      <c r="V21" s="1407">
        <f t="shared" si="1"/>
        <v>0</v>
      </c>
    </row>
    <row r="22" spans="1:22" hidden="1">
      <c r="A22" s="3310" t="s">
        <v>2536</v>
      </c>
      <c r="B22" s="3310"/>
      <c r="C22" s="3310"/>
      <c r="D22" s="3310"/>
      <c r="E22" s="3311"/>
      <c r="F22" s="3312"/>
      <c r="G22" s="3313"/>
      <c r="H22" s="3312"/>
      <c r="I22" s="3314"/>
      <c r="J22" s="1405"/>
      <c r="K22" s="1406">
        <f t="shared" si="2"/>
        <v>0</v>
      </c>
      <c r="L22" s="3315"/>
      <c r="M22" s="3316"/>
      <c r="N22" s="3316"/>
      <c r="O22" s="3317"/>
      <c r="P22" s="1425"/>
      <c r="Q22" s="3315"/>
      <c r="R22" s="3318"/>
      <c r="S22" s="3318"/>
      <c r="T22" s="3318"/>
      <c r="U22" s="3319"/>
      <c r="V22" s="1407">
        <f t="shared" si="1"/>
        <v>0</v>
      </c>
    </row>
    <row r="23" spans="1:22" hidden="1">
      <c r="A23" s="3310" t="s">
        <v>301</v>
      </c>
      <c r="B23" s="3310"/>
      <c r="C23" s="3310"/>
      <c r="D23" s="3310"/>
      <c r="E23" s="3311"/>
      <c r="F23" s="3312"/>
      <c r="G23" s="3313"/>
      <c r="H23" s="3312"/>
      <c r="I23" s="3314"/>
      <c r="J23" s="1405"/>
      <c r="K23" s="1406">
        <f t="shared" si="2"/>
        <v>0</v>
      </c>
      <c r="L23" s="3315"/>
      <c r="M23" s="3316"/>
      <c r="N23" s="3316"/>
      <c r="O23" s="3317"/>
      <c r="P23" s="1425"/>
      <c r="Q23" s="3315"/>
      <c r="R23" s="3318"/>
      <c r="S23" s="3318"/>
      <c r="T23" s="3318"/>
      <c r="U23" s="3319"/>
      <c r="V23" s="1407">
        <f t="shared" si="1"/>
        <v>0</v>
      </c>
    </row>
    <row r="24" spans="1:22" hidden="1">
      <c r="A24" s="3310" t="s">
        <v>2537</v>
      </c>
      <c r="B24" s="3310"/>
      <c r="C24" s="3310"/>
      <c r="D24" s="3310"/>
      <c r="E24" s="3311"/>
      <c r="F24" s="3312"/>
      <c r="G24" s="3313"/>
      <c r="H24" s="3312"/>
      <c r="I24" s="3314"/>
      <c r="J24" s="1405"/>
      <c r="K24" s="1406">
        <f t="shared" si="2"/>
        <v>0</v>
      </c>
      <c r="L24" s="3315"/>
      <c r="M24" s="3316"/>
      <c r="N24" s="3316"/>
      <c r="O24" s="3317"/>
      <c r="P24" s="1425"/>
      <c r="Q24" s="3315"/>
      <c r="R24" s="3318"/>
      <c r="S24" s="3318"/>
      <c r="T24" s="3318"/>
      <c r="U24" s="3319"/>
      <c r="V24" s="1407">
        <f t="shared" si="1"/>
        <v>0</v>
      </c>
    </row>
    <row r="25" spans="1:22" hidden="1">
      <c r="A25" s="3310"/>
      <c r="B25" s="3310"/>
      <c r="C25" s="3310"/>
      <c r="D25" s="3310"/>
      <c r="E25" s="3310"/>
      <c r="F25" s="3312"/>
      <c r="G25" s="3313"/>
      <c r="H25" s="3312"/>
      <c r="I25" s="3314"/>
      <c r="J25" s="1405"/>
      <c r="K25" s="1406">
        <f t="shared" si="2"/>
        <v>0</v>
      </c>
      <c r="L25" s="3315"/>
      <c r="M25" s="3316"/>
      <c r="N25" s="3316"/>
      <c r="O25" s="3317"/>
      <c r="P25" s="1425"/>
      <c r="Q25" s="3315"/>
      <c r="R25" s="3318"/>
      <c r="S25" s="3318"/>
      <c r="T25" s="3318"/>
      <c r="U25" s="3319"/>
      <c r="V25" s="1407">
        <f t="shared" si="1"/>
        <v>0</v>
      </c>
    </row>
    <row r="26" spans="1:22" hidden="1">
      <c r="A26" s="3310"/>
      <c r="B26" s="3310"/>
      <c r="C26" s="3310"/>
      <c r="D26" s="3310"/>
      <c r="E26" s="3310"/>
      <c r="F26" s="3312"/>
      <c r="G26" s="3313"/>
      <c r="H26" s="3312"/>
      <c r="I26" s="3314"/>
      <c r="J26" s="1405"/>
      <c r="K26" s="1406">
        <f t="shared" si="2"/>
        <v>0</v>
      </c>
      <c r="L26" s="3315"/>
      <c r="M26" s="3316"/>
      <c r="N26" s="3316"/>
      <c r="O26" s="3317"/>
      <c r="P26" s="1425"/>
      <c r="Q26" s="3315"/>
      <c r="R26" s="3318"/>
      <c r="S26" s="3318"/>
      <c r="T26" s="3318"/>
      <c r="U26" s="3319"/>
      <c r="V26" s="1407">
        <f t="shared" si="1"/>
        <v>0</v>
      </c>
    </row>
    <row r="27" spans="1:22" hidden="1">
      <c r="A27" s="3350" t="s">
        <v>2535</v>
      </c>
      <c r="B27" s="3310"/>
      <c r="C27" s="3310"/>
      <c r="D27" s="3310"/>
      <c r="E27" s="3311"/>
      <c r="F27" s="3312"/>
      <c r="G27" s="3313"/>
      <c r="H27" s="3312"/>
      <c r="I27" s="3314"/>
      <c r="J27" s="1405"/>
      <c r="K27" s="1406">
        <f t="shared" si="2"/>
        <v>0</v>
      </c>
      <c r="L27" s="3315"/>
      <c r="M27" s="3316"/>
      <c r="N27" s="3316"/>
      <c r="O27" s="3317"/>
      <c r="P27" s="1425"/>
      <c r="Q27" s="3315"/>
      <c r="R27" s="3318"/>
      <c r="S27" s="3318"/>
      <c r="T27" s="3318"/>
      <c r="U27" s="3319"/>
      <c r="V27" s="1407">
        <f t="shared" si="1"/>
        <v>0</v>
      </c>
    </row>
    <row r="28" spans="1:22" hidden="1">
      <c r="A28" s="3310" t="s">
        <v>2536</v>
      </c>
      <c r="B28" s="3310"/>
      <c r="C28" s="3310"/>
      <c r="D28" s="3310"/>
      <c r="E28" s="3311"/>
      <c r="F28" s="3312"/>
      <c r="G28" s="3313"/>
      <c r="H28" s="3312"/>
      <c r="I28" s="3314"/>
      <c r="J28" s="1405"/>
      <c r="K28" s="1406">
        <f t="shared" si="2"/>
        <v>0</v>
      </c>
      <c r="L28" s="3315"/>
      <c r="M28" s="3316"/>
      <c r="N28" s="3316"/>
      <c r="O28" s="3317"/>
      <c r="P28" s="1425"/>
      <c r="Q28" s="3315"/>
      <c r="R28" s="3318"/>
      <c r="S28" s="3318"/>
      <c r="T28" s="3318"/>
      <c r="U28" s="3319"/>
      <c r="V28" s="1407">
        <f t="shared" si="1"/>
        <v>0</v>
      </c>
    </row>
    <row r="29" spans="1:22" hidden="1">
      <c r="A29" s="3310" t="s">
        <v>301</v>
      </c>
      <c r="B29" s="3310"/>
      <c r="C29" s="3310"/>
      <c r="D29" s="3310"/>
      <c r="E29" s="3311"/>
      <c r="F29" s="3312"/>
      <c r="G29" s="3313"/>
      <c r="H29" s="3312"/>
      <c r="I29" s="3314"/>
      <c r="J29" s="1405"/>
      <c r="K29" s="1406">
        <f t="shared" si="2"/>
        <v>0</v>
      </c>
      <c r="L29" s="3315"/>
      <c r="M29" s="3316"/>
      <c r="N29" s="3316"/>
      <c r="O29" s="3317"/>
      <c r="P29" s="1425"/>
      <c r="Q29" s="3315"/>
      <c r="R29" s="3318"/>
      <c r="S29" s="3318"/>
      <c r="T29" s="3318"/>
      <c r="U29" s="3319"/>
      <c r="V29" s="1407">
        <f t="shared" si="1"/>
        <v>0</v>
      </c>
    </row>
    <row r="30" spans="1:22" hidden="1">
      <c r="A30" s="3310" t="s">
        <v>2537</v>
      </c>
      <c r="B30" s="3310"/>
      <c r="C30" s="3310"/>
      <c r="D30" s="3310"/>
      <c r="E30" s="3311"/>
      <c r="F30" s="3312"/>
      <c r="G30" s="3313"/>
      <c r="H30" s="3312"/>
      <c r="I30" s="3314"/>
      <c r="J30" s="1405"/>
      <c r="K30" s="1406">
        <f t="shared" si="2"/>
        <v>0</v>
      </c>
      <c r="L30" s="3315"/>
      <c r="M30" s="3316"/>
      <c r="N30" s="3316"/>
      <c r="O30" s="3317"/>
      <c r="P30" s="1425"/>
      <c r="Q30" s="3315"/>
      <c r="R30" s="3318"/>
      <c r="S30" s="3318"/>
      <c r="T30" s="3318"/>
      <c r="U30" s="3319"/>
      <c r="V30" s="1407">
        <f t="shared" si="1"/>
        <v>0</v>
      </c>
    </row>
    <row r="31" spans="1:22" hidden="1">
      <c r="A31" s="3310"/>
      <c r="B31" s="3310"/>
      <c r="C31" s="3310"/>
      <c r="D31" s="3310"/>
      <c r="E31" s="3310"/>
      <c r="F31" s="3312"/>
      <c r="G31" s="3313"/>
      <c r="H31" s="3312"/>
      <c r="I31" s="3314"/>
      <c r="J31" s="1405"/>
      <c r="K31" s="1406">
        <f t="shared" si="2"/>
        <v>0</v>
      </c>
      <c r="L31" s="3315"/>
      <c r="M31" s="3316"/>
      <c r="N31" s="3316"/>
      <c r="O31" s="3317"/>
      <c r="P31" s="1425"/>
      <c r="Q31" s="3315"/>
      <c r="R31" s="3318"/>
      <c r="S31" s="3318"/>
      <c r="T31" s="3318"/>
      <c r="U31" s="3319"/>
      <c r="V31" s="1407">
        <f t="shared" si="1"/>
        <v>0</v>
      </c>
    </row>
    <row r="32" spans="1:22" hidden="1">
      <c r="A32" s="3310"/>
      <c r="B32" s="3310"/>
      <c r="C32" s="3310"/>
      <c r="D32" s="3310"/>
      <c r="E32" s="3310"/>
      <c r="F32" s="3312"/>
      <c r="G32" s="3313"/>
      <c r="H32" s="3312"/>
      <c r="I32" s="3314"/>
      <c r="J32" s="1405"/>
      <c r="K32" s="1406">
        <f t="shared" si="2"/>
        <v>0</v>
      </c>
      <c r="L32" s="3315"/>
      <c r="M32" s="3316"/>
      <c r="N32" s="3316"/>
      <c r="O32" s="3317"/>
      <c r="P32" s="1425"/>
      <c r="Q32" s="3315"/>
      <c r="R32" s="3318"/>
      <c r="S32" s="3318"/>
      <c r="T32" s="3318"/>
      <c r="U32" s="3319"/>
      <c r="V32" s="1407">
        <f t="shared" si="1"/>
        <v>0</v>
      </c>
    </row>
    <row r="33" spans="1:22" hidden="1">
      <c r="A33" s="3350" t="s">
        <v>2535</v>
      </c>
      <c r="B33" s="3310"/>
      <c r="C33" s="3310"/>
      <c r="D33" s="3310"/>
      <c r="E33" s="3311"/>
      <c r="F33" s="3312"/>
      <c r="G33" s="3313"/>
      <c r="H33" s="3312"/>
      <c r="I33" s="3314"/>
      <c r="J33" s="1405"/>
      <c r="K33" s="1406">
        <f t="shared" si="2"/>
        <v>0</v>
      </c>
      <c r="L33" s="3315"/>
      <c r="M33" s="3316"/>
      <c r="N33" s="3316"/>
      <c r="O33" s="3317"/>
      <c r="P33" s="1425"/>
      <c r="Q33" s="3315"/>
      <c r="R33" s="3318"/>
      <c r="S33" s="3318"/>
      <c r="T33" s="3318"/>
      <c r="U33" s="3319"/>
      <c r="V33" s="1407">
        <f t="shared" si="1"/>
        <v>0</v>
      </c>
    </row>
    <row r="34" spans="1:22" hidden="1">
      <c r="A34" s="3310" t="s">
        <v>2536</v>
      </c>
      <c r="B34" s="3310"/>
      <c r="C34" s="3310"/>
      <c r="D34" s="3310"/>
      <c r="E34" s="3311"/>
      <c r="F34" s="3312"/>
      <c r="G34" s="3313"/>
      <c r="H34" s="3312"/>
      <c r="I34" s="3314"/>
      <c r="J34" s="1405"/>
      <c r="K34" s="1406">
        <f t="shared" si="2"/>
        <v>0</v>
      </c>
      <c r="L34" s="3315"/>
      <c r="M34" s="3316"/>
      <c r="N34" s="3316"/>
      <c r="O34" s="3317"/>
      <c r="P34" s="1425"/>
      <c r="Q34" s="3315"/>
      <c r="R34" s="3318"/>
      <c r="S34" s="3318"/>
      <c r="T34" s="3318"/>
      <c r="U34" s="3319"/>
      <c r="V34" s="1407">
        <f t="shared" si="1"/>
        <v>0</v>
      </c>
    </row>
    <row r="35" spans="1:22" hidden="1">
      <c r="A35" s="3310" t="s">
        <v>301</v>
      </c>
      <c r="B35" s="3310"/>
      <c r="C35" s="3310"/>
      <c r="D35" s="3310"/>
      <c r="E35" s="3311"/>
      <c r="F35" s="3312"/>
      <c r="G35" s="3313"/>
      <c r="H35" s="3312"/>
      <c r="I35" s="3314"/>
      <c r="J35" s="1405"/>
      <c r="K35" s="1406">
        <f t="shared" si="2"/>
        <v>0</v>
      </c>
      <c r="L35" s="3315"/>
      <c r="M35" s="3316"/>
      <c r="N35" s="3316"/>
      <c r="O35" s="3317"/>
      <c r="P35" s="1425"/>
      <c r="Q35" s="3315"/>
      <c r="R35" s="3318"/>
      <c r="S35" s="3318"/>
      <c r="T35" s="3318"/>
      <c r="U35" s="3319"/>
      <c r="V35" s="1407">
        <f t="shared" si="1"/>
        <v>0</v>
      </c>
    </row>
    <row r="36" spans="1:22" hidden="1">
      <c r="A36" s="3310" t="s">
        <v>2537</v>
      </c>
      <c r="B36" s="3310"/>
      <c r="C36" s="3310"/>
      <c r="D36" s="3310"/>
      <c r="E36" s="3311"/>
      <c r="F36" s="3312"/>
      <c r="G36" s="3313"/>
      <c r="H36" s="3312"/>
      <c r="I36" s="3314"/>
      <c r="J36" s="1405"/>
      <c r="K36" s="1406">
        <f t="shared" si="2"/>
        <v>0</v>
      </c>
      <c r="L36" s="3315"/>
      <c r="M36" s="3316"/>
      <c r="N36" s="3316"/>
      <c r="O36" s="3317"/>
      <c r="P36" s="1425"/>
      <c r="Q36" s="3315"/>
      <c r="R36" s="3318"/>
      <c r="S36" s="3318"/>
      <c r="T36" s="3318"/>
      <c r="U36" s="3319"/>
      <c r="V36" s="1407">
        <f t="shared" si="1"/>
        <v>0</v>
      </c>
    </row>
    <row r="37" spans="1:22" hidden="1">
      <c r="A37" s="3310"/>
      <c r="B37" s="3310"/>
      <c r="C37" s="3310"/>
      <c r="D37" s="3310"/>
      <c r="E37" s="3310"/>
      <c r="F37" s="3312"/>
      <c r="G37" s="3313"/>
      <c r="H37" s="3312"/>
      <c r="I37" s="3314"/>
      <c r="J37" s="1405"/>
      <c r="K37" s="1406">
        <f t="shared" si="2"/>
        <v>0</v>
      </c>
      <c r="L37" s="3315"/>
      <c r="M37" s="3316"/>
      <c r="N37" s="3316"/>
      <c r="O37" s="3317"/>
      <c r="P37" s="1425"/>
      <c r="Q37" s="3315"/>
      <c r="R37" s="3318"/>
      <c r="S37" s="3318"/>
      <c r="T37" s="3318"/>
      <c r="U37" s="3319"/>
      <c r="V37" s="1407">
        <f t="shared" si="1"/>
        <v>0</v>
      </c>
    </row>
    <row r="38" spans="1:22" hidden="1">
      <c r="A38" s="3310"/>
      <c r="B38" s="3310"/>
      <c r="C38" s="3310"/>
      <c r="D38" s="3310"/>
      <c r="E38" s="3310"/>
      <c r="F38" s="3312"/>
      <c r="G38" s="3313"/>
      <c r="H38" s="3312"/>
      <c r="I38" s="3314"/>
      <c r="J38" s="1405"/>
      <c r="K38" s="1406">
        <f t="shared" si="2"/>
        <v>0</v>
      </c>
      <c r="L38" s="3315"/>
      <c r="M38" s="3316"/>
      <c r="N38" s="3316"/>
      <c r="O38" s="3317"/>
      <c r="P38" s="1425"/>
      <c r="Q38" s="3315"/>
      <c r="R38" s="3318"/>
      <c r="S38" s="3318"/>
      <c r="T38" s="3318"/>
      <c r="U38" s="3319"/>
      <c r="V38" s="1407">
        <f t="shared" si="1"/>
        <v>0</v>
      </c>
    </row>
    <row r="39" spans="1:22" hidden="1">
      <c r="A39" s="3350" t="s">
        <v>2535</v>
      </c>
      <c r="B39" s="3310"/>
      <c r="C39" s="3310"/>
      <c r="D39" s="3310"/>
      <c r="E39" s="3311"/>
      <c r="F39" s="3312"/>
      <c r="G39" s="3313"/>
      <c r="H39" s="3312"/>
      <c r="I39" s="3314"/>
      <c r="J39" s="1405"/>
      <c r="K39" s="1406">
        <f t="shared" si="2"/>
        <v>0</v>
      </c>
      <c r="L39" s="3315"/>
      <c r="M39" s="3316"/>
      <c r="N39" s="3316"/>
      <c r="O39" s="3317"/>
      <c r="P39" s="1425"/>
      <c r="Q39" s="3315"/>
      <c r="R39" s="3318"/>
      <c r="S39" s="3318"/>
      <c r="T39" s="3318"/>
      <c r="U39" s="3319"/>
      <c r="V39" s="1407">
        <f t="shared" si="1"/>
        <v>0</v>
      </c>
    </row>
    <row r="40" spans="1:22" hidden="1">
      <c r="A40" s="3310" t="s">
        <v>2536</v>
      </c>
      <c r="B40" s="3310"/>
      <c r="C40" s="3310"/>
      <c r="D40" s="3310"/>
      <c r="E40" s="3311"/>
      <c r="F40" s="3312"/>
      <c r="G40" s="3313"/>
      <c r="H40" s="3312"/>
      <c r="I40" s="3314"/>
      <c r="J40" s="1405"/>
      <c r="K40" s="1406">
        <f t="shared" si="2"/>
        <v>0</v>
      </c>
      <c r="L40" s="3315"/>
      <c r="M40" s="3316"/>
      <c r="N40" s="3316"/>
      <c r="O40" s="3317"/>
      <c r="P40" s="1425"/>
      <c r="Q40" s="3315"/>
      <c r="R40" s="3318"/>
      <c r="S40" s="3318"/>
      <c r="T40" s="3318"/>
      <c r="U40" s="3319"/>
      <c r="V40" s="1407">
        <f t="shared" si="1"/>
        <v>0</v>
      </c>
    </row>
    <row r="41" spans="1:22" hidden="1">
      <c r="A41" s="3310" t="s">
        <v>301</v>
      </c>
      <c r="B41" s="3310"/>
      <c r="C41" s="3310"/>
      <c r="D41" s="3310"/>
      <c r="E41" s="3311"/>
      <c r="F41" s="3312"/>
      <c r="G41" s="3313"/>
      <c r="H41" s="3312"/>
      <c r="I41" s="3314"/>
      <c r="J41" s="1405"/>
      <c r="K41" s="1406">
        <f t="shared" si="2"/>
        <v>0</v>
      </c>
      <c r="L41" s="3315"/>
      <c r="M41" s="3316"/>
      <c r="N41" s="3316"/>
      <c r="O41" s="3317"/>
      <c r="P41" s="1425"/>
      <c r="Q41" s="3315"/>
      <c r="R41" s="3318"/>
      <c r="S41" s="3318"/>
      <c r="T41" s="3318"/>
      <c r="U41" s="3319"/>
      <c r="V41" s="1407">
        <f t="shared" si="1"/>
        <v>0</v>
      </c>
    </row>
    <row r="42" spans="1:22" hidden="1">
      <c r="A42" s="3310" t="s">
        <v>2537</v>
      </c>
      <c r="B42" s="3310"/>
      <c r="C42" s="3310"/>
      <c r="D42" s="3310"/>
      <c r="E42" s="3311"/>
      <c r="F42" s="3312"/>
      <c r="G42" s="3313"/>
      <c r="H42" s="3312"/>
      <c r="I42" s="3314"/>
      <c r="J42" s="1405"/>
      <c r="K42" s="1406">
        <f t="shared" si="2"/>
        <v>0</v>
      </c>
      <c r="L42" s="3315"/>
      <c r="M42" s="3316"/>
      <c r="N42" s="3316"/>
      <c r="O42" s="3317"/>
      <c r="P42" s="1425"/>
      <c r="Q42" s="3315"/>
      <c r="R42" s="3318"/>
      <c r="S42" s="3318"/>
      <c r="T42" s="3318"/>
      <c r="U42" s="3319"/>
      <c r="V42" s="1407">
        <f t="shared" si="1"/>
        <v>0</v>
      </c>
    </row>
    <row r="43" spans="1:22" hidden="1">
      <c r="A43" s="3310"/>
      <c r="B43" s="3310"/>
      <c r="C43" s="3310"/>
      <c r="D43" s="3310"/>
      <c r="E43" s="3310"/>
      <c r="F43" s="3312"/>
      <c r="G43" s="3313"/>
      <c r="H43" s="3312"/>
      <c r="I43" s="3314"/>
      <c r="J43" s="1405"/>
      <c r="K43" s="1406">
        <f t="shared" si="2"/>
        <v>0</v>
      </c>
      <c r="L43" s="3315"/>
      <c r="M43" s="3316"/>
      <c r="N43" s="3316"/>
      <c r="O43" s="3317"/>
      <c r="P43" s="1425"/>
      <c r="Q43" s="3315"/>
      <c r="R43" s="3318"/>
      <c r="S43" s="3318"/>
      <c r="T43" s="3318"/>
      <c r="U43" s="3319"/>
      <c r="V43" s="1407">
        <f t="shared" si="1"/>
        <v>0</v>
      </c>
    </row>
    <row r="44" spans="1:22" hidden="1">
      <c r="A44" s="3310"/>
      <c r="B44" s="3310"/>
      <c r="C44" s="3310"/>
      <c r="D44" s="3310"/>
      <c r="E44" s="3310"/>
      <c r="F44" s="3312"/>
      <c r="G44" s="3313"/>
      <c r="H44" s="3312"/>
      <c r="I44" s="3314"/>
      <c r="J44" s="1405"/>
      <c r="K44" s="1406">
        <f t="shared" si="2"/>
        <v>0</v>
      </c>
      <c r="L44" s="3315"/>
      <c r="M44" s="3316"/>
      <c r="N44" s="3316"/>
      <c r="O44" s="3317"/>
      <c r="P44" s="1425"/>
      <c r="Q44" s="3315"/>
      <c r="R44" s="3318"/>
      <c r="S44" s="3318"/>
      <c r="T44" s="3318"/>
      <c r="U44" s="3319"/>
      <c r="V44" s="1407">
        <f t="shared" si="1"/>
        <v>0</v>
      </c>
    </row>
    <row r="45" spans="1:22" hidden="1">
      <c r="A45" s="3350" t="s">
        <v>2535</v>
      </c>
      <c r="B45" s="3310"/>
      <c r="C45" s="3310"/>
      <c r="D45" s="3310"/>
      <c r="E45" s="3311"/>
      <c r="F45" s="3312"/>
      <c r="G45" s="3313"/>
      <c r="H45" s="3312"/>
      <c r="I45" s="3314"/>
      <c r="J45" s="1405"/>
      <c r="K45" s="1406">
        <f t="shared" si="2"/>
        <v>0</v>
      </c>
      <c r="L45" s="3315"/>
      <c r="M45" s="3316"/>
      <c r="N45" s="3316"/>
      <c r="O45" s="3317"/>
      <c r="P45" s="1425"/>
      <c r="Q45" s="3315"/>
      <c r="R45" s="3318"/>
      <c r="S45" s="3318"/>
      <c r="T45" s="3318"/>
      <c r="U45" s="3319"/>
      <c r="V45" s="1407">
        <f t="shared" si="1"/>
        <v>0</v>
      </c>
    </row>
    <row r="46" spans="1:22" hidden="1">
      <c r="A46" s="3310" t="s">
        <v>2536</v>
      </c>
      <c r="B46" s="3310"/>
      <c r="C46" s="3310"/>
      <c r="D46" s="3310"/>
      <c r="E46" s="3311"/>
      <c r="F46" s="3312"/>
      <c r="G46" s="3313"/>
      <c r="H46" s="3312"/>
      <c r="I46" s="3314"/>
      <c r="J46" s="1405"/>
      <c r="K46" s="1406">
        <f t="shared" si="2"/>
        <v>0</v>
      </c>
      <c r="L46" s="3315"/>
      <c r="M46" s="3316"/>
      <c r="N46" s="3316"/>
      <c r="O46" s="3317"/>
      <c r="P46" s="1425"/>
      <c r="Q46" s="3315"/>
      <c r="R46" s="3318"/>
      <c r="S46" s="3318"/>
      <c r="T46" s="3318"/>
      <c r="U46" s="3319"/>
      <c r="V46" s="1407">
        <f t="shared" si="1"/>
        <v>0</v>
      </c>
    </row>
    <row r="47" spans="1:22" hidden="1">
      <c r="A47" s="3310" t="s">
        <v>301</v>
      </c>
      <c r="B47" s="3310"/>
      <c r="C47" s="3310"/>
      <c r="D47" s="3310"/>
      <c r="E47" s="3311"/>
      <c r="F47" s="3312"/>
      <c r="G47" s="3313"/>
      <c r="H47" s="3312"/>
      <c r="I47" s="3314"/>
      <c r="J47" s="1405"/>
      <c r="K47" s="1406">
        <f t="shared" si="2"/>
        <v>0</v>
      </c>
      <c r="L47" s="3315"/>
      <c r="M47" s="3316"/>
      <c r="N47" s="3316"/>
      <c r="O47" s="3317"/>
      <c r="P47" s="1425"/>
      <c r="Q47" s="3315"/>
      <c r="R47" s="3318"/>
      <c r="S47" s="3318"/>
      <c r="T47" s="3318"/>
      <c r="U47" s="3319"/>
      <c r="V47" s="1407">
        <f t="shared" si="1"/>
        <v>0</v>
      </c>
    </row>
    <row r="48" spans="1:22" hidden="1">
      <c r="A48" s="3310" t="s">
        <v>2537</v>
      </c>
      <c r="B48" s="3310"/>
      <c r="C48" s="3310"/>
      <c r="D48" s="3310"/>
      <c r="E48" s="3311"/>
      <c r="F48" s="3312"/>
      <c r="G48" s="3313"/>
      <c r="H48" s="3312"/>
      <c r="I48" s="3314"/>
      <c r="J48" s="1405"/>
      <c r="K48" s="1406">
        <f t="shared" si="2"/>
        <v>0</v>
      </c>
      <c r="L48" s="3315"/>
      <c r="M48" s="3316"/>
      <c r="N48" s="3316"/>
      <c r="O48" s="3317"/>
      <c r="P48" s="1425"/>
      <c r="Q48" s="3315"/>
      <c r="R48" s="3318"/>
      <c r="S48" s="3318"/>
      <c r="T48" s="3318"/>
      <c r="U48" s="3319"/>
      <c r="V48" s="1407">
        <f t="shared" si="1"/>
        <v>0</v>
      </c>
    </row>
    <row r="49" spans="1:22" hidden="1">
      <c r="A49" s="3310"/>
      <c r="B49" s="3310"/>
      <c r="C49" s="3310"/>
      <c r="D49" s="3310"/>
      <c r="E49" s="3310"/>
      <c r="F49" s="3312"/>
      <c r="G49" s="3313"/>
      <c r="H49" s="3312"/>
      <c r="I49" s="3314"/>
      <c r="J49" s="1405"/>
      <c r="K49" s="1406">
        <f t="shared" si="2"/>
        <v>0</v>
      </c>
      <c r="L49" s="3315"/>
      <c r="M49" s="3316"/>
      <c r="N49" s="3316"/>
      <c r="O49" s="3317"/>
      <c r="P49" s="1425"/>
      <c r="Q49" s="3315"/>
      <c r="R49" s="3318"/>
      <c r="S49" s="3318"/>
      <c r="T49" s="3318"/>
      <c r="U49" s="3319"/>
      <c r="V49" s="1407">
        <f t="shared" si="1"/>
        <v>0</v>
      </c>
    </row>
    <row r="50" spans="1:22" hidden="1">
      <c r="A50" s="3310"/>
      <c r="B50" s="3310"/>
      <c r="C50" s="3310"/>
      <c r="D50" s="3310"/>
      <c r="E50" s="3310"/>
      <c r="F50" s="3312"/>
      <c r="G50" s="3313"/>
      <c r="H50" s="3312"/>
      <c r="I50" s="3314"/>
      <c r="J50" s="1405"/>
      <c r="K50" s="1406">
        <f t="shared" si="2"/>
        <v>0</v>
      </c>
      <c r="L50" s="3315"/>
      <c r="M50" s="3316"/>
      <c r="N50" s="3316"/>
      <c r="O50" s="3317"/>
      <c r="P50" s="1425"/>
      <c r="Q50" s="3315"/>
      <c r="R50" s="3318"/>
      <c r="S50" s="3318"/>
      <c r="T50" s="3318"/>
      <c r="U50" s="3319"/>
      <c r="V50" s="1407">
        <f t="shared" si="1"/>
        <v>0</v>
      </c>
    </row>
    <row r="51" spans="1:22" hidden="1">
      <c r="A51" s="3350" t="s">
        <v>2535</v>
      </c>
      <c r="B51" s="3310"/>
      <c r="C51" s="3310"/>
      <c r="D51" s="3310"/>
      <c r="E51" s="3311"/>
      <c r="F51" s="3312"/>
      <c r="G51" s="3313"/>
      <c r="H51" s="3312"/>
      <c r="I51" s="3314"/>
      <c r="J51" s="1405"/>
      <c r="K51" s="1406">
        <f t="shared" si="2"/>
        <v>0</v>
      </c>
      <c r="L51" s="3315"/>
      <c r="M51" s="3316"/>
      <c r="N51" s="3316"/>
      <c r="O51" s="3317"/>
      <c r="P51" s="1425"/>
      <c r="Q51" s="3315"/>
      <c r="R51" s="3318"/>
      <c r="S51" s="3318"/>
      <c r="T51" s="3318"/>
      <c r="U51" s="3319"/>
      <c r="V51" s="1407">
        <f t="shared" si="1"/>
        <v>0</v>
      </c>
    </row>
    <row r="52" spans="1:22" hidden="1">
      <c r="A52" s="3310" t="s">
        <v>2536</v>
      </c>
      <c r="B52" s="3310"/>
      <c r="C52" s="3310"/>
      <c r="D52" s="3310"/>
      <c r="E52" s="3311"/>
      <c r="F52" s="3312"/>
      <c r="G52" s="3313"/>
      <c r="H52" s="3312"/>
      <c r="I52" s="3314"/>
      <c r="J52" s="1405"/>
      <c r="K52" s="1406">
        <f t="shared" si="2"/>
        <v>0</v>
      </c>
      <c r="L52" s="3315"/>
      <c r="M52" s="3316"/>
      <c r="N52" s="3316"/>
      <c r="O52" s="3317"/>
      <c r="P52" s="1425"/>
      <c r="Q52" s="3315"/>
      <c r="R52" s="3318"/>
      <c r="S52" s="3318"/>
      <c r="T52" s="3318"/>
      <c r="U52" s="3319"/>
      <c r="V52" s="1407">
        <f t="shared" si="1"/>
        <v>0</v>
      </c>
    </row>
    <row r="53" spans="1:22" hidden="1">
      <c r="A53" s="3310" t="s">
        <v>301</v>
      </c>
      <c r="B53" s="3310"/>
      <c r="C53" s="3310"/>
      <c r="D53" s="3310"/>
      <c r="E53" s="3311"/>
      <c r="F53" s="3312"/>
      <c r="G53" s="3313"/>
      <c r="H53" s="3312"/>
      <c r="I53" s="3314"/>
      <c r="J53" s="1405"/>
      <c r="K53" s="1406">
        <f t="shared" si="2"/>
        <v>0</v>
      </c>
      <c r="L53" s="3315"/>
      <c r="M53" s="3316"/>
      <c r="N53" s="3316"/>
      <c r="O53" s="3317"/>
      <c r="P53" s="1425"/>
      <c r="Q53" s="3315"/>
      <c r="R53" s="3318"/>
      <c r="S53" s="3318"/>
      <c r="T53" s="3318"/>
      <c r="U53" s="3319"/>
      <c r="V53" s="1407">
        <f t="shared" si="1"/>
        <v>0</v>
      </c>
    </row>
    <row r="54" spans="1:22" hidden="1">
      <c r="A54" s="3310" t="s">
        <v>2537</v>
      </c>
      <c r="B54" s="3310"/>
      <c r="C54" s="3310"/>
      <c r="D54" s="3310"/>
      <c r="E54" s="3311"/>
      <c r="F54" s="3312"/>
      <c r="G54" s="3313"/>
      <c r="H54" s="3312"/>
      <c r="I54" s="3314"/>
      <c r="J54" s="1405"/>
      <c r="K54" s="1406">
        <f t="shared" si="2"/>
        <v>0</v>
      </c>
      <c r="L54" s="3315"/>
      <c r="M54" s="3316"/>
      <c r="N54" s="3316"/>
      <c r="O54" s="3317"/>
      <c r="P54" s="1425"/>
      <c r="Q54" s="3315"/>
      <c r="R54" s="3318"/>
      <c r="S54" s="3318"/>
      <c r="T54" s="3318"/>
      <c r="U54" s="3319"/>
      <c r="V54" s="1407">
        <f t="shared" si="1"/>
        <v>0</v>
      </c>
    </row>
    <row r="55" spans="1:22" hidden="1">
      <c r="A55" s="3310"/>
      <c r="B55" s="3310"/>
      <c r="C55" s="3310"/>
      <c r="D55" s="3310"/>
      <c r="E55" s="3310"/>
      <c r="F55" s="3312"/>
      <c r="G55" s="3313"/>
      <c r="H55" s="3312"/>
      <c r="I55" s="3314"/>
      <c r="J55" s="1405"/>
      <c r="K55" s="1406">
        <f t="shared" si="2"/>
        <v>0</v>
      </c>
      <c r="L55" s="3315"/>
      <c r="M55" s="3316"/>
      <c r="N55" s="3316"/>
      <c r="O55" s="3317"/>
      <c r="P55" s="1425"/>
      <c r="Q55" s="3315"/>
      <c r="R55" s="3318"/>
      <c r="S55" s="3318"/>
      <c r="T55" s="3318"/>
      <c r="U55" s="3319"/>
      <c r="V55" s="1407">
        <f t="shared" si="1"/>
        <v>0</v>
      </c>
    </row>
    <row r="56" spans="1:22" hidden="1">
      <c r="A56" s="3310"/>
      <c r="B56" s="3310"/>
      <c r="C56" s="3310"/>
      <c r="D56" s="3310"/>
      <c r="E56" s="3310"/>
      <c r="F56" s="3312"/>
      <c r="G56" s="3313"/>
      <c r="H56" s="3312"/>
      <c r="I56" s="3314"/>
      <c r="J56" s="1405"/>
      <c r="K56" s="1406">
        <f t="shared" si="2"/>
        <v>0</v>
      </c>
      <c r="L56" s="3315"/>
      <c r="M56" s="3316"/>
      <c r="N56" s="3316"/>
      <c r="O56" s="3317"/>
      <c r="P56" s="1425"/>
      <c r="Q56" s="3315"/>
      <c r="R56" s="3318"/>
      <c r="S56" s="3318"/>
      <c r="T56" s="3318"/>
      <c r="U56" s="3319"/>
      <c r="V56" s="1407">
        <f t="shared" si="1"/>
        <v>0</v>
      </c>
    </row>
    <row r="57" spans="1:22" hidden="1">
      <c r="A57" s="3350" t="s">
        <v>2535</v>
      </c>
      <c r="B57" s="3310"/>
      <c r="C57" s="3310"/>
      <c r="D57" s="3310"/>
      <c r="E57" s="3311"/>
      <c r="F57" s="3312"/>
      <c r="G57" s="3313"/>
      <c r="H57" s="3312"/>
      <c r="I57" s="3314"/>
      <c r="J57" s="1405"/>
      <c r="K57" s="1406">
        <f t="shared" si="2"/>
        <v>0</v>
      </c>
      <c r="L57" s="3315"/>
      <c r="M57" s="3316"/>
      <c r="N57" s="3316"/>
      <c r="O57" s="3317"/>
      <c r="P57" s="1425"/>
      <c r="Q57" s="3315"/>
      <c r="R57" s="3318"/>
      <c r="S57" s="3318"/>
      <c r="T57" s="3318"/>
      <c r="U57" s="3319"/>
      <c r="V57" s="1407">
        <f t="shared" si="1"/>
        <v>0</v>
      </c>
    </row>
    <row r="58" spans="1:22" hidden="1">
      <c r="A58" s="3310" t="s">
        <v>2536</v>
      </c>
      <c r="B58" s="3310"/>
      <c r="C58" s="3310"/>
      <c r="D58" s="3310"/>
      <c r="E58" s="3311"/>
      <c r="F58" s="3312"/>
      <c r="G58" s="3313"/>
      <c r="H58" s="3312"/>
      <c r="I58" s="3314"/>
      <c r="J58" s="1405"/>
      <c r="K58" s="1406">
        <f t="shared" si="2"/>
        <v>0</v>
      </c>
      <c r="L58" s="3315"/>
      <c r="M58" s="3316"/>
      <c r="N58" s="3316"/>
      <c r="O58" s="3317"/>
      <c r="P58" s="1425"/>
      <c r="Q58" s="3315"/>
      <c r="R58" s="3318"/>
      <c r="S58" s="3318"/>
      <c r="T58" s="3318"/>
      <c r="U58" s="3319"/>
      <c r="V58" s="1407">
        <f t="shared" si="1"/>
        <v>0</v>
      </c>
    </row>
    <row r="59" spans="1:22" hidden="1">
      <c r="A59" s="3310" t="s">
        <v>301</v>
      </c>
      <c r="B59" s="3310"/>
      <c r="C59" s="3310"/>
      <c r="D59" s="3310"/>
      <c r="E59" s="3311"/>
      <c r="F59" s="3312"/>
      <c r="G59" s="3313"/>
      <c r="H59" s="3312"/>
      <c r="I59" s="3314"/>
      <c r="J59" s="1405"/>
      <c r="K59" s="1406">
        <f t="shared" si="2"/>
        <v>0</v>
      </c>
      <c r="L59" s="3315"/>
      <c r="M59" s="3316"/>
      <c r="N59" s="3316"/>
      <c r="O59" s="3317"/>
      <c r="P59" s="1425"/>
      <c r="Q59" s="3315"/>
      <c r="R59" s="3318"/>
      <c r="S59" s="3318"/>
      <c r="T59" s="3318"/>
      <c r="U59" s="3319"/>
      <c r="V59" s="1407">
        <f t="shared" si="1"/>
        <v>0</v>
      </c>
    </row>
    <row r="60" spans="1:22" hidden="1">
      <c r="A60" s="3310" t="s">
        <v>2537</v>
      </c>
      <c r="B60" s="3310"/>
      <c r="C60" s="3310"/>
      <c r="D60" s="3310"/>
      <c r="E60" s="3311"/>
      <c r="F60" s="3312"/>
      <c r="G60" s="3313"/>
      <c r="H60" s="3312"/>
      <c r="I60" s="3314"/>
      <c r="J60" s="1405"/>
      <c r="K60" s="1406">
        <f t="shared" si="2"/>
        <v>0</v>
      </c>
      <c r="L60" s="3315"/>
      <c r="M60" s="3316"/>
      <c r="N60" s="3316"/>
      <c r="O60" s="3317"/>
      <c r="P60" s="1425"/>
      <c r="Q60" s="3315"/>
      <c r="R60" s="3318"/>
      <c r="S60" s="3318"/>
      <c r="T60" s="3318"/>
      <c r="U60" s="3319"/>
      <c r="V60" s="1407">
        <f t="shared" si="1"/>
        <v>0</v>
      </c>
    </row>
    <row r="61" spans="1:22" hidden="1">
      <c r="A61" s="3310"/>
      <c r="B61" s="3310"/>
      <c r="C61" s="3310"/>
      <c r="D61" s="3310"/>
      <c r="E61" s="3310"/>
      <c r="F61" s="3312"/>
      <c r="G61" s="3313"/>
      <c r="H61" s="3312"/>
      <c r="I61" s="3314"/>
      <c r="J61" s="1405"/>
      <c r="K61" s="1406">
        <f t="shared" si="2"/>
        <v>0</v>
      </c>
      <c r="L61" s="3315"/>
      <c r="M61" s="3316"/>
      <c r="N61" s="3316"/>
      <c r="O61" s="3317"/>
      <c r="P61" s="1425"/>
      <c r="Q61" s="3315"/>
      <c r="R61" s="3318"/>
      <c r="S61" s="3318"/>
      <c r="T61" s="3318"/>
      <c r="U61" s="3319"/>
      <c r="V61" s="1407">
        <f t="shared" si="1"/>
        <v>0</v>
      </c>
    </row>
    <row r="62" spans="1:22" hidden="1">
      <c r="A62" s="3310"/>
      <c r="B62" s="3310"/>
      <c r="C62" s="3310"/>
      <c r="D62" s="3310"/>
      <c r="E62" s="3310"/>
      <c r="F62" s="3312"/>
      <c r="G62" s="3313"/>
      <c r="H62" s="3312"/>
      <c r="I62" s="3314"/>
      <c r="J62" s="1405"/>
      <c r="K62" s="1406">
        <f t="shared" si="2"/>
        <v>0</v>
      </c>
      <c r="L62" s="3315"/>
      <c r="M62" s="3316"/>
      <c r="N62" s="3316"/>
      <c r="O62" s="3317"/>
      <c r="P62" s="1425"/>
      <c r="Q62" s="3315"/>
      <c r="R62" s="3318"/>
      <c r="S62" s="3318"/>
      <c r="T62" s="3318"/>
      <c r="U62" s="3319"/>
      <c r="V62" s="1407">
        <f t="shared" si="1"/>
        <v>0</v>
      </c>
    </row>
    <row r="63" spans="1:22" hidden="1">
      <c r="A63" s="3350" t="s">
        <v>2535</v>
      </c>
      <c r="B63" s="3310"/>
      <c r="C63" s="3310"/>
      <c r="D63" s="3310"/>
      <c r="E63" s="3311"/>
      <c r="F63" s="3312"/>
      <c r="G63" s="3313"/>
      <c r="H63" s="3312"/>
      <c r="I63" s="3314"/>
      <c r="J63" s="1405"/>
      <c r="K63" s="1406">
        <f t="shared" si="2"/>
        <v>0</v>
      </c>
      <c r="L63" s="3315"/>
      <c r="M63" s="3316"/>
      <c r="N63" s="3316"/>
      <c r="O63" s="3317"/>
      <c r="P63" s="1425"/>
      <c r="Q63" s="3315"/>
      <c r="R63" s="3318"/>
      <c r="S63" s="3318"/>
      <c r="T63" s="3318"/>
      <c r="U63" s="3319"/>
      <c r="V63" s="1407">
        <f t="shared" si="1"/>
        <v>0</v>
      </c>
    </row>
    <row r="64" spans="1:22" hidden="1">
      <c r="A64" s="3310" t="s">
        <v>2536</v>
      </c>
      <c r="B64" s="3310"/>
      <c r="C64" s="3310"/>
      <c r="D64" s="3310"/>
      <c r="E64" s="3311"/>
      <c r="F64" s="3312"/>
      <c r="G64" s="3313"/>
      <c r="H64" s="3312"/>
      <c r="I64" s="3314"/>
      <c r="J64" s="1405"/>
      <c r="K64" s="1406">
        <f t="shared" si="2"/>
        <v>0</v>
      </c>
      <c r="L64" s="3315"/>
      <c r="M64" s="3316"/>
      <c r="N64" s="3316"/>
      <c r="O64" s="3317"/>
      <c r="P64" s="1425"/>
      <c r="Q64" s="3315"/>
      <c r="R64" s="3318"/>
      <c r="S64" s="3318"/>
      <c r="T64" s="3318"/>
      <c r="U64" s="3319"/>
      <c r="V64" s="1407">
        <f t="shared" si="1"/>
        <v>0</v>
      </c>
    </row>
    <row r="65" spans="1:23" hidden="1">
      <c r="A65" s="3310" t="s">
        <v>301</v>
      </c>
      <c r="B65" s="3310"/>
      <c r="C65" s="3310"/>
      <c r="D65" s="3310"/>
      <c r="E65" s="3311"/>
      <c r="F65" s="3312"/>
      <c r="G65" s="3313"/>
      <c r="H65" s="3312"/>
      <c r="I65" s="3314"/>
      <c r="J65" s="1405"/>
      <c r="K65" s="1406">
        <f t="shared" si="2"/>
        <v>0</v>
      </c>
      <c r="L65" s="3315"/>
      <c r="M65" s="3316"/>
      <c r="N65" s="3316"/>
      <c r="O65" s="3317"/>
      <c r="P65" s="1425"/>
      <c r="Q65" s="3315"/>
      <c r="R65" s="3318"/>
      <c r="S65" s="3318"/>
      <c r="T65" s="3318"/>
      <c r="U65" s="3319"/>
      <c r="V65" s="1407">
        <f t="shared" si="1"/>
        <v>0</v>
      </c>
    </row>
    <row r="66" spans="1:23" hidden="1">
      <c r="A66" s="3310" t="s">
        <v>2537</v>
      </c>
      <c r="B66" s="3310"/>
      <c r="C66" s="3310"/>
      <c r="D66" s="3310"/>
      <c r="E66" s="3311"/>
      <c r="F66" s="3312"/>
      <c r="G66" s="3313"/>
      <c r="H66" s="3312"/>
      <c r="I66" s="3314"/>
      <c r="J66" s="1405"/>
      <c r="K66" s="1406">
        <f t="shared" si="2"/>
        <v>0</v>
      </c>
      <c r="L66" s="3315"/>
      <c r="M66" s="3316"/>
      <c r="N66" s="3316"/>
      <c r="O66" s="3317"/>
      <c r="P66" s="1425"/>
      <c r="Q66" s="3315"/>
      <c r="R66" s="3318"/>
      <c r="S66" s="3318"/>
      <c r="T66" s="3318"/>
      <c r="U66" s="3319"/>
      <c r="V66" s="1407">
        <f t="shared" si="1"/>
        <v>0</v>
      </c>
    </row>
    <row r="67" spans="1:23" hidden="1">
      <c r="A67" s="3310"/>
      <c r="B67" s="3310"/>
      <c r="C67" s="3310"/>
      <c r="D67" s="3310"/>
      <c r="E67" s="3311"/>
      <c r="F67" s="3312"/>
      <c r="G67" s="3313"/>
      <c r="H67" s="3312"/>
      <c r="I67" s="3314"/>
      <c r="J67" s="1405"/>
      <c r="K67" s="1406">
        <f t="shared" si="2"/>
        <v>0</v>
      </c>
      <c r="L67" s="3315"/>
      <c r="M67" s="3316"/>
      <c r="N67" s="3316"/>
      <c r="O67" s="3317"/>
      <c r="P67" s="1425"/>
      <c r="Q67" s="3315"/>
      <c r="R67" s="3318"/>
      <c r="S67" s="3318"/>
      <c r="T67" s="3318"/>
      <c r="U67" s="3319"/>
      <c r="V67" s="1407">
        <f t="shared" si="1"/>
        <v>0</v>
      </c>
    </row>
    <row r="68" spans="1:23">
      <c r="A68" s="1408" t="s">
        <v>458</v>
      </c>
      <c r="B68" s="1409"/>
      <c r="C68" s="1409"/>
      <c r="D68" s="1409"/>
      <c r="E68" s="1409"/>
      <c r="F68" s="1397"/>
      <c r="G68" s="1410">
        <f>SUMIF(I15:I67,"&gt;0",G15:G67)</f>
        <v>0</v>
      </c>
      <c r="H68" s="1397"/>
      <c r="I68" s="1398"/>
      <c r="J68" s="1309"/>
      <c r="K68" s="1406"/>
      <c r="L68" s="1394"/>
      <c r="M68" s="1446"/>
      <c r="N68" s="1446"/>
      <c r="O68" s="1446"/>
      <c r="P68" s="1139"/>
      <c r="Q68" s="1394"/>
      <c r="R68" s="1394"/>
      <c r="S68" s="1394"/>
      <c r="T68" s="1394"/>
      <c r="U68" s="1394"/>
      <c r="V68" s="1407"/>
    </row>
    <row r="69" spans="1:23" ht="13.5" thickBot="1">
      <c r="A69" s="1402" t="s">
        <v>457</v>
      </c>
      <c r="B69" s="1125"/>
      <c r="C69" s="1125"/>
      <c r="D69" s="1125"/>
      <c r="E69" s="1125"/>
      <c r="F69" s="1125"/>
      <c r="G69" s="1284">
        <f>SUBTOTAL(9,G15:G67)-G68</f>
        <v>0</v>
      </c>
      <c r="H69" s="1125"/>
      <c r="I69" s="1309"/>
      <c r="J69" s="1309"/>
      <c r="K69" s="1284">
        <f>SUBTOTAL(9,K15:K68)</f>
        <v>0</v>
      </c>
      <c r="L69" s="1125"/>
      <c r="M69" s="1445">
        <f>SUBTOTAL(9,M15:M68)</f>
        <v>0</v>
      </c>
      <c r="N69" s="1445">
        <f>SUBTOTAL(9,N15:N68)</f>
        <v>0</v>
      </c>
      <c r="O69" s="1445">
        <f>SUBTOTAL(9,O15:O68)</f>
        <v>0</v>
      </c>
      <c r="P69" s="1125"/>
      <c r="Q69" s="1125"/>
      <c r="R69" s="1125"/>
      <c r="S69" s="1125"/>
      <c r="T69" s="1125"/>
      <c r="U69" s="1125"/>
      <c r="V69" s="1411">
        <f>SUM(V15:V68)</f>
        <v>0</v>
      </c>
    </row>
    <row r="70" spans="1:23" ht="13.5" thickTop="1">
      <c r="A70" s="1412"/>
      <c r="B70" s="1413"/>
      <c r="C70" s="1413"/>
      <c r="D70" s="1413"/>
      <c r="E70" s="1413"/>
      <c r="F70" s="1337"/>
      <c r="G70" s="1413"/>
      <c r="H70" s="1337"/>
      <c r="I70" s="1337"/>
      <c r="J70" s="1337"/>
      <c r="K70" s="1413"/>
      <c r="L70" s="1395"/>
      <c r="M70" s="1395"/>
      <c r="N70" s="1395"/>
      <c r="O70" s="1395"/>
      <c r="P70" s="1395"/>
      <c r="Q70" s="1395"/>
      <c r="R70" s="1395"/>
      <c r="S70" s="1395"/>
      <c r="T70" s="1395"/>
      <c r="U70" s="1395"/>
      <c r="V70" s="1414"/>
    </row>
    <row r="72" spans="1:23">
      <c r="A72" s="1396" t="s">
        <v>459</v>
      </c>
      <c r="B72" s="1397"/>
      <c r="C72" s="1397"/>
      <c r="D72" s="1397"/>
      <c r="E72" s="1397"/>
      <c r="F72" s="1398"/>
      <c r="G72" s="1397"/>
      <c r="H72" s="1398"/>
      <c r="I72" s="1398"/>
      <c r="J72" s="1398"/>
      <c r="K72" s="1397"/>
      <c r="L72" s="1393"/>
      <c r="M72" s="1393"/>
      <c r="N72" s="1393"/>
      <c r="O72" s="1393"/>
      <c r="P72" s="1393"/>
      <c r="Q72" s="1393"/>
      <c r="R72" s="1393"/>
      <c r="S72" s="1393"/>
      <c r="T72" s="1393"/>
      <c r="U72" s="1393"/>
      <c r="V72" s="1399"/>
    </row>
    <row r="73" spans="1:23" s="1099" customFormat="1">
      <c r="A73" s="1402" t="s">
        <v>460</v>
      </c>
      <c r="B73" s="3287" t="s">
        <v>1262</v>
      </c>
      <c r="C73" s="3287" t="s">
        <v>461</v>
      </c>
      <c r="D73" s="3287" t="s">
        <v>1129</v>
      </c>
      <c r="E73" s="3287" t="s">
        <v>1168</v>
      </c>
      <c r="F73" s="1400" t="s">
        <v>1262</v>
      </c>
      <c r="G73" s="3287" t="s">
        <v>461</v>
      </c>
      <c r="H73" s="1400" t="s">
        <v>1170</v>
      </c>
      <c r="I73" s="3287" t="s">
        <v>461</v>
      </c>
      <c r="J73" s="3287" t="s">
        <v>450</v>
      </c>
      <c r="K73" s="1400" t="s">
        <v>1129</v>
      </c>
      <c r="L73" s="3287" t="s">
        <v>452</v>
      </c>
      <c r="M73" s="3287"/>
      <c r="N73" s="3287"/>
      <c r="O73" s="3287"/>
      <c r="P73" s="3287"/>
      <c r="Q73" s="3924" t="s">
        <v>248</v>
      </c>
      <c r="R73" s="3925"/>
      <c r="S73" s="3925"/>
      <c r="T73" s="3925"/>
      <c r="U73" s="3926"/>
      <c r="V73" s="1401" t="s">
        <v>1217</v>
      </c>
      <c r="W73" s="979"/>
    </row>
    <row r="74" spans="1:23" s="1099" customFormat="1">
      <c r="A74" s="1402"/>
      <c r="B74" s="3287" t="s">
        <v>1167</v>
      </c>
      <c r="C74" s="3287" t="s">
        <v>1167</v>
      </c>
      <c r="D74" s="3287" t="s">
        <v>1168</v>
      </c>
      <c r="E74" s="3287" t="s">
        <v>463</v>
      </c>
      <c r="F74" s="1400" t="s">
        <v>1169</v>
      </c>
      <c r="G74" s="3287" t="s">
        <v>1169</v>
      </c>
      <c r="H74" s="1400" t="s">
        <v>553</v>
      </c>
      <c r="I74" s="3287" t="s">
        <v>462</v>
      </c>
      <c r="J74" s="3287" t="s">
        <v>451</v>
      </c>
      <c r="K74" s="1400" t="s">
        <v>554</v>
      </c>
      <c r="L74" s="3287" t="s">
        <v>453</v>
      </c>
      <c r="M74" s="3287"/>
      <c r="N74" s="3287"/>
      <c r="O74" s="3287"/>
      <c r="P74" s="3287"/>
      <c r="Q74" s="3287"/>
      <c r="S74" s="3287"/>
      <c r="T74" s="3287" t="s">
        <v>249</v>
      </c>
      <c r="U74" s="3287"/>
      <c r="V74" s="1401" t="s">
        <v>454</v>
      </c>
      <c r="W74" s="979"/>
    </row>
    <row r="75" spans="1:23">
      <c r="A75" s="1415"/>
      <c r="B75" s="1125"/>
      <c r="C75" s="1206"/>
      <c r="D75" s="1416" t="s">
        <v>976</v>
      </c>
      <c r="E75" s="1309"/>
      <c r="F75" s="1125"/>
      <c r="G75" s="1417"/>
      <c r="H75" s="1309"/>
      <c r="I75" s="1417"/>
      <c r="J75" s="1416" t="s">
        <v>976</v>
      </c>
      <c r="K75" s="1418"/>
      <c r="L75" s="3287" t="s">
        <v>456</v>
      </c>
      <c r="M75" s="3287" t="str">
        <f>M14</f>
        <v>Other</v>
      </c>
      <c r="N75" s="3287" t="str">
        <f>N14</f>
        <v>Discounted</v>
      </c>
      <c r="O75" s="3287" t="str">
        <f>O14</f>
        <v>Loss</v>
      </c>
      <c r="P75" s="3287"/>
      <c r="Q75" s="3287" t="s">
        <v>243</v>
      </c>
      <c r="R75" s="1099" t="s">
        <v>244</v>
      </c>
      <c r="S75" s="3287" t="s">
        <v>245</v>
      </c>
      <c r="T75" s="3287" t="s">
        <v>246</v>
      </c>
      <c r="U75" s="3287" t="s">
        <v>247</v>
      </c>
      <c r="V75" s="1401" t="s">
        <v>455</v>
      </c>
    </row>
    <row r="76" spans="1:23">
      <c r="A76" s="3326"/>
      <c r="B76" s="3302"/>
      <c r="C76" s="3327"/>
      <c r="D76" s="3303"/>
      <c r="E76" s="1442">
        <f>IF(D76&gt;0,D76/C76,0)</f>
        <v>0</v>
      </c>
      <c r="F76" s="3302"/>
      <c r="G76" s="3328"/>
      <c r="H76" s="3303"/>
      <c r="I76" s="1441">
        <f>C76-G76</f>
        <v>0</v>
      </c>
      <c r="J76" s="1419">
        <f>IF(D76&gt;0,(D76/C76*I76),0)</f>
        <v>0</v>
      </c>
      <c r="K76" s="1406">
        <f>IF(B76="",0,IF(B76&gt;=DATE(1985,9,20),IF(H76&gt;0,H76-G76*E76,0),"NIL (Pre-CGT)"))</f>
        <v>0</v>
      </c>
      <c r="L76" s="3305"/>
      <c r="M76" s="3305" t="str">
        <f>IF(SUM(H76)-SUM(D76)+SUM(J76)-SUM(N76)*2-SUM(O76)=0,"",SUM(H76)-SUM(D76)+SUM(J76)-SUM(N76)*2-SUM(O76))</f>
        <v/>
      </c>
      <c r="N76" s="3305" t="str">
        <f t="shared" ref="N76:N90" si="3">IF(AND(UPPER(L76)="Y",K76&gt;0),K76*50%,"")</f>
        <v/>
      </c>
      <c r="O76" s="3305" t="str">
        <f>IF(H76-D76+J76&gt;=0,"",H76-D76+J76)</f>
        <v/>
      </c>
      <c r="P76" s="1425"/>
      <c r="Q76" s="3306"/>
      <c r="R76" s="3306"/>
      <c r="S76" s="3306"/>
      <c r="T76" s="3306"/>
      <c r="U76" s="3306"/>
      <c r="V76" s="1407">
        <f>IF(Q76="Y",0,IF(U76="Y",0,IF(L76="Y",IF(R76="y",IF(S76="y",IF((K76/4)&gt;=500000*T76,(K76/4)-500000*T76,0),K76/4),K76/2),IF(R76="y",IF(S76="y",IF((K76/2)&gt;=500000*T76,(K76/2)-500000*T76,0),K76/2),K76))))</f>
        <v>0</v>
      </c>
    </row>
    <row r="77" spans="1:23">
      <c r="A77" s="3331"/>
      <c r="B77" s="3307"/>
      <c r="C77" s="3332"/>
      <c r="D77" s="3308"/>
      <c r="E77" s="1442">
        <f t="shared" ref="E77:E90" si="4">IF(D77&gt;0,D77/C77,0)</f>
        <v>0</v>
      </c>
      <c r="F77" s="3307"/>
      <c r="G77" s="3333"/>
      <c r="H77" s="3308"/>
      <c r="I77" s="1441">
        <f t="shared" ref="I77:I90" si="5">C77-G77</f>
        <v>0</v>
      </c>
      <c r="J77" s="1419">
        <f t="shared" ref="J77:J90" si="6">IF(D77&gt;0,(D77/C77*I77),0)</f>
        <v>0</v>
      </c>
      <c r="K77" s="1406">
        <f t="shared" ref="K77:K90" si="7">IF(B77="",0,IF(B77&gt;=DATE(1985,9,20),IF(H77&gt;0,H77-G77*E77,0),"NIL (Pre-CGT)"))</f>
        <v>0</v>
      </c>
      <c r="L77" s="3309"/>
      <c r="M77" s="3309" t="str">
        <f t="shared" ref="M77:M90" si="8">IF(SUM(H77)-SUM(D77)+SUM(J77)-SUM(N77)*2-SUM(O77)=0,"",SUM(H77)-SUM(D77)+SUM(J77)-SUM(N77)*2-SUM(O77))</f>
        <v/>
      </c>
      <c r="N77" s="3309" t="str">
        <f t="shared" si="3"/>
        <v/>
      </c>
      <c r="O77" s="3309" t="str">
        <f t="shared" ref="O77:O90" si="9">IF(H77-D77+J77&gt;=0,"",H77-D77+J77)</f>
        <v/>
      </c>
      <c r="P77" s="1425"/>
      <c r="Q77" s="3309"/>
      <c r="R77" s="3309"/>
      <c r="S77" s="3309"/>
      <c r="T77" s="3309"/>
      <c r="U77" s="3309"/>
      <c r="V77" s="1407">
        <f t="shared" ref="V77:V90" si="10">IF(Q77="Y",0,IF(U77="Y",0,IF(L77="Y",IF(R77="y",IF(S77="y",IF((K77/4)&gt;=500000*T77,(K77/4)-500000*T77,0),K77/4),K77/2),IF(R77="y",IF(S77="y",IF((K77/2)&gt;=500000*T77,(K77/2)-500000*T77,0),K77/2),K77))))</f>
        <v>0</v>
      </c>
    </row>
    <row r="78" spans="1:23">
      <c r="A78" s="3331"/>
      <c r="B78" s="3307"/>
      <c r="C78" s="3332"/>
      <c r="D78" s="3308"/>
      <c r="E78" s="1442">
        <f t="shared" si="4"/>
        <v>0</v>
      </c>
      <c r="F78" s="3307"/>
      <c r="G78" s="3333"/>
      <c r="H78" s="3308"/>
      <c r="I78" s="1441">
        <f t="shared" si="5"/>
        <v>0</v>
      </c>
      <c r="J78" s="1419">
        <f t="shared" si="6"/>
        <v>0</v>
      </c>
      <c r="K78" s="1406">
        <f t="shared" si="7"/>
        <v>0</v>
      </c>
      <c r="L78" s="3309"/>
      <c r="M78" s="3309" t="str">
        <f t="shared" si="8"/>
        <v/>
      </c>
      <c r="N78" s="3309" t="str">
        <f t="shared" si="3"/>
        <v/>
      </c>
      <c r="O78" s="3309" t="str">
        <f t="shared" si="9"/>
        <v/>
      </c>
      <c r="P78" s="1425"/>
      <c r="Q78" s="3309"/>
      <c r="R78" s="3309"/>
      <c r="S78" s="3309"/>
      <c r="T78" s="3309"/>
      <c r="U78" s="3309"/>
      <c r="V78" s="1407">
        <f t="shared" si="10"/>
        <v>0</v>
      </c>
    </row>
    <row r="79" spans="1:23">
      <c r="A79" s="3331"/>
      <c r="B79" s="3307"/>
      <c r="C79" s="3332"/>
      <c r="D79" s="3308"/>
      <c r="E79" s="1442">
        <f t="shared" si="4"/>
        <v>0</v>
      </c>
      <c r="F79" s="3307"/>
      <c r="G79" s="3333"/>
      <c r="H79" s="3308"/>
      <c r="I79" s="1441">
        <f t="shared" si="5"/>
        <v>0</v>
      </c>
      <c r="J79" s="1419">
        <f t="shared" si="6"/>
        <v>0</v>
      </c>
      <c r="K79" s="1406">
        <f t="shared" si="7"/>
        <v>0</v>
      </c>
      <c r="L79" s="3309"/>
      <c r="M79" s="3309" t="str">
        <f t="shared" si="8"/>
        <v/>
      </c>
      <c r="N79" s="3309" t="str">
        <f t="shared" si="3"/>
        <v/>
      </c>
      <c r="O79" s="3309" t="str">
        <f t="shared" si="9"/>
        <v/>
      </c>
      <c r="P79" s="1425"/>
      <c r="Q79" s="3309"/>
      <c r="R79" s="3309"/>
      <c r="S79" s="3309"/>
      <c r="T79" s="3309"/>
      <c r="U79" s="3309"/>
      <c r="V79" s="1407">
        <f t="shared" si="10"/>
        <v>0</v>
      </c>
    </row>
    <row r="80" spans="1:23">
      <c r="A80" s="3331"/>
      <c r="B80" s="3307"/>
      <c r="C80" s="3332"/>
      <c r="D80" s="3308"/>
      <c r="E80" s="1442">
        <f t="shared" si="4"/>
        <v>0</v>
      </c>
      <c r="F80" s="3307"/>
      <c r="G80" s="3333"/>
      <c r="H80" s="3308"/>
      <c r="I80" s="1441">
        <f t="shared" si="5"/>
        <v>0</v>
      </c>
      <c r="J80" s="1419">
        <f t="shared" si="6"/>
        <v>0</v>
      </c>
      <c r="K80" s="1406">
        <f t="shared" si="7"/>
        <v>0</v>
      </c>
      <c r="L80" s="3309"/>
      <c r="M80" s="3309" t="str">
        <f t="shared" si="8"/>
        <v/>
      </c>
      <c r="N80" s="3309" t="str">
        <f t="shared" si="3"/>
        <v/>
      </c>
      <c r="O80" s="3309" t="str">
        <f t="shared" si="9"/>
        <v/>
      </c>
      <c r="P80" s="1425"/>
      <c r="Q80" s="3309"/>
      <c r="R80" s="3309"/>
      <c r="S80" s="3309"/>
      <c r="T80" s="3309"/>
      <c r="U80" s="3309"/>
      <c r="V80" s="1407">
        <f t="shared" si="10"/>
        <v>0</v>
      </c>
    </row>
    <row r="81" spans="1:23">
      <c r="A81" s="3331"/>
      <c r="B81" s="3307"/>
      <c r="C81" s="3332"/>
      <c r="D81" s="3308"/>
      <c r="E81" s="1442">
        <f t="shared" si="4"/>
        <v>0</v>
      </c>
      <c r="F81" s="3307"/>
      <c r="G81" s="3333"/>
      <c r="H81" s="3308"/>
      <c r="I81" s="1441">
        <f t="shared" si="5"/>
        <v>0</v>
      </c>
      <c r="J81" s="1419">
        <f t="shared" si="6"/>
        <v>0</v>
      </c>
      <c r="K81" s="1406">
        <f t="shared" si="7"/>
        <v>0</v>
      </c>
      <c r="L81" s="3309"/>
      <c r="M81" s="3309" t="str">
        <f t="shared" si="8"/>
        <v/>
      </c>
      <c r="N81" s="3309" t="str">
        <f t="shared" si="3"/>
        <v/>
      </c>
      <c r="O81" s="3309" t="str">
        <f t="shared" si="9"/>
        <v/>
      </c>
      <c r="P81" s="1425"/>
      <c r="Q81" s="3309"/>
      <c r="R81" s="3309"/>
      <c r="S81" s="3309"/>
      <c r="T81" s="3309"/>
      <c r="U81" s="3309"/>
      <c r="V81" s="1407">
        <f t="shared" si="10"/>
        <v>0</v>
      </c>
    </row>
    <row r="82" spans="1:23">
      <c r="A82" s="3331"/>
      <c r="B82" s="3307"/>
      <c r="C82" s="3332"/>
      <c r="D82" s="3308"/>
      <c r="E82" s="1442">
        <f t="shared" si="4"/>
        <v>0</v>
      </c>
      <c r="F82" s="3307"/>
      <c r="G82" s="3333"/>
      <c r="H82" s="3308"/>
      <c r="I82" s="1441">
        <f t="shared" si="5"/>
        <v>0</v>
      </c>
      <c r="J82" s="1419">
        <f t="shared" si="6"/>
        <v>0</v>
      </c>
      <c r="K82" s="1406">
        <f t="shared" si="7"/>
        <v>0</v>
      </c>
      <c r="L82" s="3309"/>
      <c r="M82" s="3309" t="str">
        <f t="shared" si="8"/>
        <v/>
      </c>
      <c r="N82" s="3309" t="str">
        <f t="shared" si="3"/>
        <v/>
      </c>
      <c r="O82" s="3309" t="str">
        <f t="shared" si="9"/>
        <v/>
      </c>
      <c r="P82" s="1425"/>
      <c r="Q82" s="3309"/>
      <c r="R82" s="3309"/>
      <c r="S82" s="3309"/>
      <c r="T82" s="3309"/>
      <c r="U82" s="3309"/>
      <c r="V82" s="1407">
        <f t="shared" si="10"/>
        <v>0</v>
      </c>
    </row>
    <row r="83" spans="1:23">
      <c r="A83" s="3331"/>
      <c r="B83" s="3307"/>
      <c r="C83" s="3332"/>
      <c r="D83" s="3308"/>
      <c r="E83" s="1442">
        <f t="shared" si="4"/>
        <v>0</v>
      </c>
      <c r="F83" s="3307"/>
      <c r="G83" s="3333"/>
      <c r="H83" s="3308"/>
      <c r="I83" s="1441">
        <f t="shared" si="5"/>
        <v>0</v>
      </c>
      <c r="J83" s="1419">
        <f t="shared" si="6"/>
        <v>0</v>
      </c>
      <c r="K83" s="1406">
        <f t="shared" si="7"/>
        <v>0</v>
      </c>
      <c r="L83" s="3309"/>
      <c r="M83" s="3309" t="str">
        <f t="shared" si="8"/>
        <v/>
      </c>
      <c r="N83" s="3309" t="str">
        <f t="shared" si="3"/>
        <v/>
      </c>
      <c r="O83" s="3309" t="str">
        <f t="shared" si="9"/>
        <v/>
      </c>
      <c r="P83" s="1425"/>
      <c r="Q83" s="3309"/>
      <c r="R83" s="3309"/>
      <c r="S83" s="3309"/>
      <c r="T83" s="3309"/>
      <c r="U83" s="3309"/>
      <c r="V83" s="1407">
        <f t="shared" si="10"/>
        <v>0</v>
      </c>
    </row>
    <row r="84" spans="1:23">
      <c r="A84" s="3331"/>
      <c r="B84" s="3307"/>
      <c r="C84" s="3332"/>
      <c r="D84" s="3308"/>
      <c r="E84" s="1442">
        <f t="shared" si="4"/>
        <v>0</v>
      </c>
      <c r="F84" s="3307"/>
      <c r="G84" s="3333"/>
      <c r="H84" s="3308"/>
      <c r="I84" s="1441">
        <f t="shared" si="5"/>
        <v>0</v>
      </c>
      <c r="J84" s="1419">
        <f t="shared" si="6"/>
        <v>0</v>
      </c>
      <c r="K84" s="1406">
        <f t="shared" si="7"/>
        <v>0</v>
      </c>
      <c r="L84" s="3309"/>
      <c r="M84" s="3309" t="str">
        <f t="shared" si="8"/>
        <v/>
      </c>
      <c r="N84" s="3309" t="str">
        <f t="shared" si="3"/>
        <v/>
      </c>
      <c r="O84" s="3309" t="str">
        <f t="shared" si="9"/>
        <v/>
      </c>
      <c r="P84" s="1425"/>
      <c r="Q84" s="3309"/>
      <c r="R84" s="3309"/>
      <c r="S84" s="3309"/>
      <c r="T84" s="3309"/>
      <c r="U84" s="3309"/>
      <c r="V84" s="1407">
        <f t="shared" si="10"/>
        <v>0</v>
      </c>
    </row>
    <row r="85" spans="1:23">
      <c r="A85" s="3331"/>
      <c r="B85" s="3307"/>
      <c r="C85" s="3332"/>
      <c r="D85" s="3308"/>
      <c r="E85" s="1442">
        <f t="shared" si="4"/>
        <v>0</v>
      </c>
      <c r="F85" s="3307"/>
      <c r="G85" s="3333"/>
      <c r="H85" s="3308"/>
      <c r="I85" s="1441">
        <f t="shared" si="5"/>
        <v>0</v>
      </c>
      <c r="J85" s="1419">
        <f t="shared" si="6"/>
        <v>0</v>
      </c>
      <c r="K85" s="1406">
        <f t="shared" si="7"/>
        <v>0</v>
      </c>
      <c r="L85" s="3309"/>
      <c r="M85" s="3309" t="str">
        <f t="shared" si="8"/>
        <v/>
      </c>
      <c r="N85" s="3309" t="str">
        <f t="shared" si="3"/>
        <v/>
      </c>
      <c r="O85" s="3309" t="str">
        <f t="shared" si="9"/>
        <v/>
      </c>
      <c r="P85" s="1425"/>
      <c r="Q85" s="3309"/>
      <c r="R85" s="3309"/>
      <c r="S85" s="3309"/>
      <c r="T85" s="3309"/>
      <c r="U85" s="3309"/>
      <c r="V85" s="1407">
        <f t="shared" si="10"/>
        <v>0</v>
      </c>
    </row>
    <row r="86" spans="1:23">
      <c r="A86" s="3331"/>
      <c r="B86" s="3307"/>
      <c r="C86" s="3332"/>
      <c r="D86" s="3308"/>
      <c r="E86" s="1442">
        <f t="shared" si="4"/>
        <v>0</v>
      </c>
      <c r="F86" s="3307"/>
      <c r="G86" s="3333"/>
      <c r="H86" s="3308"/>
      <c r="I86" s="1441">
        <f t="shared" si="5"/>
        <v>0</v>
      </c>
      <c r="J86" s="1419">
        <f t="shared" si="6"/>
        <v>0</v>
      </c>
      <c r="K86" s="1406">
        <f t="shared" si="7"/>
        <v>0</v>
      </c>
      <c r="L86" s="3309"/>
      <c r="M86" s="3309" t="str">
        <f t="shared" si="8"/>
        <v/>
      </c>
      <c r="N86" s="3309" t="str">
        <f t="shared" si="3"/>
        <v/>
      </c>
      <c r="O86" s="3309" t="str">
        <f t="shared" si="9"/>
        <v/>
      </c>
      <c r="P86" s="1425"/>
      <c r="Q86" s="3309"/>
      <c r="R86" s="3309"/>
      <c r="S86" s="3309"/>
      <c r="T86" s="3309"/>
      <c r="U86" s="3309"/>
      <c r="V86" s="1407">
        <f t="shared" si="10"/>
        <v>0</v>
      </c>
    </row>
    <row r="87" spans="1:23">
      <c r="A87" s="3331"/>
      <c r="B87" s="3307"/>
      <c r="C87" s="3332"/>
      <c r="D87" s="3308"/>
      <c r="E87" s="1442">
        <f t="shared" si="4"/>
        <v>0</v>
      </c>
      <c r="F87" s="3307"/>
      <c r="G87" s="3333"/>
      <c r="H87" s="3308"/>
      <c r="I87" s="1441">
        <f t="shared" si="5"/>
        <v>0</v>
      </c>
      <c r="J87" s="1419">
        <f t="shared" si="6"/>
        <v>0</v>
      </c>
      <c r="K87" s="1406">
        <f t="shared" si="7"/>
        <v>0</v>
      </c>
      <c r="L87" s="3309"/>
      <c r="M87" s="3309" t="str">
        <f t="shared" si="8"/>
        <v/>
      </c>
      <c r="N87" s="3309" t="str">
        <f t="shared" si="3"/>
        <v/>
      </c>
      <c r="O87" s="3309" t="str">
        <f t="shared" si="9"/>
        <v/>
      </c>
      <c r="P87" s="1425"/>
      <c r="Q87" s="3309"/>
      <c r="R87" s="3309"/>
      <c r="S87" s="3309"/>
      <c r="T87" s="3309"/>
      <c r="U87" s="3309"/>
      <c r="V87" s="1407">
        <f t="shared" si="10"/>
        <v>0</v>
      </c>
    </row>
    <row r="88" spans="1:23">
      <c r="A88" s="3331"/>
      <c r="B88" s="3307"/>
      <c r="C88" s="3332"/>
      <c r="D88" s="3308"/>
      <c r="E88" s="1442">
        <f t="shared" si="4"/>
        <v>0</v>
      </c>
      <c r="F88" s="3307"/>
      <c r="G88" s="3333"/>
      <c r="H88" s="3308"/>
      <c r="I88" s="1441">
        <f t="shared" si="5"/>
        <v>0</v>
      </c>
      <c r="J88" s="1419">
        <f t="shared" si="6"/>
        <v>0</v>
      </c>
      <c r="K88" s="1406">
        <f t="shared" si="7"/>
        <v>0</v>
      </c>
      <c r="L88" s="3309"/>
      <c r="M88" s="3309" t="str">
        <f t="shared" si="8"/>
        <v/>
      </c>
      <c r="N88" s="3309" t="str">
        <f t="shared" si="3"/>
        <v/>
      </c>
      <c r="O88" s="3309" t="str">
        <f t="shared" si="9"/>
        <v/>
      </c>
      <c r="P88" s="1425"/>
      <c r="Q88" s="3309"/>
      <c r="R88" s="3309"/>
      <c r="S88" s="3309"/>
      <c r="T88" s="3309"/>
      <c r="U88" s="3309"/>
      <c r="V88" s="1407">
        <f t="shared" si="10"/>
        <v>0</v>
      </c>
    </row>
    <row r="89" spans="1:23">
      <c r="A89" s="3331"/>
      <c r="B89" s="3307"/>
      <c r="C89" s="3332"/>
      <c r="D89" s="3308"/>
      <c r="E89" s="1442">
        <f t="shared" si="4"/>
        <v>0</v>
      </c>
      <c r="F89" s="3307"/>
      <c r="G89" s="3333"/>
      <c r="H89" s="3308"/>
      <c r="I89" s="1441">
        <f t="shared" si="5"/>
        <v>0</v>
      </c>
      <c r="J89" s="1419">
        <f t="shared" si="6"/>
        <v>0</v>
      </c>
      <c r="K89" s="1406">
        <f t="shared" si="7"/>
        <v>0</v>
      </c>
      <c r="L89" s="3309"/>
      <c r="M89" s="3309" t="str">
        <f t="shared" si="8"/>
        <v/>
      </c>
      <c r="N89" s="3309" t="str">
        <f t="shared" si="3"/>
        <v/>
      </c>
      <c r="O89" s="3309" t="str">
        <f t="shared" si="9"/>
        <v/>
      </c>
      <c r="P89" s="1425"/>
      <c r="Q89" s="3309"/>
      <c r="R89" s="3309"/>
      <c r="S89" s="3309"/>
      <c r="T89" s="3309"/>
      <c r="U89" s="3309"/>
      <c r="V89" s="1407">
        <f t="shared" si="10"/>
        <v>0</v>
      </c>
    </row>
    <row r="90" spans="1:23">
      <c r="A90" s="3334"/>
      <c r="B90" s="3335"/>
      <c r="C90" s="3336"/>
      <c r="D90" s="3337"/>
      <c r="E90" s="1442">
        <f t="shared" si="4"/>
        <v>0</v>
      </c>
      <c r="F90" s="3335"/>
      <c r="G90" s="3338"/>
      <c r="H90" s="3337"/>
      <c r="I90" s="1441">
        <f t="shared" si="5"/>
        <v>0</v>
      </c>
      <c r="J90" s="1419">
        <f t="shared" si="6"/>
        <v>0</v>
      </c>
      <c r="K90" s="1406">
        <f t="shared" si="7"/>
        <v>0</v>
      </c>
      <c r="L90" s="3339"/>
      <c r="M90" s="3339" t="str">
        <f t="shared" si="8"/>
        <v/>
      </c>
      <c r="N90" s="3339" t="str">
        <f t="shared" si="3"/>
        <v/>
      </c>
      <c r="O90" s="3339" t="str">
        <f t="shared" si="9"/>
        <v/>
      </c>
      <c r="P90" s="1425"/>
      <c r="Q90" s="3340"/>
      <c r="R90" s="3340"/>
      <c r="S90" s="3340"/>
      <c r="T90" s="3340"/>
      <c r="U90" s="3340"/>
      <c r="V90" s="1407">
        <f t="shared" si="10"/>
        <v>0</v>
      </c>
    </row>
    <row r="91" spans="1:23">
      <c r="A91" s="1420" t="s">
        <v>458</v>
      </c>
      <c r="B91" s="1125"/>
      <c r="C91" s="1206"/>
      <c r="D91" s="1152">
        <f>K92-H92</f>
        <v>0</v>
      </c>
      <c r="E91" s="1309"/>
      <c r="F91" s="1125"/>
      <c r="G91" s="1417"/>
      <c r="H91" s="1406"/>
      <c r="I91" s="1417"/>
      <c r="J91" s="1406"/>
      <c r="K91" s="1406"/>
      <c r="L91" s="1125"/>
      <c r="M91" s="1444"/>
      <c r="N91" s="1444"/>
      <c r="O91" s="1444"/>
      <c r="P91" s="1125"/>
      <c r="Q91" s="1125"/>
      <c r="R91" s="1125"/>
      <c r="S91" s="1125"/>
      <c r="T91" s="1125"/>
      <c r="U91" s="1125"/>
      <c r="V91" s="1407"/>
    </row>
    <row r="92" spans="1:23" ht="13.5" thickBot="1">
      <c r="A92" s="1402" t="s">
        <v>457</v>
      </c>
      <c r="B92" s="1125"/>
      <c r="C92" s="1206"/>
      <c r="D92" s="1421">
        <f>SUBTOTAL(9,D76:D91)</f>
        <v>0</v>
      </c>
      <c r="E92" s="1309"/>
      <c r="F92" s="1125"/>
      <c r="G92" s="1417"/>
      <c r="H92" s="1421">
        <f>SUBTOTAL(9,H76:H91)</f>
        <v>0</v>
      </c>
      <c r="I92" s="1417"/>
      <c r="J92" s="1421">
        <f>SUBTOTAL(9,J76:J91)</f>
        <v>0</v>
      </c>
      <c r="K92" s="1421">
        <f>SUBTOTAL(9,K76:K91)</f>
        <v>0</v>
      </c>
      <c r="L92" s="1125"/>
      <c r="M92" s="1443">
        <f>SUBTOTAL(9,M76:M91)</f>
        <v>0</v>
      </c>
      <c r="N92" s="1443">
        <f>SUBTOTAL(9,N76:N91)</f>
        <v>0</v>
      </c>
      <c r="O92" s="1443">
        <f>SUBTOTAL(9,O76:O91)</f>
        <v>0</v>
      </c>
      <c r="P92" s="1125"/>
      <c r="Q92" s="1125"/>
      <c r="R92" s="1125"/>
      <c r="S92" s="1125"/>
      <c r="T92" s="1125"/>
      <c r="U92" s="1125"/>
      <c r="V92" s="1411">
        <f>SUM(V76:V91)</f>
        <v>0</v>
      </c>
    </row>
    <row r="93" spans="1:23" ht="13.5" thickTop="1">
      <c r="A93" s="1412"/>
      <c r="B93" s="1413"/>
      <c r="C93" s="1422"/>
      <c r="D93" s="1337"/>
      <c r="E93" s="1413"/>
      <c r="F93" s="1423"/>
      <c r="G93" s="1337"/>
      <c r="H93" s="1423"/>
      <c r="I93" s="1337"/>
      <c r="J93" s="1337"/>
      <c r="K93" s="1413"/>
      <c r="L93" s="1395"/>
      <c r="M93" s="1395"/>
      <c r="N93" s="1395"/>
      <c r="O93" s="1395"/>
      <c r="P93" s="1395"/>
      <c r="Q93" s="1395"/>
      <c r="R93" s="1395"/>
      <c r="S93" s="1395"/>
      <c r="T93" s="1395"/>
      <c r="U93" s="1395"/>
      <c r="V93" s="1424"/>
    </row>
    <row r="94" spans="1:23" s="1483" customFormat="1">
      <c r="D94" s="3320"/>
      <c r="F94" s="3325"/>
      <c r="G94" s="3320"/>
      <c r="H94" s="3325"/>
      <c r="I94" s="3320"/>
      <c r="J94" s="3320"/>
      <c r="L94" s="3344"/>
      <c r="M94" s="3344"/>
      <c r="N94" s="3344"/>
      <c r="O94" s="3344"/>
      <c r="P94" s="3344"/>
      <c r="Q94" s="3344"/>
      <c r="R94" s="3344"/>
      <c r="S94" s="3344"/>
      <c r="T94" s="3344"/>
      <c r="U94" s="3344"/>
    </row>
    <row r="95" spans="1:23" s="1483" customFormat="1">
      <c r="A95" s="3296" t="s">
        <v>2538</v>
      </c>
      <c r="B95" s="3297"/>
      <c r="C95" s="3297"/>
      <c r="D95" s="3297"/>
      <c r="E95" s="3297"/>
      <c r="F95" s="3298"/>
      <c r="G95" s="3297"/>
      <c r="H95" s="3298"/>
      <c r="I95" s="3298"/>
      <c r="J95" s="3298"/>
      <c r="K95" s="3297"/>
      <c r="L95" s="3299"/>
      <c r="M95" s="3299"/>
      <c r="N95" s="3299"/>
      <c r="O95" s="3299"/>
      <c r="P95" s="3299"/>
      <c r="Q95" s="3299"/>
      <c r="R95" s="3299"/>
      <c r="S95" s="3299"/>
      <c r="T95" s="3299"/>
      <c r="U95" s="3299"/>
      <c r="V95" s="3300"/>
    </row>
    <row r="96" spans="1:23" s="823" customFormat="1">
      <c r="B96" s="2542"/>
      <c r="C96" s="2542"/>
      <c r="D96" s="2542"/>
      <c r="E96" s="2542"/>
      <c r="F96" s="1400"/>
      <c r="G96" s="2542"/>
      <c r="H96" s="1400" t="s">
        <v>2539</v>
      </c>
      <c r="I96" s="2542"/>
      <c r="J96" s="2542"/>
      <c r="K96" s="1400"/>
      <c r="L96" s="2542" t="s">
        <v>452</v>
      </c>
      <c r="M96" s="2542"/>
      <c r="N96" s="2542"/>
      <c r="O96" s="2542"/>
      <c r="P96" s="2542"/>
      <c r="Q96" s="3912"/>
      <c r="R96" s="3912"/>
      <c r="S96" s="3912"/>
      <c r="T96" s="3912"/>
      <c r="U96" s="3912"/>
      <c r="V96" s="1401"/>
      <c r="W96" s="1483"/>
    </row>
    <row r="97" spans="1:23" s="823" customFormat="1">
      <c r="A97" s="3301"/>
      <c r="B97" s="2542"/>
      <c r="C97" s="2542"/>
      <c r="D97" s="2542"/>
      <c r="E97" s="2542"/>
      <c r="F97" s="1400"/>
      <c r="G97" s="2542"/>
      <c r="H97" s="1400" t="s">
        <v>2540</v>
      </c>
      <c r="I97" s="2542"/>
      <c r="J97" s="2542"/>
      <c r="K97" s="1400"/>
      <c r="L97" s="2542" t="s">
        <v>453</v>
      </c>
      <c r="M97" s="2542"/>
      <c r="N97" s="2542"/>
      <c r="O97" s="2542"/>
      <c r="P97" s="2542"/>
      <c r="Q97" s="2542"/>
      <c r="S97" s="2542"/>
      <c r="T97" s="2542"/>
      <c r="U97" s="2542"/>
      <c r="V97" s="1401"/>
      <c r="W97" s="1483"/>
    </row>
    <row r="98" spans="1:23" s="1483" customFormat="1">
      <c r="A98" s="3301" t="s">
        <v>460</v>
      </c>
      <c r="B98" s="2542"/>
      <c r="C98" s="2542"/>
      <c r="D98" s="2542"/>
      <c r="E98" s="2542"/>
      <c r="F98" s="1400"/>
      <c r="G98" s="2542"/>
      <c r="H98" s="3320"/>
      <c r="I98" s="3325"/>
      <c r="J98" s="1416"/>
      <c r="K98" s="1400"/>
      <c r="L98" s="2542" t="s">
        <v>2542</v>
      </c>
      <c r="M98" s="2542" t="s">
        <v>1274</v>
      </c>
      <c r="N98" s="2542" t="s">
        <v>1648</v>
      </c>
      <c r="O98" s="2542" t="s">
        <v>1649</v>
      </c>
      <c r="P98" s="2542"/>
      <c r="Q98" s="2542"/>
      <c r="R98" s="823"/>
      <c r="S98" s="2542"/>
      <c r="T98" s="2542"/>
      <c r="U98" s="2542"/>
      <c r="V98" s="1401"/>
    </row>
    <row r="99" spans="1:23" s="1483" customFormat="1">
      <c r="A99" s="3909"/>
      <c r="B99" s="3910"/>
      <c r="C99" s="3910"/>
      <c r="D99" s="3910"/>
      <c r="E99" s="3911"/>
      <c r="F99" s="1400"/>
      <c r="G99" s="2542"/>
      <c r="H99" s="3303"/>
      <c r="I99" s="3329"/>
      <c r="J99" s="3330"/>
      <c r="K99" s="1400"/>
      <c r="L99" s="3305"/>
      <c r="M99" s="3305" t="str">
        <f>IF(SUM(H99)-SUM(D99)+SUM(J99)-SUM(N99)*2-SUM(O99)=0,"",SUM(H99)-SUM(D99)+SUM(J99)-SUM(N99)*2-SUM(O99))</f>
        <v/>
      </c>
      <c r="N99" s="3306" t="str">
        <f>IF(AND(UPPER(L99)="Y",H99&gt;0),H99*50%,"")</f>
        <v/>
      </c>
      <c r="O99" s="3305" t="str">
        <f>IF(H99-D99+J99&gt;=0,"",H99-D99+J99)</f>
        <v/>
      </c>
      <c r="P99" s="2542"/>
      <c r="Q99" s="2542"/>
      <c r="R99" s="823"/>
      <c r="S99" s="2542"/>
      <c r="T99" s="2542"/>
      <c r="U99" s="2542"/>
      <c r="V99" s="1401"/>
    </row>
    <row r="100" spans="1:23" s="1483" customFormat="1">
      <c r="A100" s="3909"/>
      <c r="B100" s="3910"/>
      <c r="C100" s="3910"/>
      <c r="D100" s="3910"/>
      <c r="E100" s="3911"/>
      <c r="F100" s="1400"/>
      <c r="G100" s="2542"/>
      <c r="H100" s="3308"/>
      <c r="I100" s="3329"/>
      <c r="J100" s="3330"/>
      <c r="K100" s="1400"/>
      <c r="L100" s="3309"/>
      <c r="M100" s="3309" t="str">
        <f t="shared" ref="M100:M113" si="11">IF(SUM(H100)-SUM(D100)+SUM(J100)-SUM(N100)*2-SUM(O100)=0,"",SUM(H100)-SUM(D100)+SUM(J100)-SUM(N100)*2-SUM(O100))</f>
        <v/>
      </c>
      <c r="N100" s="3309" t="str">
        <f t="shared" ref="N100:N113" si="12">IF(AND(UPPER(L100)="Y",H100&gt;0),H100*50%,"")</f>
        <v/>
      </c>
      <c r="O100" s="3309" t="str">
        <f t="shared" ref="O100:O113" si="13">IF(H100-D100+J100&gt;=0,"",H100-D100+J100)</f>
        <v/>
      </c>
      <c r="P100" s="2542"/>
      <c r="Q100" s="2542"/>
      <c r="R100" s="823"/>
      <c r="S100" s="2542"/>
      <c r="T100" s="2542"/>
      <c r="U100" s="2542"/>
      <c r="V100" s="1401"/>
    </row>
    <row r="101" spans="1:23" s="1483" customFormat="1">
      <c r="A101" s="3909"/>
      <c r="B101" s="3910"/>
      <c r="C101" s="3910"/>
      <c r="D101" s="3910"/>
      <c r="E101" s="3911"/>
      <c r="F101" s="1400"/>
      <c r="G101" s="2542"/>
      <c r="H101" s="3308"/>
      <c r="I101" s="3329"/>
      <c r="J101" s="3330"/>
      <c r="K101" s="1400"/>
      <c r="L101" s="3309"/>
      <c r="M101" s="3309" t="str">
        <f t="shared" si="11"/>
        <v/>
      </c>
      <c r="N101" s="3309" t="str">
        <f t="shared" si="12"/>
        <v/>
      </c>
      <c r="O101" s="3309" t="str">
        <f t="shared" si="13"/>
        <v/>
      </c>
      <c r="P101" s="2542"/>
      <c r="Q101" s="2542"/>
      <c r="R101" s="823"/>
      <c r="S101" s="2542"/>
      <c r="T101" s="2542"/>
      <c r="U101" s="2542"/>
      <c r="V101" s="1401"/>
    </row>
    <row r="102" spans="1:23" s="1483" customFormat="1">
      <c r="A102" s="3909"/>
      <c r="B102" s="3910"/>
      <c r="C102" s="3910"/>
      <c r="D102" s="3910"/>
      <c r="E102" s="3911"/>
      <c r="F102" s="1400"/>
      <c r="G102" s="2542"/>
      <c r="H102" s="3308"/>
      <c r="I102" s="3329"/>
      <c r="J102" s="3330"/>
      <c r="K102" s="1400"/>
      <c r="L102" s="3309"/>
      <c r="M102" s="3309" t="str">
        <f t="shared" si="11"/>
        <v/>
      </c>
      <c r="N102" s="3309" t="str">
        <f t="shared" si="12"/>
        <v/>
      </c>
      <c r="O102" s="3309" t="str">
        <f t="shared" si="13"/>
        <v/>
      </c>
      <c r="P102" s="2542"/>
      <c r="Q102" s="2542"/>
      <c r="R102" s="823"/>
      <c r="S102" s="2542"/>
      <c r="T102" s="2542"/>
      <c r="U102" s="2542"/>
      <c r="V102" s="1401"/>
    </row>
    <row r="103" spans="1:23" s="1483" customFormat="1">
      <c r="A103" s="3909"/>
      <c r="B103" s="3910"/>
      <c r="C103" s="3910"/>
      <c r="D103" s="3910"/>
      <c r="E103" s="3911"/>
      <c r="F103" s="1400"/>
      <c r="G103" s="2542"/>
      <c r="H103" s="3308"/>
      <c r="I103" s="3329"/>
      <c r="J103" s="3330"/>
      <c r="K103" s="1400"/>
      <c r="L103" s="3309"/>
      <c r="M103" s="3309" t="str">
        <f t="shared" si="11"/>
        <v/>
      </c>
      <c r="N103" s="3309" t="str">
        <f t="shared" si="12"/>
        <v/>
      </c>
      <c r="O103" s="3309" t="str">
        <f t="shared" si="13"/>
        <v/>
      </c>
      <c r="P103" s="2542"/>
      <c r="Q103" s="2542"/>
      <c r="R103" s="823"/>
      <c r="S103" s="2542"/>
      <c r="T103" s="2542"/>
      <c r="U103" s="2542"/>
      <c r="V103" s="1401"/>
    </row>
    <row r="104" spans="1:23" s="1483" customFormat="1">
      <c r="A104" s="3909"/>
      <c r="B104" s="3910"/>
      <c r="C104" s="3910"/>
      <c r="D104" s="3910"/>
      <c r="E104" s="3911"/>
      <c r="F104" s="1400"/>
      <c r="G104" s="2542"/>
      <c r="H104" s="3308"/>
      <c r="I104" s="3329"/>
      <c r="J104" s="3330"/>
      <c r="K104" s="1400"/>
      <c r="L104" s="3309"/>
      <c r="M104" s="3309" t="str">
        <f t="shared" si="11"/>
        <v/>
      </c>
      <c r="N104" s="3309" t="str">
        <f t="shared" si="12"/>
        <v/>
      </c>
      <c r="O104" s="3309" t="str">
        <f t="shared" si="13"/>
        <v/>
      </c>
      <c r="P104" s="2542"/>
      <c r="Q104" s="2542"/>
      <c r="R104" s="823"/>
      <c r="S104" s="2542"/>
      <c r="T104" s="2542"/>
      <c r="U104" s="2542"/>
      <c r="V104" s="1401"/>
    </row>
    <row r="105" spans="1:23" s="1483" customFormat="1">
      <c r="A105" s="3909"/>
      <c r="B105" s="3910"/>
      <c r="C105" s="3910"/>
      <c r="D105" s="3910"/>
      <c r="E105" s="3911"/>
      <c r="F105" s="1400"/>
      <c r="G105" s="2542"/>
      <c r="H105" s="3308"/>
      <c r="I105" s="3329"/>
      <c r="J105" s="3330"/>
      <c r="K105" s="1400"/>
      <c r="L105" s="3309"/>
      <c r="M105" s="3309" t="str">
        <f t="shared" si="11"/>
        <v/>
      </c>
      <c r="N105" s="3309" t="str">
        <f t="shared" si="12"/>
        <v/>
      </c>
      <c r="O105" s="3309" t="str">
        <f t="shared" si="13"/>
        <v/>
      </c>
      <c r="P105" s="2542"/>
      <c r="Q105" s="2542"/>
      <c r="R105" s="823"/>
      <c r="S105" s="2542"/>
      <c r="T105" s="2542"/>
      <c r="U105" s="2542"/>
      <c r="V105" s="1401"/>
    </row>
    <row r="106" spans="1:23" s="1483" customFormat="1">
      <c r="A106" s="3909"/>
      <c r="B106" s="3910"/>
      <c r="C106" s="3910"/>
      <c r="D106" s="3910"/>
      <c r="E106" s="3911"/>
      <c r="F106" s="1400"/>
      <c r="G106" s="2542"/>
      <c r="H106" s="3308"/>
      <c r="I106" s="3329"/>
      <c r="J106" s="3330"/>
      <c r="K106" s="1400"/>
      <c r="L106" s="3309"/>
      <c r="M106" s="3309" t="str">
        <f t="shared" si="11"/>
        <v/>
      </c>
      <c r="N106" s="3309" t="str">
        <f t="shared" si="12"/>
        <v/>
      </c>
      <c r="O106" s="3309" t="str">
        <f t="shared" si="13"/>
        <v/>
      </c>
      <c r="P106" s="2542"/>
      <c r="Q106" s="2542"/>
      <c r="R106" s="823"/>
      <c r="S106" s="2542"/>
      <c r="T106" s="2542"/>
      <c r="U106" s="2542"/>
      <c r="V106" s="1401"/>
    </row>
    <row r="107" spans="1:23" s="1483" customFormat="1">
      <c r="A107" s="3909"/>
      <c r="B107" s="3910"/>
      <c r="C107" s="3910"/>
      <c r="D107" s="3910"/>
      <c r="E107" s="3911"/>
      <c r="F107" s="1400"/>
      <c r="G107" s="2542"/>
      <c r="H107" s="3308"/>
      <c r="I107" s="3329"/>
      <c r="J107" s="3330"/>
      <c r="K107" s="1400"/>
      <c r="L107" s="3309"/>
      <c r="M107" s="3309" t="str">
        <f t="shared" si="11"/>
        <v/>
      </c>
      <c r="N107" s="3309" t="str">
        <f t="shared" si="12"/>
        <v/>
      </c>
      <c r="O107" s="3309" t="str">
        <f t="shared" si="13"/>
        <v/>
      </c>
      <c r="P107" s="2542"/>
      <c r="Q107" s="2542"/>
      <c r="R107" s="823"/>
      <c r="S107" s="2542"/>
      <c r="T107" s="2542"/>
      <c r="U107" s="2542"/>
      <c r="V107" s="1401"/>
    </row>
    <row r="108" spans="1:23" s="1483" customFormat="1">
      <c r="A108" s="3909"/>
      <c r="B108" s="3910"/>
      <c r="C108" s="3910"/>
      <c r="D108" s="3910"/>
      <c r="E108" s="3911"/>
      <c r="F108" s="1400"/>
      <c r="G108" s="2542"/>
      <c r="H108" s="3308"/>
      <c r="I108" s="3329"/>
      <c r="J108" s="3330"/>
      <c r="K108" s="1400"/>
      <c r="L108" s="3309"/>
      <c r="M108" s="3309" t="str">
        <f t="shared" si="11"/>
        <v/>
      </c>
      <c r="N108" s="3309" t="str">
        <f t="shared" si="12"/>
        <v/>
      </c>
      <c r="O108" s="3309" t="str">
        <f t="shared" si="13"/>
        <v/>
      </c>
      <c r="P108" s="2542"/>
      <c r="Q108" s="2542"/>
      <c r="R108" s="823"/>
      <c r="S108" s="2542"/>
      <c r="T108" s="2542"/>
      <c r="U108" s="2542"/>
      <c r="V108" s="1401"/>
    </row>
    <row r="109" spans="1:23" s="1483" customFormat="1">
      <c r="A109" s="3909"/>
      <c r="B109" s="3910"/>
      <c r="C109" s="3910"/>
      <c r="D109" s="3910"/>
      <c r="E109" s="3911"/>
      <c r="F109" s="1400"/>
      <c r="G109" s="2542"/>
      <c r="H109" s="3308"/>
      <c r="I109" s="3329"/>
      <c r="J109" s="3330"/>
      <c r="K109" s="1400"/>
      <c r="L109" s="3309"/>
      <c r="M109" s="3309" t="str">
        <f t="shared" si="11"/>
        <v/>
      </c>
      <c r="N109" s="3309" t="str">
        <f t="shared" si="12"/>
        <v/>
      </c>
      <c r="O109" s="3309" t="str">
        <f t="shared" si="13"/>
        <v/>
      </c>
      <c r="P109" s="2542"/>
      <c r="Q109" s="2542"/>
      <c r="R109" s="823"/>
      <c r="S109" s="2542"/>
      <c r="T109" s="2542"/>
      <c r="U109" s="2542"/>
      <c r="V109" s="1401"/>
    </row>
    <row r="110" spans="1:23" s="1483" customFormat="1">
      <c r="A110" s="3909"/>
      <c r="B110" s="3910"/>
      <c r="C110" s="3910"/>
      <c r="D110" s="3910"/>
      <c r="E110" s="3911"/>
      <c r="F110" s="1400"/>
      <c r="G110" s="2542"/>
      <c r="H110" s="3308"/>
      <c r="I110" s="3329"/>
      <c r="J110" s="3330"/>
      <c r="K110" s="1400"/>
      <c r="L110" s="3309"/>
      <c r="M110" s="3309" t="str">
        <f t="shared" si="11"/>
        <v/>
      </c>
      <c r="N110" s="3309" t="str">
        <f t="shared" si="12"/>
        <v/>
      </c>
      <c r="O110" s="3309" t="str">
        <f t="shared" si="13"/>
        <v/>
      </c>
      <c r="P110" s="2542"/>
      <c r="Q110" s="2542"/>
      <c r="R110" s="823"/>
      <c r="S110" s="2542"/>
      <c r="T110" s="2542"/>
      <c r="U110" s="2542"/>
      <c r="V110" s="1401"/>
    </row>
    <row r="111" spans="1:23" s="1483" customFormat="1">
      <c r="A111" s="3909"/>
      <c r="B111" s="3910"/>
      <c r="C111" s="3910"/>
      <c r="D111" s="3910"/>
      <c r="E111" s="3911"/>
      <c r="F111" s="1400"/>
      <c r="G111" s="2542"/>
      <c r="H111" s="3308"/>
      <c r="I111" s="3329"/>
      <c r="J111" s="3330"/>
      <c r="K111" s="1400"/>
      <c r="L111" s="3309"/>
      <c r="M111" s="3309" t="str">
        <f t="shared" si="11"/>
        <v/>
      </c>
      <c r="N111" s="3309" t="str">
        <f t="shared" si="12"/>
        <v/>
      </c>
      <c r="O111" s="3309" t="str">
        <f t="shared" si="13"/>
        <v/>
      </c>
      <c r="P111" s="2542"/>
      <c r="Q111" s="2542"/>
      <c r="R111" s="823"/>
      <c r="S111" s="2542"/>
      <c r="T111" s="2542"/>
      <c r="U111" s="2542"/>
      <c r="V111" s="1401"/>
    </row>
    <row r="112" spans="1:23" s="1483" customFormat="1">
      <c r="A112" s="3909"/>
      <c r="B112" s="3910"/>
      <c r="C112" s="3910"/>
      <c r="D112" s="3910"/>
      <c r="E112" s="3911"/>
      <c r="F112" s="1400"/>
      <c r="G112" s="2542"/>
      <c r="H112" s="3308"/>
      <c r="I112" s="3329"/>
      <c r="J112" s="3330"/>
      <c r="K112" s="1400"/>
      <c r="L112" s="3309"/>
      <c r="M112" s="3309" t="str">
        <f t="shared" si="11"/>
        <v/>
      </c>
      <c r="N112" s="3309" t="str">
        <f t="shared" si="12"/>
        <v/>
      </c>
      <c r="O112" s="3309" t="str">
        <f t="shared" si="13"/>
        <v/>
      </c>
      <c r="P112" s="2542"/>
      <c r="Q112" s="2542"/>
      <c r="R112" s="823"/>
      <c r="S112" s="2542"/>
      <c r="T112" s="2542"/>
      <c r="U112" s="2542"/>
      <c r="V112" s="1401"/>
    </row>
    <row r="113" spans="1:22" s="1483" customFormat="1">
      <c r="A113" s="3909"/>
      <c r="B113" s="3910"/>
      <c r="C113" s="3910"/>
      <c r="D113" s="3910"/>
      <c r="E113" s="3911"/>
      <c r="F113" s="1400"/>
      <c r="G113" s="2542"/>
      <c r="H113" s="3337"/>
      <c r="I113" s="3329"/>
      <c r="J113" s="3330"/>
      <c r="K113" s="1400"/>
      <c r="L113" s="3339"/>
      <c r="M113" s="3339" t="str">
        <f t="shared" si="11"/>
        <v/>
      </c>
      <c r="N113" s="3340" t="str">
        <f t="shared" si="12"/>
        <v/>
      </c>
      <c r="O113" s="3339" t="str">
        <f t="shared" si="13"/>
        <v/>
      </c>
      <c r="P113" s="2542"/>
      <c r="Q113" s="2542"/>
      <c r="R113" s="823"/>
      <c r="S113" s="2542"/>
      <c r="T113" s="2542"/>
      <c r="U113" s="2542"/>
      <c r="V113" s="1401"/>
    </row>
    <row r="114" spans="1:22" s="1483" customFormat="1">
      <c r="A114" s="3341" t="s">
        <v>458</v>
      </c>
      <c r="B114" s="2542"/>
      <c r="C114" s="2542"/>
      <c r="D114" s="2542"/>
      <c r="E114" s="2542"/>
      <c r="F114" s="1400"/>
      <c r="G114" s="2542"/>
      <c r="H114" s="3304"/>
      <c r="I114" s="3325"/>
      <c r="J114" s="3330"/>
      <c r="K114" s="1400"/>
      <c r="M114" s="3342"/>
      <c r="N114" s="3342"/>
      <c r="O114" s="3342"/>
      <c r="Q114" s="2542"/>
      <c r="R114" s="823"/>
      <c r="S114" s="2542"/>
      <c r="T114" s="2542"/>
      <c r="U114" s="2542"/>
      <c r="V114" s="1401"/>
    </row>
    <row r="115" spans="1:22" s="1483" customFormat="1" ht="13.5" thickBot="1">
      <c r="A115" s="3301" t="s">
        <v>457</v>
      </c>
      <c r="B115" s="2542"/>
      <c r="C115" s="2542"/>
      <c r="D115" s="2542"/>
      <c r="E115" s="2542"/>
      <c r="F115" s="1400"/>
      <c r="G115" s="2542"/>
      <c r="H115" s="1421">
        <f>SUBTOTAL(9,H99:H114)</f>
        <v>0</v>
      </c>
      <c r="I115" s="3325"/>
      <c r="J115" s="3330"/>
      <c r="K115" s="1400"/>
      <c r="M115" s="1443">
        <f>SUBTOTAL(9,M99:M114)</f>
        <v>0</v>
      </c>
      <c r="N115" s="1443">
        <f>SUBTOTAL(9,N99:N114)</f>
        <v>0</v>
      </c>
      <c r="O115" s="1443">
        <f>SUBTOTAL(9,O99:O114)</f>
        <v>0</v>
      </c>
      <c r="V115" s="1401"/>
    </row>
    <row r="116" spans="1:22" s="1483" customFormat="1" ht="13.5" thickTop="1">
      <c r="A116" s="3321"/>
      <c r="B116" s="3322"/>
      <c r="C116" s="3322"/>
      <c r="D116" s="3323"/>
      <c r="E116" s="3322"/>
      <c r="F116" s="3343"/>
      <c r="G116" s="3323"/>
      <c r="H116" s="3343"/>
      <c r="I116" s="3323"/>
      <c r="J116" s="3345"/>
      <c r="K116" s="3322"/>
      <c r="L116" s="3324"/>
      <c r="M116" s="3324"/>
      <c r="N116" s="3324"/>
      <c r="O116" s="3324"/>
      <c r="P116" s="3324"/>
      <c r="Q116" s="3324"/>
      <c r="R116" s="3324"/>
      <c r="S116" s="3324"/>
      <c r="T116" s="3324"/>
      <c r="U116" s="3324"/>
      <c r="V116" s="3346"/>
    </row>
    <row r="117" spans="1:22">
      <c r="A117" s="1125"/>
      <c r="B117" s="1125"/>
      <c r="C117" s="1206"/>
      <c r="D117" s="1309"/>
      <c r="E117" s="1125"/>
      <c r="F117" s="1417"/>
      <c r="G117" s="1309"/>
      <c r="H117" s="1417"/>
      <c r="I117" s="1309"/>
      <c r="J117" s="1309"/>
      <c r="K117" s="1125"/>
      <c r="L117" s="1427"/>
      <c r="M117" s="1427"/>
      <c r="N117" s="1427"/>
      <c r="O117" s="1427"/>
      <c r="P117" s="1427"/>
      <c r="Q117" s="1427"/>
      <c r="R117" s="1427"/>
      <c r="S117" s="1427"/>
      <c r="T117" s="1427"/>
      <c r="U117" s="1427"/>
      <c r="V117" s="1125"/>
    </row>
    <row r="118" spans="1:22" ht="13.5" thickBot="1">
      <c r="C118" s="872"/>
      <c r="D118" s="1150"/>
      <c r="G118" s="1150"/>
      <c r="H118" s="867"/>
      <c r="L118" s="1426" t="s">
        <v>1664</v>
      </c>
      <c r="M118" s="1443">
        <f>SUM(M69,M92,M115)</f>
        <v>0</v>
      </c>
      <c r="N118" s="1443">
        <f t="shared" ref="N118:O118" si="14">SUM(N69,N92,N115)</f>
        <v>0</v>
      </c>
      <c r="O118" s="1443">
        <f t="shared" si="14"/>
        <v>0</v>
      </c>
    </row>
    <row r="119" spans="1:22" s="1125" customFormat="1" ht="13.5" thickTop="1">
      <c r="C119" s="1206"/>
      <c r="D119" s="1309"/>
      <c r="F119" s="1309"/>
      <c r="G119" s="1309"/>
      <c r="H119" s="1417"/>
      <c r="I119" s="1309"/>
      <c r="J119" s="1309"/>
      <c r="L119" s="1427"/>
      <c r="M119" s="1427"/>
      <c r="N119" s="1427"/>
      <c r="O119" s="1427"/>
      <c r="P119" s="1427"/>
      <c r="Q119" s="1427"/>
      <c r="R119" s="1427"/>
      <c r="S119" s="1427"/>
      <c r="T119" s="1427"/>
      <c r="U119" s="1427"/>
    </row>
    <row r="120" spans="1:22" s="1125" customFormat="1" ht="15">
      <c r="A120" s="1317" t="s">
        <v>172</v>
      </c>
      <c r="B120" s="819"/>
      <c r="C120" s="819"/>
      <c r="D120" s="819"/>
      <c r="E120" s="819"/>
      <c r="F120" s="819"/>
      <c r="G120" s="819"/>
      <c r="H120" s="819"/>
      <c r="J120" s="1450" t="s">
        <v>1650</v>
      </c>
      <c r="K120" s="1447"/>
      <c r="L120" s="1447"/>
      <c r="M120" s="819"/>
      <c r="N120" s="819"/>
      <c r="O120" s="1450" t="s">
        <v>1665</v>
      </c>
      <c r="P120" s="819"/>
      <c r="Q120" s="819"/>
      <c r="R120" s="819"/>
      <c r="S120" s="819"/>
      <c r="T120" s="819"/>
      <c r="U120" s="819"/>
      <c r="V120" s="819"/>
    </row>
    <row r="121" spans="1:22" s="1125" customFormat="1">
      <c r="A121" s="3913"/>
      <c r="B121" s="3914"/>
      <c r="C121" s="3914"/>
      <c r="D121" s="3914"/>
      <c r="E121" s="3914"/>
      <c r="F121" s="3914"/>
      <c r="G121" s="3915"/>
      <c r="H121" s="1309"/>
      <c r="J121" s="1448" t="s">
        <v>1651</v>
      </c>
      <c r="K121" s="1447"/>
      <c r="M121" s="3347"/>
      <c r="N121" s="1427"/>
      <c r="O121" s="1235" t="s">
        <v>1666</v>
      </c>
      <c r="P121" s="1427"/>
      <c r="Q121" s="1427"/>
      <c r="R121" s="1427"/>
      <c r="T121" s="1440">
        <f>-ABS(M121)</f>
        <v>0</v>
      </c>
      <c r="U121" s="1427"/>
    </row>
    <row r="122" spans="1:22" s="1125" customFormat="1" ht="13.5" thickBot="1">
      <c r="A122" s="3916"/>
      <c r="B122" s="3917"/>
      <c r="C122" s="3917"/>
      <c r="D122" s="3917"/>
      <c r="E122" s="3917"/>
      <c r="F122" s="3917"/>
      <c r="G122" s="3918"/>
      <c r="H122" s="1309"/>
      <c r="J122" s="1448" t="s">
        <v>1652</v>
      </c>
      <c r="K122" s="1447"/>
      <c r="M122" s="3348">
        <f>O118</f>
        <v>0</v>
      </c>
      <c r="N122" s="1427"/>
      <c r="O122" s="1235" t="s">
        <v>1667</v>
      </c>
      <c r="P122" s="1427"/>
      <c r="Q122" s="1427"/>
      <c r="R122" s="1427"/>
      <c r="T122" s="1464">
        <f>IF(M134&gt;0,0,M134)</f>
        <v>0</v>
      </c>
      <c r="U122" s="1427"/>
    </row>
    <row r="123" spans="1:22" s="1125" customFormat="1" ht="14.25" thickTop="1" thickBot="1">
      <c r="A123" s="3916"/>
      <c r="B123" s="3917"/>
      <c r="C123" s="3917"/>
      <c r="D123" s="3917"/>
      <c r="E123" s="3917"/>
      <c r="F123" s="3917"/>
      <c r="G123" s="3918"/>
      <c r="H123" s="1309"/>
      <c r="J123" s="1449" t="s">
        <v>1653</v>
      </c>
      <c r="K123" s="1447"/>
      <c r="M123" s="1439">
        <f>-ABS(M121)+M122</f>
        <v>0</v>
      </c>
      <c r="N123" s="1427"/>
      <c r="O123" s="1427"/>
      <c r="P123" s="1427"/>
      <c r="Q123" s="1427"/>
      <c r="R123" s="1427"/>
      <c r="S123" s="1427"/>
      <c r="T123" s="1427"/>
      <c r="U123" s="1427"/>
    </row>
    <row r="124" spans="1:22" ht="13.5" thickTop="1">
      <c r="A124" s="3916"/>
      <c r="B124" s="3917"/>
      <c r="C124" s="3917"/>
      <c r="D124" s="3917"/>
      <c r="E124" s="3917"/>
      <c r="F124" s="3917"/>
      <c r="G124" s="3918"/>
      <c r="J124" s="1447"/>
      <c r="K124" s="1447"/>
      <c r="M124" s="1438"/>
    </row>
    <row r="125" spans="1:22" ht="15">
      <c r="A125" s="3916"/>
      <c r="B125" s="3917"/>
      <c r="C125" s="3917"/>
      <c r="D125" s="3917"/>
      <c r="E125" s="3917"/>
      <c r="F125" s="3917"/>
      <c r="G125" s="3918"/>
      <c r="J125" s="1448" t="s">
        <v>1654</v>
      </c>
      <c r="K125" s="1447"/>
      <c r="M125" s="1440">
        <f>M118</f>
        <v>0</v>
      </c>
      <c r="O125" s="1516" t="s">
        <v>1767</v>
      </c>
    </row>
    <row r="126" spans="1:22">
      <c r="A126" s="3916"/>
      <c r="B126" s="3917"/>
      <c r="C126" s="3917"/>
      <c r="D126" s="3917"/>
      <c r="E126" s="3917"/>
      <c r="F126" s="3917"/>
      <c r="G126" s="3918"/>
      <c r="J126" s="1447"/>
      <c r="K126" s="1447"/>
      <c r="M126" s="1437">
        <f>SUM(M123:M125)</f>
        <v>0</v>
      </c>
      <c r="O126" s="1517" t="s">
        <v>1766</v>
      </c>
      <c r="T126" s="1518">
        <f>M125+M128+M129</f>
        <v>0</v>
      </c>
    </row>
    <row r="127" spans="1:22">
      <c r="A127" s="3916"/>
      <c r="B127" s="3917"/>
      <c r="C127" s="3917"/>
      <c r="D127" s="3917"/>
      <c r="E127" s="3917"/>
      <c r="F127" s="3917"/>
      <c r="G127" s="3918"/>
      <c r="J127" s="1447"/>
      <c r="K127" s="1447"/>
      <c r="M127" s="1436"/>
    </row>
    <row r="128" spans="1:22">
      <c r="A128" s="3916"/>
      <c r="B128" s="3917"/>
      <c r="C128" s="3917"/>
      <c r="D128" s="3917"/>
      <c r="E128" s="3917"/>
      <c r="F128" s="3917"/>
      <c r="G128" s="3918"/>
      <c r="J128" s="1448" t="s">
        <v>1655</v>
      </c>
      <c r="K128" s="1447"/>
      <c r="M128" s="1440">
        <f>N118</f>
        <v>0</v>
      </c>
      <c r="O128" s="1517" t="s">
        <v>1682</v>
      </c>
      <c r="T128" s="1518">
        <f>+M134</f>
        <v>0</v>
      </c>
    </row>
    <row r="129" spans="1:13">
      <c r="A129" s="3916"/>
      <c r="B129" s="3917"/>
      <c r="C129" s="3917"/>
      <c r="D129" s="3917"/>
      <c r="E129" s="3917"/>
      <c r="F129" s="3917"/>
      <c r="G129" s="3918"/>
      <c r="J129" s="1448" t="s">
        <v>1656</v>
      </c>
      <c r="K129" s="1447"/>
      <c r="M129" s="1440">
        <f>M128</f>
        <v>0</v>
      </c>
    </row>
    <row r="130" spans="1:13">
      <c r="A130" s="3916"/>
      <c r="B130" s="3917"/>
      <c r="C130" s="3917"/>
      <c r="D130" s="3917"/>
      <c r="E130" s="3917"/>
      <c r="F130" s="3917"/>
      <c r="G130" s="3918"/>
      <c r="J130" s="1448"/>
      <c r="K130" s="1447"/>
      <c r="M130" s="1440"/>
    </row>
    <row r="131" spans="1:13">
      <c r="A131" s="3916"/>
      <c r="B131" s="3917"/>
      <c r="C131" s="3917"/>
      <c r="D131" s="3917"/>
      <c r="E131" s="3917"/>
      <c r="F131" s="3917"/>
      <c r="G131" s="3918"/>
      <c r="J131" s="1449" t="s">
        <v>1657</v>
      </c>
      <c r="K131" s="1447"/>
      <c r="M131" s="1437">
        <f>SUM(M126:M130)</f>
        <v>0</v>
      </c>
    </row>
    <row r="132" spans="1:13">
      <c r="A132" s="3916"/>
      <c r="B132" s="3917"/>
      <c r="C132" s="3917"/>
      <c r="D132" s="3917"/>
      <c r="E132" s="3917"/>
      <c r="F132" s="3917"/>
      <c r="G132" s="3918"/>
      <c r="J132" s="1448" t="s">
        <v>1658</v>
      </c>
      <c r="K132" s="1447"/>
      <c r="M132" s="1440">
        <f>-IF(M131&lt;=0,0,IF(M131*50%&lt;M129,M131*50%,M129))</f>
        <v>0</v>
      </c>
    </row>
    <row r="133" spans="1:13">
      <c r="A133" s="3916"/>
      <c r="B133" s="3917"/>
      <c r="C133" s="3917"/>
      <c r="D133" s="3917"/>
      <c r="E133" s="3917"/>
      <c r="F133" s="3917"/>
      <c r="G133" s="3918"/>
      <c r="J133" s="1448" t="s">
        <v>1659</v>
      </c>
      <c r="K133" s="1447"/>
      <c r="M133" s="3349"/>
    </row>
    <row r="134" spans="1:13" ht="13.5" thickBot="1">
      <c r="A134" s="3919"/>
      <c r="B134" s="3920"/>
      <c r="C134" s="3920"/>
      <c r="D134" s="3920"/>
      <c r="E134" s="3920"/>
      <c r="F134" s="3920"/>
      <c r="G134" s="3921"/>
      <c r="J134" s="1449" t="s">
        <v>1660</v>
      </c>
      <c r="K134" s="1447"/>
      <c r="M134" s="1439">
        <f>SUM(M131:M132)-ABS(M133)</f>
        <v>0</v>
      </c>
    </row>
    <row r="135" spans="1:13" ht="13.5" thickTop="1"/>
    <row r="136" spans="1:13">
      <c r="A136" s="3" t="s">
        <v>2541</v>
      </c>
    </row>
  </sheetData>
  <customSheetViews>
    <customSheetView guid="{BCBE45D4-3C45-4659-992E-5C5D3E9FD81C}" scale="85" showGridLines="0" fitToPage="1" hiddenColumns="1" topLeftCell="A22">
      <selection activeCell="Z29" sqref="Z29"/>
      <pageMargins left="0.59055118110236227" right="0.43307086614173229" top="0.6692913385826772" bottom="0.94488188976377963" header="0.51181102362204722" footer="0.39370078740157483"/>
      <printOptions horizontalCentered="1"/>
      <pageSetup paperSize="9" scale="38"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Columns="1">
      <selection activeCell="A17" sqref="A17:E17"/>
      <pageMargins left="0.59055118110236227" right="0.43307086614173229" top="0.6692913385826772" bottom="0.94488188976377963" header="0.51181102362204722" footer="0.39370078740157483"/>
      <printOptions horizontalCentered="1"/>
      <pageSetup paperSize="9" scale="38" fitToHeight="999" orientation="portrait" blackAndWhite="1" r:id="rId2"/>
      <headerFooter alignWithMargins="0">
        <oddFooter>&amp;L&amp;8Copyright Crowe Horwath (Aust) Pty Ltd 2016.  All rights reserved.
&amp;Z&amp;F[&amp;A]&amp;R&amp;8&amp;P/&amp;N</oddFooter>
      </headerFooter>
    </customSheetView>
  </customSheetViews>
  <mergeCells count="22">
    <mergeCell ref="A121:G134"/>
    <mergeCell ref="A6:V6"/>
    <mergeCell ref="A12:D12"/>
    <mergeCell ref="Q12:U12"/>
    <mergeCell ref="Q73:U73"/>
    <mergeCell ref="L7:N7"/>
    <mergeCell ref="A103:E103"/>
    <mergeCell ref="A104:E104"/>
    <mergeCell ref="A113:E113"/>
    <mergeCell ref="A108:E108"/>
    <mergeCell ref="A109:E109"/>
    <mergeCell ref="A110:E110"/>
    <mergeCell ref="A111:E111"/>
    <mergeCell ref="A112:E112"/>
    <mergeCell ref="A105:E105"/>
    <mergeCell ref="A106:E106"/>
    <mergeCell ref="A107:E107"/>
    <mergeCell ref="Q96:U96"/>
    <mergeCell ref="A99:E99"/>
    <mergeCell ref="A100:E100"/>
    <mergeCell ref="A101:E101"/>
    <mergeCell ref="A102:E102"/>
  </mergeCells>
  <phoneticPr fontId="26" type="noConversion"/>
  <hyperlinks>
    <hyperlink ref="Q7" location="WP_Capital_Asset_Transaction_Register" display="Back to Workpaper Index" xr:uid="{00000000-0004-0000-1B00-000001000000}"/>
    <hyperlink ref="V7" location="WP_Borrowing_Costs" display="Back to Workpaper Index" xr:uid="{ADD3B8A9-9BC7-4E4B-97F6-8C5F6FFC3AD1}"/>
  </hyperlinks>
  <printOptions horizontalCentered="1"/>
  <pageMargins left="0.59055118110236227" right="0.43307086614173229" top="0.6692913385826772" bottom="0.94488188976377963" header="0.51181102362204722" footer="0.39370078740157483"/>
  <pageSetup paperSize="9" scale="37" fitToHeight="999" orientation="portrait" blackAndWhite="1" r:id="rId3"/>
  <headerFooter alignWithMargins="0">
    <oddFooter>&amp;L&amp;8© Findex (Aust) Pty Ltd.  All rights reserved.&amp;R&amp;8&amp;P/&amp;N</oddFooter>
  </headerFooter>
  <drawing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Building_WriteOff_Sheet">
    <tabColor theme="8" tint="0.79998168889431442"/>
  </sheetPr>
  <dimension ref="A1:O49"/>
  <sheetViews>
    <sheetView zoomScaleNormal="100" workbookViewId="0">
      <selection sqref="A1:F1"/>
    </sheetView>
  </sheetViews>
  <sheetFormatPr defaultColWidth="9.140625" defaultRowHeight="12.75"/>
  <cols>
    <col min="1" max="1" width="22.5703125" style="1" customWidth="1"/>
    <col min="2" max="2" width="13.28515625" style="1" customWidth="1"/>
    <col min="3" max="3" width="11.28515625" style="14" customWidth="1"/>
    <col min="4" max="4" width="14.28515625" style="1" bestFit="1" customWidth="1"/>
    <col min="5" max="5" width="17.85546875" style="1" customWidth="1"/>
    <col min="6" max="6" width="18.5703125" style="1" bestFit="1" customWidth="1"/>
    <col min="7" max="7" width="18.5703125" style="1" customWidth="1"/>
    <col min="8" max="8" width="20.5703125" style="1" customWidth="1"/>
    <col min="9" max="9" width="19.28515625" style="1" customWidth="1"/>
    <col min="10" max="10" width="16.7109375" style="1" customWidth="1"/>
    <col min="11" max="11" width="19.140625" style="1" customWidth="1"/>
    <col min="12" max="12" width="19.140625" style="1" hidden="1" customWidth="1"/>
    <col min="13" max="13" width="17.140625" style="1" hidden="1" customWidth="1"/>
    <col min="14" max="14" width="15.28515625" style="1" hidden="1" customWidth="1"/>
    <col min="15" max="15" width="8.28515625" style="1" hidden="1" customWidth="1"/>
    <col min="16" max="16384" width="9.140625" style="1"/>
  </cols>
  <sheetData>
    <row r="1" spans="1:14">
      <c r="J1" s="2613" t="s">
        <v>2425</v>
      </c>
      <c r="K1" s="3576" t="s">
        <v>2758</v>
      </c>
    </row>
    <row r="2" spans="1:14" ht="15.75">
      <c r="A2" s="206"/>
      <c r="B2" s="40"/>
      <c r="C2" s="40"/>
      <c r="D2" s="40"/>
      <c r="E2" s="40"/>
      <c r="H2" s="208"/>
      <c r="I2" s="207"/>
      <c r="J2" s="71" t="s">
        <v>2426</v>
      </c>
      <c r="K2" s="2621"/>
    </row>
    <row r="3" spans="1:14" ht="15.75">
      <c r="A3" s="2609"/>
      <c r="B3" s="40"/>
      <c r="C3" s="40"/>
      <c r="D3" s="40"/>
      <c r="E3" s="40"/>
      <c r="H3" s="208"/>
      <c r="I3" s="207"/>
      <c r="J3" s="40"/>
    </row>
    <row r="4" spans="1:14" s="32" customFormat="1">
      <c r="A4" s="206"/>
      <c r="I4" s="11"/>
      <c r="J4" s="11" t="s">
        <v>1163</v>
      </c>
      <c r="K4" s="709" t="s">
        <v>1262</v>
      </c>
    </row>
    <row r="5" spans="1:14" s="32" customFormat="1" ht="17.25" customHeight="1">
      <c r="A5" s="206"/>
      <c r="I5" s="71" t="s">
        <v>332</v>
      </c>
      <c r="J5" s="2617" t="str">
        <f>IF(PreparedBy="","",PreparedBy)</f>
        <v/>
      </c>
      <c r="K5" s="2618" t="str">
        <f>IF(DatePrepared="","",DatePrepared)</f>
        <v/>
      </c>
    </row>
    <row r="6" spans="1:14" s="32" customFormat="1" ht="17.25" customHeight="1">
      <c r="A6" s="206"/>
      <c r="I6" s="71" t="s">
        <v>333</v>
      </c>
      <c r="J6" s="2619"/>
      <c r="K6" s="2620"/>
    </row>
    <row r="7" spans="1:14" s="32" customFormat="1" ht="15.75">
      <c r="A7" s="206"/>
      <c r="B7" s="43"/>
      <c r="C7" s="43"/>
      <c r="D7" s="43"/>
      <c r="E7" s="43"/>
      <c r="J7" s="1643"/>
      <c r="K7" s="1643"/>
    </row>
    <row r="8" spans="1:14" ht="15.75">
      <c r="A8" s="3704" t="str">
        <f>WP_Building_Write_Off</f>
        <v>Building Write-Off</v>
      </c>
      <c r="B8" s="3705"/>
      <c r="C8" s="3705"/>
      <c r="D8" s="3705"/>
      <c r="E8" s="3705"/>
      <c r="F8" s="3705"/>
      <c r="G8" s="3705"/>
      <c r="H8" s="3705"/>
      <c r="I8" s="3705"/>
      <c r="J8" s="3705"/>
      <c r="K8" s="3706"/>
      <c r="L8" s="80"/>
      <c r="M8" s="80"/>
      <c r="N8" s="80"/>
    </row>
    <row r="9" spans="1:14" ht="15.75">
      <c r="A9" s="3928" t="s">
        <v>1443</v>
      </c>
      <c r="B9" s="3928"/>
      <c r="C9" s="3928"/>
      <c r="D9" s="3928"/>
      <c r="E9" s="3928"/>
      <c r="F9" s="3928"/>
      <c r="G9" s="3928"/>
      <c r="H9" s="3928"/>
      <c r="I9" s="3928"/>
      <c r="J9" s="3928"/>
      <c r="K9" s="3928"/>
      <c r="L9" s="704">
        <v>31246</v>
      </c>
      <c r="M9" s="705">
        <v>31246</v>
      </c>
      <c r="N9" s="80"/>
    </row>
    <row r="10" spans="1:14">
      <c r="I10" s="207"/>
      <c r="K10" s="3248" t="s">
        <v>2526</v>
      </c>
      <c r="L10" s="704">
        <v>33660</v>
      </c>
      <c r="M10" s="705">
        <v>33660</v>
      </c>
    </row>
    <row r="11" spans="1:14" ht="15.75">
      <c r="A11" s="222" t="str">
        <f>"CLIENT NAME:   "&amp;'WP Index'!E3</f>
        <v>CLIENT NAME:   Example Trust</v>
      </c>
      <c r="J11" s="5" t="s">
        <v>952</v>
      </c>
      <c r="K11" s="36">
        <f>'WP Index'!E5</f>
        <v>45108</v>
      </c>
      <c r="L11" s="704">
        <v>30151</v>
      </c>
      <c r="M11" s="705">
        <v>30151</v>
      </c>
    </row>
    <row r="12" spans="1:14">
      <c r="A12" s="9" t="str">
        <f>"CLIENT CODE:   "&amp;'WP Index'!E4</f>
        <v>CLIENT CODE:   99999</v>
      </c>
      <c r="J12" s="47" t="s">
        <v>951</v>
      </c>
      <c r="K12" s="47">
        <f>'WP Index'!G5</f>
        <v>45473</v>
      </c>
      <c r="L12" s="704">
        <v>30915</v>
      </c>
      <c r="M12" s="705">
        <v>30915</v>
      </c>
    </row>
    <row r="13" spans="1:14">
      <c r="A13" s="9"/>
      <c r="J13" s="47"/>
      <c r="K13" s="47"/>
      <c r="L13" s="704">
        <v>30916</v>
      </c>
      <c r="M13" s="705">
        <v>30916</v>
      </c>
    </row>
    <row r="14" spans="1:14">
      <c r="L14" s="704">
        <f>M14</f>
        <v>32035</v>
      </c>
      <c r="M14" s="705">
        <v>32035</v>
      </c>
    </row>
    <row r="15" spans="1:14">
      <c r="L15" s="706">
        <v>32036</v>
      </c>
      <c r="M15" s="705">
        <v>32036</v>
      </c>
    </row>
    <row r="16" spans="1:14">
      <c r="A16" s="80"/>
      <c r="B16" s="80"/>
      <c r="C16" s="80"/>
      <c r="D16" s="80"/>
      <c r="G16" s="80"/>
      <c r="H16" s="80"/>
      <c r="I16" s="80"/>
      <c r="J16" s="80"/>
      <c r="K16" s="80"/>
      <c r="L16" s="80"/>
      <c r="M16" s="80"/>
      <c r="N16" s="80"/>
    </row>
    <row r="17" spans="1:15">
      <c r="A17" s="169" t="s">
        <v>548</v>
      </c>
      <c r="B17" s="171" t="s">
        <v>995</v>
      </c>
      <c r="C17" s="171" t="s">
        <v>996</v>
      </c>
      <c r="D17" s="171" t="s">
        <v>997</v>
      </c>
      <c r="E17" s="171" t="s">
        <v>997</v>
      </c>
      <c r="F17" s="171" t="s">
        <v>1002</v>
      </c>
      <c r="G17" s="171" t="s">
        <v>1332</v>
      </c>
      <c r="H17" s="171" t="s">
        <v>998</v>
      </c>
      <c r="I17" s="171" t="s">
        <v>999</v>
      </c>
      <c r="J17" s="171" t="s">
        <v>1000</v>
      </c>
      <c r="K17" s="171" t="s">
        <v>1001</v>
      </c>
      <c r="L17" s="80"/>
      <c r="M17" s="80"/>
      <c r="N17" s="80"/>
    </row>
    <row r="18" spans="1:15">
      <c r="A18" s="170"/>
      <c r="B18" s="172" t="s">
        <v>556</v>
      </c>
      <c r="C18" s="172" t="s">
        <v>557</v>
      </c>
      <c r="D18" s="172" t="s">
        <v>1333</v>
      </c>
      <c r="E18" s="172" t="s">
        <v>1332</v>
      </c>
      <c r="F18" s="172" t="s">
        <v>1333</v>
      </c>
      <c r="G18" s="172" t="s">
        <v>1002</v>
      </c>
      <c r="H18" s="172" t="s">
        <v>1003</v>
      </c>
      <c r="I18" s="172" t="s">
        <v>1004</v>
      </c>
      <c r="J18" s="172"/>
      <c r="K18" s="172" t="s">
        <v>1004</v>
      </c>
      <c r="L18" s="80"/>
      <c r="M18" s="80"/>
      <c r="N18" s="80"/>
      <c r="O18" s="6" t="s">
        <v>1286</v>
      </c>
    </row>
    <row r="19" spans="1:15">
      <c r="A19" s="170"/>
      <c r="B19" s="172" t="s">
        <v>1005</v>
      </c>
      <c r="C19" s="172" t="s">
        <v>1005</v>
      </c>
      <c r="D19" s="172"/>
      <c r="E19" s="172"/>
      <c r="F19" s="172"/>
      <c r="G19" s="172" t="s">
        <v>1006</v>
      </c>
      <c r="H19" s="172" t="s">
        <v>1332</v>
      </c>
      <c r="I19" s="282"/>
      <c r="J19" s="282"/>
      <c r="K19" s="282"/>
      <c r="L19" s="80"/>
      <c r="M19" s="80"/>
      <c r="N19" s="80"/>
    </row>
    <row r="20" spans="1:15">
      <c r="A20" s="2762"/>
      <c r="B20" s="2763"/>
      <c r="C20" s="2763"/>
      <c r="D20" s="2757"/>
      <c r="E20" s="2764"/>
      <c r="F20" s="2757"/>
      <c r="G20" s="2764"/>
      <c r="H20" s="2764"/>
      <c r="I20" s="389">
        <f t="shared" ref="I20:I27" si="0">IF(A20="",0,IF(AND(H20&gt;=E20,E20&gt;=$K$11),F20,IF(AND(B20="Y",G20&lt;$L$9),F20,IF(AND(AND(C20="Y",G20&gt;$L$10),G20&lt;$K$11),F20-(F20*0.04*($K$11-H20)/365),IF(AND(AND(G20&gt;$L$11,G20&lt;$L$13),E20&lt;=$K$11),+F20-(F20*0.025*($K$11-H20)/365),+M20)))))</f>
        <v>0</v>
      </c>
      <c r="J20" s="389">
        <f t="shared" ref="J20:J27" si="1">IF(A20="",0,IF(AND(B20="Y",G20&lt;$L$9),0,IF(AND(AND(G20&gt;$L$11,G20&lt;$L$13),E20&lt;$K$11),F20*0.025,IF(AND(G20&gt;$L$11,G20&lt;$L$13),+F20*0.025*(($K$11+364-E20)/365),IF(AND(AND(G20&gt;$L$12,G20&lt;$L$15),E20&lt;$K$11),F20*0.04,IF(AND(G20&gt;$L$12,G20&lt;$L$15),+F20*0.04*(($K$11+364-E20)/365),+L20))))))</f>
        <v>0</v>
      </c>
      <c r="K20" s="389">
        <f>IF(A20="",0,+I20-J20)</f>
        <v>0</v>
      </c>
      <c r="L20" s="215">
        <f t="shared" ref="L20:L27" si="2">IF(AND(AND(C20="Y",G20&gt;$L$10),G20&lt;$K$11),F20*0.04,IF(AND(C20="Y",G20&gt;$L$10),F20*0.04*(($K$11+364-H20)/365),IF(AND(G20&gt;$L$14,H20&lt;$K$11),F20*0.025,IF(G20&gt;$L$11,F20*0.025*(($K$11+364)-H20)/365,0))))</f>
        <v>0</v>
      </c>
      <c r="M20" s="215">
        <f t="shared" ref="M20:M27" si="3">IF(AND(AND(G20&gt;$L$12,G20&lt;$L$15),E20&lt;=$K$11),F20-(F20*0.04*($K$11-H20)/365),IF(AND(G20&gt;$L$12,G20&lt;$L$15),F20-(F20*0.04*(E20-H20)/365),IF(AND(AND(G20&gt;$L$14,G20&lt;$K$11),E20&lt;=$K$11),+F20-(F20*0.025*($K$11-H20)/365),+N20)))</f>
        <v>0</v>
      </c>
      <c r="N20" s="215">
        <f t="shared" ref="N20:N27" si="4">IF(AND(G20&gt;$L$14,E20&gt;=$K$11),F20-(F20*0.025*(E20-H20)/365),+F20)</f>
        <v>0</v>
      </c>
    </row>
    <row r="21" spans="1:15">
      <c r="A21" s="2765"/>
      <c r="B21" s="2766"/>
      <c r="C21" s="2766"/>
      <c r="D21" s="2759">
        <v>0</v>
      </c>
      <c r="E21" s="2767"/>
      <c r="F21" s="2759">
        <v>0</v>
      </c>
      <c r="G21" s="2767"/>
      <c r="H21" s="2767"/>
      <c r="I21" s="389">
        <f t="shared" si="0"/>
        <v>0</v>
      </c>
      <c r="J21" s="389">
        <f t="shared" si="1"/>
        <v>0</v>
      </c>
      <c r="K21" s="389">
        <f t="shared" ref="K21:K27" si="5">IF(A21="",0,+I21-J21)</f>
        <v>0</v>
      </c>
      <c r="L21" s="215">
        <f t="shared" si="2"/>
        <v>0</v>
      </c>
      <c r="M21" s="215">
        <f t="shared" si="3"/>
        <v>0</v>
      </c>
      <c r="N21" s="215">
        <f t="shared" si="4"/>
        <v>0</v>
      </c>
    </row>
    <row r="22" spans="1:15">
      <c r="A22" s="2765"/>
      <c r="B22" s="2766"/>
      <c r="C22" s="2766"/>
      <c r="D22" s="2759">
        <v>0</v>
      </c>
      <c r="E22" s="2767"/>
      <c r="F22" s="2759">
        <v>0</v>
      </c>
      <c r="G22" s="2767"/>
      <c r="H22" s="2767"/>
      <c r="I22" s="389">
        <f t="shared" si="0"/>
        <v>0</v>
      </c>
      <c r="J22" s="389">
        <f t="shared" si="1"/>
        <v>0</v>
      </c>
      <c r="K22" s="389">
        <f t="shared" si="5"/>
        <v>0</v>
      </c>
      <c r="L22" s="215">
        <f t="shared" si="2"/>
        <v>0</v>
      </c>
      <c r="M22" s="215">
        <f t="shared" si="3"/>
        <v>0</v>
      </c>
      <c r="N22" s="215">
        <f t="shared" si="4"/>
        <v>0</v>
      </c>
    </row>
    <row r="23" spans="1:15">
      <c r="A23" s="2765"/>
      <c r="B23" s="2766"/>
      <c r="C23" s="2766"/>
      <c r="D23" s="2759">
        <v>0</v>
      </c>
      <c r="E23" s="2767"/>
      <c r="F23" s="2759">
        <v>0</v>
      </c>
      <c r="G23" s="2767"/>
      <c r="H23" s="2767"/>
      <c r="I23" s="389">
        <f t="shared" si="0"/>
        <v>0</v>
      </c>
      <c r="J23" s="389">
        <f t="shared" si="1"/>
        <v>0</v>
      </c>
      <c r="K23" s="389">
        <f t="shared" si="5"/>
        <v>0</v>
      </c>
      <c r="L23" s="215">
        <f t="shared" si="2"/>
        <v>0</v>
      </c>
      <c r="M23" s="215">
        <f t="shared" si="3"/>
        <v>0</v>
      </c>
      <c r="N23" s="215">
        <f t="shared" si="4"/>
        <v>0</v>
      </c>
    </row>
    <row r="24" spans="1:15">
      <c r="A24" s="2765"/>
      <c r="B24" s="2766"/>
      <c r="C24" s="2766"/>
      <c r="D24" s="2759">
        <v>0</v>
      </c>
      <c r="E24" s="2767"/>
      <c r="F24" s="2759">
        <v>0</v>
      </c>
      <c r="G24" s="2767"/>
      <c r="H24" s="2767"/>
      <c r="I24" s="389">
        <f t="shared" si="0"/>
        <v>0</v>
      </c>
      <c r="J24" s="389">
        <f t="shared" si="1"/>
        <v>0</v>
      </c>
      <c r="K24" s="389">
        <f t="shared" si="5"/>
        <v>0</v>
      </c>
      <c r="L24" s="215">
        <f t="shared" si="2"/>
        <v>0</v>
      </c>
      <c r="M24" s="215">
        <f t="shared" si="3"/>
        <v>0</v>
      </c>
      <c r="N24" s="215">
        <f t="shared" si="4"/>
        <v>0</v>
      </c>
    </row>
    <row r="25" spans="1:15" s="216" customFormat="1">
      <c r="A25" s="2765"/>
      <c r="B25" s="2766"/>
      <c r="C25" s="2766"/>
      <c r="D25" s="2759">
        <v>0</v>
      </c>
      <c r="E25" s="2767"/>
      <c r="F25" s="2759">
        <v>0</v>
      </c>
      <c r="G25" s="2767"/>
      <c r="H25" s="2767"/>
      <c r="I25" s="389">
        <f t="shared" si="0"/>
        <v>0</v>
      </c>
      <c r="J25" s="389">
        <f t="shared" si="1"/>
        <v>0</v>
      </c>
      <c r="K25" s="389">
        <f t="shared" si="5"/>
        <v>0</v>
      </c>
      <c r="L25" s="215">
        <f t="shared" si="2"/>
        <v>0</v>
      </c>
      <c r="M25" s="215">
        <f t="shared" si="3"/>
        <v>0</v>
      </c>
      <c r="N25" s="215">
        <f t="shared" si="4"/>
        <v>0</v>
      </c>
      <c r="O25" s="1"/>
    </row>
    <row r="26" spans="1:15">
      <c r="A26" s="2765"/>
      <c r="B26" s="2766"/>
      <c r="C26" s="2766"/>
      <c r="D26" s="2759">
        <v>0</v>
      </c>
      <c r="E26" s="2767"/>
      <c r="F26" s="2759">
        <v>0</v>
      </c>
      <c r="G26" s="2767"/>
      <c r="H26" s="2767"/>
      <c r="I26" s="389">
        <f t="shared" si="0"/>
        <v>0</v>
      </c>
      <c r="J26" s="389">
        <f t="shared" si="1"/>
        <v>0</v>
      </c>
      <c r="K26" s="389">
        <f t="shared" si="5"/>
        <v>0</v>
      </c>
      <c r="L26" s="215">
        <f t="shared" si="2"/>
        <v>0</v>
      </c>
      <c r="M26" s="215">
        <f t="shared" si="3"/>
        <v>0</v>
      </c>
      <c r="N26" s="215">
        <f t="shared" si="4"/>
        <v>0</v>
      </c>
    </row>
    <row r="27" spans="1:15">
      <c r="A27" s="2768"/>
      <c r="B27" s="2769"/>
      <c r="C27" s="2769"/>
      <c r="D27" s="2761">
        <v>0</v>
      </c>
      <c r="E27" s="2770"/>
      <c r="F27" s="2761">
        <v>0</v>
      </c>
      <c r="G27" s="2770"/>
      <c r="H27" s="2770"/>
      <c r="I27" s="389">
        <f t="shared" si="0"/>
        <v>0</v>
      </c>
      <c r="J27" s="389">
        <f t="shared" si="1"/>
        <v>0</v>
      </c>
      <c r="K27" s="389">
        <f t="shared" si="5"/>
        <v>0</v>
      </c>
      <c r="L27" s="215">
        <f t="shared" si="2"/>
        <v>0</v>
      </c>
      <c r="M27" s="215">
        <f t="shared" si="3"/>
        <v>0</v>
      </c>
      <c r="N27" s="215">
        <f t="shared" si="4"/>
        <v>0</v>
      </c>
    </row>
    <row r="28" spans="1:15" s="3" customFormat="1">
      <c r="A28" s="173" t="s">
        <v>1086</v>
      </c>
      <c r="B28" s="174"/>
      <c r="C28" s="174"/>
      <c r="D28" s="388">
        <f>SUM(D20:D27)</f>
        <v>0</v>
      </c>
      <c r="E28" s="174"/>
      <c r="F28" s="388">
        <f>SUM(F20:F27)</f>
        <v>0</v>
      </c>
      <c r="G28" s="174"/>
      <c r="H28" s="175"/>
      <c r="I28" s="388">
        <f>SUM(I20:I27)</f>
        <v>0</v>
      </c>
      <c r="J28" s="388">
        <f>SUM(J20:J27)</f>
        <v>0</v>
      </c>
      <c r="K28" s="388">
        <f>SUM(K20:K27)</f>
        <v>0</v>
      </c>
      <c r="L28" s="217"/>
      <c r="M28" s="217"/>
      <c r="N28" s="217"/>
      <c r="O28" s="1"/>
    </row>
    <row r="29" spans="1:15">
      <c r="A29" s="83"/>
      <c r="B29" s="83"/>
      <c r="C29" s="83"/>
      <c r="D29" s="85"/>
      <c r="E29" s="85"/>
      <c r="F29" s="85"/>
      <c r="G29" s="85"/>
      <c r="H29" s="85"/>
      <c r="I29" s="390"/>
      <c r="J29" s="390"/>
      <c r="K29" s="390"/>
      <c r="L29" s="80"/>
      <c r="M29" s="80"/>
      <c r="N29" s="80"/>
    </row>
    <row r="30" spans="1:15">
      <c r="A30" s="80"/>
      <c r="B30" s="80"/>
      <c r="C30" s="80"/>
      <c r="D30" s="80"/>
      <c r="E30" s="80"/>
      <c r="F30" s="80"/>
      <c r="G30" s="80"/>
      <c r="I30" s="391" t="s">
        <v>1045</v>
      </c>
      <c r="J30" s="392">
        <f>I28-K28</f>
        <v>0</v>
      </c>
      <c r="K30" s="393"/>
      <c r="L30" s="80"/>
      <c r="M30" s="80"/>
      <c r="N30" s="80"/>
    </row>
    <row r="31" spans="1:15">
      <c r="A31" s="80"/>
      <c r="B31" s="80"/>
      <c r="C31" s="80"/>
      <c r="D31" s="80"/>
      <c r="E31" s="80"/>
      <c r="F31" s="80"/>
      <c r="G31" s="80"/>
      <c r="H31" s="84"/>
      <c r="I31" s="84"/>
      <c r="J31" s="80"/>
      <c r="K31" s="80"/>
      <c r="L31" s="80"/>
      <c r="M31" s="80"/>
      <c r="N31" s="80"/>
    </row>
    <row r="32" spans="1:15">
      <c r="A32" s="88" t="s">
        <v>1007</v>
      </c>
      <c r="B32" s="89"/>
      <c r="C32" s="89"/>
      <c r="D32" s="89"/>
      <c r="E32" s="90"/>
      <c r="F32" s="80"/>
      <c r="G32" s="80"/>
      <c r="H32" s="84"/>
      <c r="I32" s="84"/>
      <c r="J32" s="80"/>
      <c r="K32" s="80"/>
      <c r="L32" s="80"/>
      <c r="M32" s="80"/>
      <c r="N32" s="80"/>
    </row>
    <row r="33" spans="1:14">
      <c r="A33" s="91"/>
      <c r="B33" s="92"/>
      <c r="C33" s="92"/>
      <c r="D33" s="92"/>
      <c r="E33" s="93"/>
      <c r="F33" s="80"/>
      <c r="G33" s="80"/>
      <c r="H33" s="84"/>
      <c r="I33" s="84"/>
      <c r="J33" s="80"/>
      <c r="K33" s="80"/>
      <c r="L33" s="80"/>
      <c r="M33" s="80"/>
      <c r="N33" s="80"/>
    </row>
    <row r="34" spans="1:14">
      <c r="A34" s="91"/>
      <c r="B34" s="94" t="s">
        <v>1157</v>
      </c>
      <c r="C34" s="94"/>
      <c r="D34" s="94"/>
      <c r="E34" s="87" t="s">
        <v>1036</v>
      </c>
      <c r="F34" s="80"/>
      <c r="G34" s="80"/>
      <c r="H34" s="84"/>
      <c r="I34" s="84"/>
      <c r="J34" s="80"/>
      <c r="K34" s="80"/>
      <c r="L34" s="80"/>
      <c r="M34" s="80"/>
      <c r="N34" s="80"/>
    </row>
    <row r="35" spans="1:14">
      <c r="A35" s="91" t="s">
        <v>1037</v>
      </c>
      <c r="B35" s="95" t="s">
        <v>1038</v>
      </c>
      <c r="C35" s="95"/>
      <c r="D35" s="92"/>
      <c r="E35" s="101">
        <v>0.04</v>
      </c>
      <c r="F35" s="80"/>
      <c r="G35" s="80"/>
      <c r="H35" s="84"/>
      <c r="I35" s="84"/>
      <c r="J35" s="80"/>
      <c r="K35" s="80"/>
      <c r="L35" s="80"/>
      <c r="M35" s="80"/>
      <c r="N35" s="80"/>
    </row>
    <row r="36" spans="1:14">
      <c r="A36" s="91"/>
      <c r="B36" s="95" t="s">
        <v>1250</v>
      </c>
      <c r="C36" s="95"/>
      <c r="D36" s="92"/>
      <c r="E36" s="101">
        <v>2.5000000000000001E-2</v>
      </c>
      <c r="F36" s="80"/>
      <c r="G36" s="86"/>
      <c r="H36" s="84"/>
      <c r="I36" s="84"/>
      <c r="J36" s="80"/>
      <c r="K36" s="80"/>
      <c r="L36" s="80"/>
      <c r="M36" s="80"/>
      <c r="N36" s="80"/>
    </row>
    <row r="37" spans="1:14">
      <c r="A37" s="96"/>
      <c r="B37" s="97"/>
      <c r="C37" s="97"/>
      <c r="D37" s="98"/>
      <c r="E37" s="102"/>
      <c r="F37" s="80"/>
      <c r="G37" s="80"/>
      <c r="H37" s="84"/>
      <c r="I37" s="84"/>
      <c r="J37" s="80"/>
      <c r="K37" s="80"/>
      <c r="L37" s="80"/>
      <c r="M37" s="80"/>
      <c r="N37" s="80"/>
    </row>
    <row r="38" spans="1:14">
      <c r="A38" s="91" t="s">
        <v>1251</v>
      </c>
      <c r="B38" s="95" t="s">
        <v>1252</v>
      </c>
      <c r="C38" s="95"/>
      <c r="D38" s="92"/>
      <c r="E38" s="101">
        <v>2.5000000000000001E-2</v>
      </c>
      <c r="F38" s="80"/>
      <c r="G38" s="80"/>
      <c r="H38" s="84"/>
      <c r="I38" s="84"/>
      <c r="J38" s="80"/>
      <c r="K38" s="80"/>
      <c r="L38" s="80"/>
      <c r="M38" s="80"/>
      <c r="N38" s="80"/>
    </row>
    <row r="39" spans="1:14">
      <c r="A39" s="99"/>
      <c r="B39" s="95" t="s">
        <v>1257</v>
      </c>
      <c r="C39" s="95"/>
      <c r="D39" s="85"/>
      <c r="E39" s="101">
        <v>0.04</v>
      </c>
      <c r="F39" s="83"/>
      <c r="G39" s="83"/>
      <c r="H39" s="83"/>
      <c r="I39" s="83"/>
      <c r="J39" s="83"/>
      <c r="K39" s="83"/>
      <c r="L39" s="80"/>
      <c r="M39" s="80"/>
      <c r="N39" s="80"/>
    </row>
    <row r="40" spans="1:14">
      <c r="A40" s="96"/>
      <c r="B40" s="97" t="s">
        <v>1250</v>
      </c>
      <c r="C40" s="97"/>
      <c r="D40" s="98"/>
      <c r="E40" s="102">
        <v>2.5000000000000001E-2</v>
      </c>
      <c r="F40" s="80"/>
      <c r="G40" s="80"/>
      <c r="H40" s="80"/>
      <c r="I40" s="80"/>
      <c r="J40" s="80"/>
      <c r="K40" s="80"/>
      <c r="L40" s="80"/>
      <c r="M40" s="80"/>
      <c r="N40" s="80"/>
    </row>
    <row r="41" spans="1:14">
      <c r="A41" s="81"/>
      <c r="B41" s="100"/>
      <c r="C41" s="100"/>
      <c r="D41" s="82"/>
      <c r="E41" s="103"/>
      <c r="F41" s="80"/>
      <c r="G41" s="80"/>
      <c r="H41" s="80"/>
      <c r="I41" s="80"/>
      <c r="J41" s="80"/>
      <c r="K41" s="80"/>
      <c r="L41" s="80"/>
      <c r="M41" s="80"/>
      <c r="N41" s="80"/>
    </row>
    <row r="42" spans="1:14">
      <c r="A42" s="91" t="s">
        <v>1258</v>
      </c>
      <c r="B42" s="95" t="s">
        <v>1259</v>
      </c>
      <c r="C42" s="95"/>
      <c r="D42" s="92"/>
      <c r="E42" s="101">
        <v>2.5000000000000001E-2</v>
      </c>
      <c r="F42" s="80"/>
      <c r="G42" s="80"/>
      <c r="H42" s="80"/>
      <c r="I42" s="80"/>
      <c r="J42" s="80"/>
      <c r="K42" s="80"/>
      <c r="L42" s="80"/>
      <c r="M42" s="80"/>
      <c r="N42" s="80"/>
    </row>
    <row r="43" spans="1:14">
      <c r="A43" s="96"/>
      <c r="B43" s="97"/>
      <c r="C43" s="97"/>
      <c r="D43" s="98"/>
      <c r="E43" s="102"/>
      <c r="F43" s="80"/>
      <c r="G43" s="80"/>
      <c r="H43" s="80"/>
      <c r="I43" s="80"/>
      <c r="J43" s="80"/>
      <c r="K43" s="80"/>
      <c r="L43" s="80"/>
      <c r="M43" s="80"/>
      <c r="N43" s="80"/>
    </row>
    <row r="44" spans="1:14">
      <c r="A44" s="81"/>
      <c r="B44" s="100"/>
      <c r="C44" s="100"/>
      <c r="D44" s="82"/>
      <c r="E44" s="103"/>
      <c r="F44" s="80"/>
      <c r="G44" s="80"/>
      <c r="H44" s="80"/>
      <c r="I44" s="80"/>
      <c r="J44" s="80"/>
      <c r="K44" s="80"/>
      <c r="L44" s="80"/>
      <c r="M44" s="80"/>
      <c r="N44" s="80"/>
    </row>
    <row r="45" spans="1:14">
      <c r="A45" s="91" t="s">
        <v>1260</v>
      </c>
      <c r="B45" s="3927" t="s">
        <v>1259</v>
      </c>
      <c r="C45" s="3927"/>
      <c r="D45" s="92"/>
      <c r="E45" s="101">
        <v>0.04</v>
      </c>
      <c r="F45" s="80"/>
      <c r="G45" s="80"/>
      <c r="H45" s="80"/>
      <c r="I45" s="80"/>
      <c r="J45" s="80"/>
      <c r="K45" s="80"/>
      <c r="L45" s="80"/>
      <c r="M45" s="80"/>
      <c r="N45" s="80"/>
    </row>
    <row r="46" spans="1:14">
      <c r="A46" s="96"/>
      <c r="B46" s="98"/>
      <c r="C46" s="98"/>
      <c r="D46" s="98"/>
      <c r="E46" s="104"/>
      <c r="F46" s="80"/>
      <c r="G46" s="80"/>
      <c r="H46" s="80"/>
      <c r="I46" s="80"/>
      <c r="J46" s="80"/>
      <c r="K46" s="80"/>
      <c r="L46" s="80"/>
      <c r="M46" s="80"/>
      <c r="N46" s="80"/>
    </row>
    <row r="48" spans="1:14">
      <c r="A48" s="3" t="s">
        <v>172</v>
      </c>
    </row>
    <row r="49" spans="1:11" ht="43.5" customHeight="1">
      <c r="A49" s="3742"/>
      <c r="B49" s="3743"/>
      <c r="C49" s="3743"/>
      <c r="D49" s="3743"/>
      <c r="E49" s="3743"/>
      <c r="F49" s="3743"/>
      <c r="G49" s="3743"/>
      <c r="H49" s="3743"/>
      <c r="I49" s="3743"/>
      <c r="J49" s="3743"/>
      <c r="K49" s="3744"/>
    </row>
  </sheetData>
  <customSheetViews>
    <customSheetView guid="{BCBE45D4-3C45-4659-992E-5C5D3E9FD81C}" fitToPage="1" hiddenColumns="1" topLeftCell="A13">
      <selection activeCell="B18" sqref="B18"/>
      <pageMargins left="0.59055118110236227" right="0.43307086614173229" top="0.6692913385826772" bottom="0.94488188976377963" header="0.51181102362204722" footer="0.39370078740157483"/>
      <printOptions horizontalCentered="1"/>
      <pageSetup paperSize="9" scale="4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topLeftCell="A7">
      <selection activeCell="B18" sqref="B18"/>
      <pageMargins left="0.59055118110236227" right="0.43307086614173229" top="0.6692913385826772" bottom="0.94488188976377963" header="0.51181102362204722" footer="0.39370078740157483"/>
      <printOptions horizontalCentered="1"/>
      <pageSetup paperSize="9" scale="49" fitToHeight="999" orientation="portrait" blackAndWhite="1" r:id="rId2"/>
      <headerFooter alignWithMargins="0">
        <oddFooter>&amp;L&amp;8Copyright Crowe Horwath (Aust) Pty Ltd 2016.  All rights reserved.
&amp;Z&amp;F[&amp;A]&amp;R&amp;8&amp;P/&amp;N</oddFooter>
      </headerFooter>
    </customSheetView>
  </customSheetViews>
  <mergeCells count="4">
    <mergeCell ref="B45:C45"/>
    <mergeCell ref="A8:K8"/>
    <mergeCell ref="A9:K9"/>
    <mergeCell ref="A49:K49"/>
  </mergeCells>
  <phoneticPr fontId="26" type="noConversion"/>
  <conditionalFormatting sqref="O154">
    <cfRule type="expression" dxfId="31" priority="1" stopIfTrue="1">
      <formula>SUM($154:$154)=0</formula>
    </cfRule>
  </conditionalFormatting>
  <hyperlinks>
    <hyperlink ref="K10" location="'WPIndex'!A1" display="Back to Workpaper Index" xr:uid="{123AD084-4CB0-42A7-BB18-EFF7DC26CCB6}"/>
  </hyperlinks>
  <printOptions horizontalCentered="1"/>
  <pageMargins left="0.59055118110236227" right="0.43307086614173229" top="0.6692913385826772" bottom="0.94488188976377963" header="0.51181102362204722" footer="0.39370078740157483"/>
  <pageSetup paperSize="9" scale="48" fitToHeight="999" orientation="portrait" r:id="rId3"/>
  <headerFooter alignWithMargins="0">
    <oddFooter>&amp;L&amp;8© Findex (Aust) Pty Ltd.  All rights reserved.&amp;R&amp;8&amp;P/&amp;N</oddFooter>
  </headerFooter>
  <drawing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ater_Impr_WriteOff_Sheet">
    <tabColor theme="8" tint="0.79998168889431442"/>
    <pageSetUpPr fitToPage="1"/>
  </sheetPr>
  <dimension ref="A1:P57"/>
  <sheetViews>
    <sheetView zoomScaleNormal="100" workbookViewId="0">
      <selection sqref="A1:F1"/>
    </sheetView>
  </sheetViews>
  <sheetFormatPr defaultColWidth="9.140625" defaultRowHeight="12.75"/>
  <cols>
    <col min="1" max="1" width="22" style="32" customWidth="1"/>
    <col min="2" max="2" width="14.140625" style="32" customWidth="1"/>
    <col min="3" max="3" width="15.85546875" style="105" customWidth="1"/>
    <col min="4" max="4" width="13.7109375" style="32" customWidth="1"/>
    <col min="5" max="5" width="12.85546875" style="32" customWidth="1"/>
    <col min="6" max="6" width="13.7109375" style="32" customWidth="1"/>
    <col min="7" max="7" width="14.140625" style="32" customWidth="1"/>
    <col min="8" max="8" width="8.28515625" style="32" hidden="1" customWidth="1"/>
    <col min="9" max="9" width="8.7109375" style="32" hidden="1" customWidth="1"/>
    <col min="10" max="10" width="8.28515625" style="1" hidden="1" customWidth="1"/>
    <col min="11" max="13" width="9.140625" style="32"/>
    <col min="14" max="14" width="10.140625" style="32" hidden="1" customWidth="1"/>
    <col min="15" max="16384" width="9.140625" style="32"/>
  </cols>
  <sheetData>
    <row r="1" spans="1:14">
      <c r="F1" s="2613" t="s">
        <v>2425</v>
      </c>
      <c r="G1" s="3576" t="s">
        <v>2758</v>
      </c>
    </row>
    <row r="2" spans="1:14" ht="15.75">
      <c r="A2" s="206"/>
      <c r="B2" s="43"/>
      <c r="C2" s="43"/>
      <c r="D2" s="43"/>
      <c r="E2" s="43"/>
      <c r="F2" s="71" t="s">
        <v>2426</v>
      </c>
      <c r="G2" s="2621"/>
      <c r="H2" s="129">
        <v>2</v>
      </c>
      <c r="I2" s="129">
        <v>3</v>
      </c>
    </row>
    <row r="3" spans="1:14" ht="15.75">
      <c r="A3" s="2611"/>
      <c r="B3" s="43"/>
      <c r="C3" s="43"/>
      <c r="D3" s="43"/>
      <c r="E3" s="43"/>
      <c r="F3" s="43"/>
      <c r="H3" s="129"/>
      <c r="I3" s="129"/>
    </row>
    <row r="4" spans="1:14">
      <c r="A4" s="206"/>
      <c r="C4" s="32"/>
      <c r="E4" s="11"/>
      <c r="F4" s="11" t="s">
        <v>1163</v>
      </c>
      <c r="G4" s="709" t="s">
        <v>1262</v>
      </c>
      <c r="J4" s="32"/>
    </row>
    <row r="5" spans="1:14" ht="17.25" customHeight="1">
      <c r="A5" s="206"/>
      <c r="C5" s="32"/>
      <c r="E5" s="71" t="s">
        <v>332</v>
      </c>
      <c r="F5" s="2617" t="str">
        <f>IF(PreparedBy="","",PreparedBy)</f>
        <v/>
      </c>
      <c r="G5" s="2618" t="str">
        <f>IF(DatePrepared="","",DatePrepared)</f>
        <v/>
      </c>
      <c r="J5" s="32"/>
    </row>
    <row r="6" spans="1:14" ht="17.25" customHeight="1">
      <c r="A6" s="206"/>
      <c r="C6" s="32"/>
      <c r="E6" s="71" t="s">
        <v>333</v>
      </c>
      <c r="F6" s="2619"/>
      <c r="G6" s="2620"/>
      <c r="J6" s="32"/>
    </row>
    <row r="7" spans="1:14" ht="3.95" customHeight="1">
      <c r="A7" s="206"/>
      <c r="B7" s="43"/>
      <c r="C7" s="43"/>
      <c r="D7" s="43"/>
      <c r="E7" s="43"/>
      <c r="J7" s="32"/>
    </row>
    <row r="8" spans="1:14" ht="15.75">
      <c r="A8" s="3704" t="str">
        <f>WP_Water_Improvements_Write_Off</f>
        <v>Water Improvements Write-Off (farm)</v>
      </c>
      <c r="B8" s="3705"/>
      <c r="C8" s="3705"/>
      <c r="D8" s="3705"/>
      <c r="E8" s="3705"/>
      <c r="F8" s="3705"/>
      <c r="G8" s="3706"/>
      <c r="H8" s="129">
        <v>0</v>
      </c>
      <c r="I8" s="129">
        <v>1</v>
      </c>
    </row>
    <row r="9" spans="1:14" ht="15.75">
      <c r="A9" s="3929" t="s">
        <v>977</v>
      </c>
      <c r="B9" s="3929"/>
      <c r="C9" s="3929"/>
      <c r="D9" s="3929"/>
      <c r="E9" s="3929"/>
      <c r="F9" s="3929"/>
      <c r="G9" s="3929"/>
      <c r="H9" s="129">
        <v>1</v>
      </c>
      <c r="I9" s="129">
        <v>2</v>
      </c>
    </row>
    <row r="10" spans="1:14">
      <c r="G10" s="3248" t="s">
        <v>2526</v>
      </c>
      <c r="H10" s="129">
        <v>3</v>
      </c>
      <c r="I10" s="129">
        <v>4</v>
      </c>
    </row>
    <row r="11" spans="1:14" ht="16.5" customHeight="1">
      <c r="A11" s="221" t="str">
        <f>"CLIENT NAME:   "&amp;'WP Index'!E3</f>
        <v>CLIENT NAME:   Example Trust</v>
      </c>
      <c r="F11" s="44" t="s">
        <v>952</v>
      </c>
      <c r="G11" s="36">
        <f>'WP Index'!E5</f>
        <v>45108</v>
      </c>
      <c r="H11" s="129">
        <v>4</v>
      </c>
      <c r="I11" s="129">
        <v>5</v>
      </c>
    </row>
    <row r="12" spans="1:14">
      <c r="A12" s="34" t="str">
        <f>"CLIENT CODE:   "&amp;'WP Index'!E4</f>
        <v>CLIENT CODE:   99999</v>
      </c>
      <c r="F12" s="47" t="s">
        <v>951</v>
      </c>
      <c r="G12" s="47">
        <f>'WP Index'!G5</f>
        <v>45473</v>
      </c>
      <c r="H12" s="129">
        <v>5</v>
      </c>
      <c r="I12" s="129">
        <v>6</v>
      </c>
      <c r="N12" s="1877">
        <v>42136</v>
      </c>
    </row>
    <row r="13" spans="1:14">
      <c r="C13" s="210">
        <v>731</v>
      </c>
      <c r="D13" s="211">
        <f>C13</f>
        <v>731</v>
      </c>
      <c r="H13" s="129">
        <v>6</v>
      </c>
      <c r="I13" s="129">
        <v>7</v>
      </c>
    </row>
    <row r="14" spans="1:14">
      <c r="A14" s="106"/>
      <c r="B14" s="106"/>
      <c r="C14" s="106"/>
      <c r="D14" s="106"/>
      <c r="E14" s="106"/>
      <c r="F14" s="106"/>
      <c r="G14" s="106"/>
      <c r="H14" s="129">
        <v>7</v>
      </c>
      <c r="I14" s="129">
        <v>8</v>
      </c>
    </row>
    <row r="15" spans="1:14">
      <c r="A15" s="209"/>
      <c r="B15" s="107"/>
      <c r="C15" s="108" t="s">
        <v>1332</v>
      </c>
      <c r="D15" s="107"/>
      <c r="E15" s="107"/>
      <c r="F15" s="107"/>
      <c r="G15" s="109"/>
      <c r="H15" s="129">
        <v>9</v>
      </c>
      <c r="I15" s="129">
        <v>10</v>
      </c>
    </row>
    <row r="16" spans="1:14">
      <c r="A16" s="110"/>
      <c r="B16" s="111" t="s">
        <v>1044</v>
      </c>
      <c r="C16" s="112" t="s">
        <v>1022</v>
      </c>
      <c r="D16" s="111" t="s">
        <v>999</v>
      </c>
      <c r="E16" s="111"/>
      <c r="F16" s="111" t="s">
        <v>1001</v>
      </c>
      <c r="G16" s="113"/>
      <c r="H16" s="129"/>
      <c r="I16" s="129"/>
      <c r="J16" s="6" t="s">
        <v>1286</v>
      </c>
    </row>
    <row r="17" spans="1:16" ht="18" customHeight="1">
      <c r="A17" s="114" t="s">
        <v>548</v>
      </c>
      <c r="B17" s="115" t="s">
        <v>1333</v>
      </c>
      <c r="C17" s="116" t="s">
        <v>1041</v>
      </c>
      <c r="D17" s="115" t="s">
        <v>1004</v>
      </c>
      <c r="E17" s="115" t="s">
        <v>1000</v>
      </c>
      <c r="F17" s="115" t="s">
        <v>1004</v>
      </c>
      <c r="G17" s="117" t="s">
        <v>1042</v>
      </c>
      <c r="H17" s="129">
        <v>10</v>
      </c>
      <c r="I17" s="129"/>
    </row>
    <row r="18" spans="1:16">
      <c r="A18" s="2922"/>
      <c r="B18" s="2923"/>
      <c r="C18" s="2924"/>
      <c r="D18" s="386">
        <f>IF(C18="",0,IF(C18&gt;$G$12,0,IF(C18&gt;=$G$11,B18,B18-ROUND(B18/3,0)*IF(C18&gt;=DATE(YEAR($G$11)-1,7,1),1,IF(C18&gt;=DATE(YEAR($G$11)-2,7,1),2,3)))))</f>
        <v>0</v>
      </c>
      <c r="E18" s="386">
        <f t="shared" ref="E18:E37" si="0">IF(C18&gt;=$N$12,B18,IF(B18="",0,IF(D18&gt;=B18/3,ROUND(B18/3,0),D18)))</f>
        <v>0</v>
      </c>
      <c r="F18" s="386">
        <f t="shared" ref="F18:F37" si="1">IF(IFERROR(D18-E18&lt;=0,0)=TRUE,0,D18-E18)</f>
        <v>0</v>
      </c>
      <c r="G18" s="2932"/>
      <c r="H18" s="218"/>
      <c r="I18" s="218"/>
    </row>
    <row r="19" spans="1:16">
      <c r="A19" s="2925" t="s">
        <v>1998</v>
      </c>
      <c r="B19" s="2926"/>
      <c r="C19" s="2927"/>
      <c r="D19" s="386">
        <f t="shared" ref="D19:D37" si="2">IF(C19="",0,IF(C19&gt;$G$12,0,IF(C19&gt;=$G$11,B19,B19-ROUND(B19/3,0)*IF(C19&gt;=DATE(YEAR($G$11)-1,7,1),1,IF(C19&gt;=DATE(YEAR($G$11)-2,7,1),2,3)))))</f>
        <v>0</v>
      </c>
      <c r="E19" s="386">
        <f t="shared" si="0"/>
        <v>0</v>
      </c>
      <c r="F19" s="386">
        <f t="shared" si="1"/>
        <v>0</v>
      </c>
      <c r="G19" s="2933"/>
      <c r="H19" s="218"/>
      <c r="I19" s="218"/>
    </row>
    <row r="20" spans="1:16">
      <c r="A20" s="2928"/>
      <c r="B20" s="2926"/>
      <c r="C20" s="2927"/>
      <c r="D20" s="386">
        <f t="shared" si="2"/>
        <v>0</v>
      </c>
      <c r="E20" s="386">
        <f t="shared" si="0"/>
        <v>0</v>
      </c>
      <c r="F20" s="386">
        <f t="shared" si="1"/>
        <v>0</v>
      </c>
      <c r="G20" s="2933"/>
      <c r="H20" s="218"/>
      <c r="I20" s="218"/>
    </row>
    <row r="21" spans="1:16">
      <c r="A21" s="2928"/>
      <c r="B21" s="2926"/>
      <c r="C21" s="2927"/>
      <c r="D21" s="386">
        <f t="shared" si="2"/>
        <v>0</v>
      </c>
      <c r="E21" s="386">
        <f t="shared" si="0"/>
        <v>0</v>
      </c>
      <c r="F21" s="386">
        <f t="shared" si="1"/>
        <v>0</v>
      </c>
      <c r="G21" s="2933"/>
      <c r="H21" s="218"/>
      <c r="I21" s="218"/>
    </row>
    <row r="22" spans="1:16">
      <c r="A22" s="2928"/>
      <c r="B22" s="2926"/>
      <c r="C22" s="2927"/>
      <c r="D22" s="386">
        <f t="shared" si="2"/>
        <v>0</v>
      </c>
      <c r="E22" s="386">
        <f t="shared" si="0"/>
        <v>0</v>
      </c>
      <c r="F22" s="386">
        <f t="shared" si="1"/>
        <v>0</v>
      </c>
      <c r="G22" s="2933"/>
      <c r="H22" s="218"/>
      <c r="I22" s="218"/>
    </row>
    <row r="23" spans="1:16">
      <c r="A23" s="2928"/>
      <c r="B23" s="2926"/>
      <c r="C23" s="2927"/>
      <c r="D23" s="386">
        <f t="shared" si="2"/>
        <v>0</v>
      </c>
      <c r="E23" s="386">
        <f t="shared" si="0"/>
        <v>0</v>
      </c>
      <c r="F23" s="386">
        <f t="shared" si="1"/>
        <v>0</v>
      </c>
      <c r="G23" s="2933"/>
      <c r="H23" s="218"/>
      <c r="I23" s="218"/>
    </row>
    <row r="24" spans="1:16" s="35" customFormat="1">
      <c r="A24" s="2928"/>
      <c r="B24" s="2926"/>
      <c r="C24" s="2927"/>
      <c r="D24" s="386">
        <f t="shared" si="2"/>
        <v>0</v>
      </c>
      <c r="E24" s="386">
        <f t="shared" si="0"/>
        <v>0</v>
      </c>
      <c r="F24" s="386">
        <f t="shared" si="1"/>
        <v>0</v>
      </c>
      <c r="G24" s="2933"/>
      <c r="J24" s="1"/>
    </row>
    <row r="25" spans="1:16">
      <c r="A25" s="2928"/>
      <c r="B25" s="2926"/>
      <c r="C25" s="2927"/>
      <c r="D25" s="386">
        <f t="shared" si="2"/>
        <v>0</v>
      </c>
      <c r="E25" s="386">
        <f t="shared" si="0"/>
        <v>0</v>
      </c>
      <c r="F25" s="386">
        <f t="shared" si="1"/>
        <v>0</v>
      </c>
      <c r="G25" s="2933"/>
    </row>
    <row r="26" spans="1:16">
      <c r="A26" s="2928"/>
      <c r="B26" s="2926"/>
      <c r="C26" s="2927"/>
      <c r="D26" s="386">
        <f t="shared" si="2"/>
        <v>0</v>
      </c>
      <c r="E26" s="386">
        <f t="shared" si="0"/>
        <v>0</v>
      </c>
      <c r="F26" s="386">
        <f t="shared" si="1"/>
        <v>0</v>
      </c>
      <c r="G26" s="2933"/>
      <c r="P26" s="1878"/>
    </row>
    <row r="27" spans="1:16">
      <c r="A27" s="2928"/>
      <c r="B27" s="2926"/>
      <c r="C27" s="2927"/>
      <c r="D27" s="386">
        <f t="shared" si="2"/>
        <v>0</v>
      </c>
      <c r="E27" s="386">
        <f t="shared" si="0"/>
        <v>0</v>
      </c>
      <c r="F27" s="386">
        <f t="shared" si="1"/>
        <v>0</v>
      </c>
      <c r="G27" s="2933"/>
    </row>
    <row r="28" spans="1:16">
      <c r="A28" s="2928"/>
      <c r="B28" s="2926"/>
      <c r="C28" s="2927"/>
      <c r="D28" s="386">
        <f t="shared" si="2"/>
        <v>0</v>
      </c>
      <c r="E28" s="386">
        <f t="shared" si="0"/>
        <v>0</v>
      </c>
      <c r="F28" s="386">
        <f t="shared" si="1"/>
        <v>0</v>
      </c>
      <c r="G28" s="2933"/>
    </row>
    <row r="29" spans="1:16">
      <c r="A29" s="2928"/>
      <c r="B29" s="2926"/>
      <c r="C29" s="2927"/>
      <c r="D29" s="386">
        <f t="shared" si="2"/>
        <v>0</v>
      </c>
      <c r="E29" s="386">
        <f t="shared" si="0"/>
        <v>0</v>
      </c>
      <c r="F29" s="386">
        <f t="shared" si="1"/>
        <v>0</v>
      </c>
      <c r="G29" s="2933"/>
    </row>
    <row r="30" spans="1:16">
      <c r="A30" s="2928"/>
      <c r="B30" s="2926"/>
      <c r="C30" s="2927"/>
      <c r="D30" s="386">
        <f t="shared" si="2"/>
        <v>0</v>
      </c>
      <c r="E30" s="386">
        <f t="shared" si="0"/>
        <v>0</v>
      </c>
      <c r="F30" s="386">
        <f t="shared" si="1"/>
        <v>0</v>
      </c>
      <c r="G30" s="2933"/>
    </row>
    <row r="31" spans="1:16">
      <c r="A31" s="2928"/>
      <c r="B31" s="2926"/>
      <c r="C31" s="2927"/>
      <c r="D31" s="386">
        <f t="shared" si="2"/>
        <v>0</v>
      </c>
      <c r="E31" s="386">
        <f t="shared" si="0"/>
        <v>0</v>
      </c>
      <c r="F31" s="386">
        <f t="shared" si="1"/>
        <v>0</v>
      </c>
      <c r="G31" s="2933"/>
    </row>
    <row r="32" spans="1:16">
      <c r="A32" s="2928"/>
      <c r="B32" s="2926"/>
      <c r="C32" s="2927"/>
      <c r="D32" s="386">
        <f t="shared" si="2"/>
        <v>0</v>
      </c>
      <c r="E32" s="386">
        <f t="shared" si="0"/>
        <v>0</v>
      </c>
      <c r="F32" s="386">
        <f t="shared" si="1"/>
        <v>0</v>
      </c>
      <c r="G32" s="2933"/>
    </row>
    <row r="33" spans="1:10">
      <c r="A33" s="2928"/>
      <c r="B33" s="2926"/>
      <c r="C33" s="2927"/>
      <c r="D33" s="386">
        <f t="shared" si="2"/>
        <v>0</v>
      </c>
      <c r="E33" s="386">
        <f t="shared" si="0"/>
        <v>0</v>
      </c>
      <c r="F33" s="386">
        <f t="shared" si="1"/>
        <v>0</v>
      </c>
      <c r="G33" s="2933"/>
    </row>
    <row r="34" spans="1:10">
      <c r="A34" s="2928"/>
      <c r="B34" s="2926"/>
      <c r="C34" s="2927"/>
      <c r="D34" s="386">
        <f t="shared" si="2"/>
        <v>0</v>
      </c>
      <c r="E34" s="386">
        <f t="shared" si="0"/>
        <v>0</v>
      </c>
      <c r="F34" s="386">
        <f t="shared" si="1"/>
        <v>0</v>
      </c>
      <c r="G34" s="2933"/>
    </row>
    <row r="35" spans="1:10">
      <c r="A35" s="2928"/>
      <c r="B35" s="2926"/>
      <c r="C35" s="2927"/>
      <c r="D35" s="386">
        <f t="shared" si="2"/>
        <v>0</v>
      </c>
      <c r="E35" s="386">
        <f t="shared" si="0"/>
        <v>0</v>
      </c>
      <c r="F35" s="386">
        <f t="shared" si="1"/>
        <v>0</v>
      </c>
      <c r="G35" s="2933"/>
    </row>
    <row r="36" spans="1:10">
      <c r="A36" s="2928"/>
      <c r="B36" s="2926"/>
      <c r="C36" s="2927"/>
      <c r="D36" s="386">
        <f t="shared" si="2"/>
        <v>0</v>
      </c>
      <c r="E36" s="386">
        <f t="shared" si="0"/>
        <v>0</v>
      </c>
      <c r="F36" s="386">
        <f t="shared" si="1"/>
        <v>0</v>
      </c>
      <c r="G36" s="2933"/>
    </row>
    <row r="37" spans="1:10">
      <c r="A37" s="2929"/>
      <c r="B37" s="2930"/>
      <c r="C37" s="2931"/>
      <c r="D37" s="386">
        <f t="shared" si="2"/>
        <v>0</v>
      </c>
      <c r="E37" s="386">
        <f t="shared" si="0"/>
        <v>0</v>
      </c>
      <c r="F37" s="386">
        <f t="shared" si="1"/>
        <v>0</v>
      </c>
      <c r="G37" s="2934"/>
    </row>
    <row r="38" spans="1:10" s="35" customFormat="1">
      <c r="A38" s="176" t="s">
        <v>1086</v>
      </c>
      <c r="B38" s="373">
        <f>SUM(B18:B37)</f>
        <v>0</v>
      </c>
      <c r="C38" s="374"/>
      <c r="D38" s="375">
        <f>SUM(D18:D37)</f>
        <v>0</v>
      </c>
      <c r="E38" s="375">
        <f>SUM(E18:E37)</f>
        <v>0</v>
      </c>
      <c r="F38" s="375">
        <f>SUM(F18:F37)</f>
        <v>0</v>
      </c>
      <c r="G38" s="376"/>
      <c r="J38" s="1"/>
    </row>
    <row r="39" spans="1:10">
      <c r="A39" s="119"/>
      <c r="B39" s="377"/>
      <c r="C39" s="378"/>
      <c r="D39" s="379"/>
      <c r="E39" s="379"/>
      <c r="F39" s="379"/>
      <c r="G39" s="378"/>
    </row>
    <row r="40" spans="1:10" s="35" customFormat="1">
      <c r="A40" s="118"/>
      <c r="B40" s="380"/>
      <c r="C40" s="380"/>
      <c r="D40" s="381" t="s">
        <v>1043</v>
      </c>
      <c r="E40" s="387">
        <f>D38-F38</f>
        <v>0</v>
      </c>
      <c r="F40" s="380"/>
      <c r="G40" s="380"/>
      <c r="J40" s="1"/>
    </row>
    <row r="41" spans="1:10">
      <c r="A41" s="120"/>
      <c r="B41" s="121"/>
      <c r="C41" s="122"/>
      <c r="D41" s="120"/>
      <c r="E41" s="120"/>
      <c r="F41" s="120"/>
      <c r="G41" s="122"/>
    </row>
    <row r="43" spans="1:10">
      <c r="A43" s="35" t="s">
        <v>172</v>
      </c>
    </row>
    <row r="44" spans="1:10" ht="37.5" customHeight="1">
      <c r="A44" s="3742"/>
      <c r="B44" s="3743"/>
      <c r="C44" s="3743"/>
      <c r="D44" s="3743"/>
      <c r="E44" s="3743"/>
      <c r="F44" s="3743"/>
      <c r="G44" s="3744"/>
    </row>
    <row r="47" spans="1:10">
      <c r="A47" s="32" t="s">
        <v>188</v>
      </c>
    </row>
    <row r="48" spans="1:10">
      <c r="A48" s="32" t="s">
        <v>189</v>
      </c>
    </row>
    <row r="50" spans="1:3">
      <c r="A50" s="652"/>
      <c r="B50" s="653" t="s">
        <v>983</v>
      </c>
      <c r="C50" s="654" t="s">
        <v>190</v>
      </c>
    </row>
    <row r="51" spans="1:3">
      <c r="A51" s="2935" t="s">
        <v>1446</v>
      </c>
      <c r="B51" s="2937">
        <v>0</v>
      </c>
      <c r="C51" s="655">
        <f t="shared" ref="C51:C56" si="3">$E$38*B51</f>
        <v>0</v>
      </c>
    </row>
    <row r="52" spans="1:3">
      <c r="A52" s="2936" t="s">
        <v>191</v>
      </c>
      <c r="B52" s="2938">
        <v>0</v>
      </c>
      <c r="C52" s="655">
        <f t="shared" si="3"/>
        <v>0</v>
      </c>
    </row>
    <row r="53" spans="1:3">
      <c r="A53" s="2936" t="s">
        <v>192</v>
      </c>
      <c r="B53" s="2938">
        <v>0</v>
      </c>
      <c r="C53" s="655">
        <f t="shared" si="3"/>
        <v>0</v>
      </c>
    </row>
    <row r="54" spans="1:3">
      <c r="A54" s="2936" t="s">
        <v>193</v>
      </c>
      <c r="B54" s="2938">
        <v>0</v>
      </c>
      <c r="C54" s="655">
        <f t="shared" si="3"/>
        <v>0</v>
      </c>
    </row>
    <row r="55" spans="1:3">
      <c r="A55" s="2936" t="s">
        <v>194</v>
      </c>
      <c r="B55" s="2938">
        <v>0</v>
      </c>
      <c r="C55" s="655">
        <f t="shared" si="3"/>
        <v>0</v>
      </c>
    </row>
    <row r="56" spans="1:3">
      <c r="A56" s="2939" t="s">
        <v>195</v>
      </c>
      <c r="B56" s="2940">
        <v>0</v>
      </c>
      <c r="C56" s="655">
        <f t="shared" si="3"/>
        <v>0</v>
      </c>
    </row>
    <row r="57" spans="1:3">
      <c r="A57" s="656"/>
      <c r="B57" s="657">
        <f>SUM(B51:B56)</f>
        <v>0</v>
      </c>
      <c r="C57" s="658">
        <f>SUM(C51:C56)</f>
        <v>0</v>
      </c>
    </row>
  </sheetData>
  <customSheetViews>
    <customSheetView guid="{BCBE45D4-3C45-4659-992E-5C5D3E9FD81C}" fitToPage="1" hiddenColumns="1">
      <selection activeCell="U38" sqref="U38"/>
      <pageMargins left="0.59055118110236227" right="0.43307086614173229" top="0.6692913385826772" bottom="0.94488188976377963" header="0.51181102362204722" footer="0.39370078740157483"/>
      <printOptions horizontalCentered="1"/>
      <pageSetup paperSize="9" scale="8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C16" sqref="C16"/>
      <pageMargins left="0.59055118110236227" right="0.43307086614173229" top="0.6692913385826772" bottom="0.94488188976377963" header="0.51181102362204722" footer="0.39370078740157483"/>
      <printOptions horizontalCentered="1"/>
      <pageSetup paperSize="9" scale="84"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8:G8"/>
    <mergeCell ref="A9:G9"/>
    <mergeCell ref="A44:G44"/>
  </mergeCells>
  <phoneticPr fontId="26" type="noConversion"/>
  <hyperlinks>
    <hyperlink ref="G10" location="'WPIndex'!A1" display="Back to Workpaper Index" xr:uid="{12C4B030-CC5A-4674-8541-4695BF994726}"/>
  </hyperlinks>
  <printOptions horizontalCentered="1"/>
  <pageMargins left="0.59055118110236227" right="0.43307086614173229" top="0.6692913385826772" bottom="0.94488188976377963" header="0.51181102362204722" footer="0.39370078740157483"/>
  <pageSetup paperSize="9" scale="86" fitToHeight="999" orientation="portrait" blackAndWhite="1" r:id="rId3"/>
  <headerFooter alignWithMargins="0">
    <oddFooter>&amp;L&amp;8© Findex (Aust) Pty Ltd.  All rights reserved.&amp;R&amp;8&amp;P/&amp;N</oddFooter>
  </headerFooter>
  <drawing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Mains_Elec_WriteOff_Sheet">
    <tabColor theme="8" tint="0.79998168889431442"/>
    <pageSetUpPr fitToPage="1"/>
  </sheetPr>
  <dimension ref="A1:J56"/>
  <sheetViews>
    <sheetView zoomScaleNormal="100" workbookViewId="0">
      <selection sqref="A1:F1"/>
    </sheetView>
  </sheetViews>
  <sheetFormatPr defaultColWidth="9.140625" defaultRowHeight="12.75"/>
  <cols>
    <col min="1" max="1" width="22.5703125" style="32" customWidth="1"/>
    <col min="2" max="2" width="13.85546875" style="32" bestFit="1" customWidth="1"/>
    <col min="3" max="3" width="14.85546875" style="105" bestFit="1" customWidth="1"/>
    <col min="4" max="6" width="14.140625" style="32" customWidth="1"/>
    <col min="7" max="7" width="16.7109375" style="32" customWidth="1"/>
    <col min="8" max="9" width="9.140625" style="32" hidden="1" customWidth="1"/>
    <col min="10" max="10" width="8.28515625" style="1" hidden="1" customWidth="1"/>
    <col min="11" max="16384" width="9.140625" style="32"/>
  </cols>
  <sheetData>
    <row r="1" spans="1:10">
      <c r="F1" s="2613" t="s">
        <v>2425</v>
      </c>
      <c r="G1" s="3576" t="s">
        <v>2758</v>
      </c>
    </row>
    <row r="2" spans="1:10" ht="15.75">
      <c r="A2" s="206"/>
      <c r="B2" s="43"/>
      <c r="C2" s="43"/>
      <c r="D2" s="43"/>
      <c r="E2" s="43"/>
      <c r="F2" s="71" t="s">
        <v>2426</v>
      </c>
      <c r="G2" s="2621"/>
      <c r="H2" s="129">
        <v>2</v>
      </c>
      <c r="I2" s="129">
        <v>3</v>
      </c>
    </row>
    <row r="3" spans="1:10" ht="15.75">
      <c r="A3" s="2611"/>
      <c r="B3" s="43"/>
      <c r="C3" s="43"/>
      <c r="D3" s="43"/>
      <c r="E3" s="43"/>
      <c r="F3" s="40"/>
      <c r="G3" s="1"/>
      <c r="H3" s="129"/>
      <c r="I3" s="129"/>
    </row>
    <row r="4" spans="1:10">
      <c r="A4" s="206"/>
      <c r="C4" s="32"/>
      <c r="E4" s="11"/>
      <c r="F4" s="2612" t="s">
        <v>1163</v>
      </c>
      <c r="G4" s="709" t="s">
        <v>1262</v>
      </c>
      <c r="J4" s="32"/>
    </row>
    <row r="5" spans="1:10" ht="17.25" customHeight="1">
      <c r="A5" s="206"/>
      <c r="C5" s="32"/>
      <c r="E5" s="71" t="s">
        <v>332</v>
      </c>
      <c r="F5" s="2617" t="str">
        <f>IF(PreparedBy="","",PreparedBy)</f>
        <v/>
      </c>
      <c r="G5" s="2618" t="str">
        <f>IF(DatePrepared="","",DatePrepared)</f>
        <v/>
      </c>
      <c r="J5" s="32"/>
    </row>
    <row r="6" spans="1:10" ht="17.25" customHeight="1">
      <c r="A6" s="206"/>
      <c r="C6" s="32"/>
      <c r="E6" s="71" t="s">
        <v>333</v>
      </c>
      <c r="F6" s="2619"/>
      <c r="G6" s="2620"/>
      <c r="J6" s="32"/>
    </row>
    <row r="7" spans="1:10" ht="3.95" customHeight="1">
      <c r="A7" s="206"/>
      <c r="B7" s="43"/>
      <c r="C7" s="43"/>
      <c r="D7" s="43"/>
      <c r="E7" s="43"/>
      <c r="J7" s="32"/>
    </row>
    <row r="8" spans="1:10" ht="15.75">
      <c r="A8" s="3704" t="str">
        <f>WP_Mains_Electricity_Write_Off</f>
        <v>Mains Electricity Write-Off (farm)</v>
      </c>
      <c r="B8" s="3705"/>
      <c r="C8" s="3705"/>
      <c r="D8" s="3705"/>
      <c r="E8" s="3705"/>
      <c r="F8" s="3705"/>
      <c r="G8" s="3706"/>
      <c r="H8" s="129">
        <v>0</v>
      </c>
      <c r="I8" s="129">
        <v>1</v>
      </c>
    </row>
    <row r="9" spans="1:10" ht="15.75">
      <c r="A9" s="3929" t="s">
        <v>1444</v>
      </c>
      <c r="B9" s="3929"/>
      <c r="C9" s="3929"/>
      <c r="D9" s="3929"/>
      <c r="E9" s="3929"/>
      <c r="F9" s="3929"/>
      <c r="G9" s="3929"/>
      <c r="H9" s="129">
        <v>1</v>
      </c>
      <c r="I9" s="129">
        <v>2</v>
      </c>
    </row>
    <row r="10" spans="1:10">
      <c r="G10" s="3248" t="s">
        <v>2526</v>
      </c>
      <c r="H10" s="129">
        <v>3</v>
      </c>
      <c r="I10" s="129">
        <v>4</v>
      </c>
    </row>
    <row r="11" spans="1:10" ht="15.75">
      <c r="A11" s="221" t="str">
        <f>"CLIENT NAME:   "&amp;'WP Index'!E3</f>
        <v>CLIENT NAME:   Example Trust</v>
      </c>
      <c r="F11" s="44" t="s">
        <v>952</v>
      </c>
      <c r="G11" s="36">
        <f>'WP Index'!E5</f>
        <v>45108</v>
      </c>
      <c r="H11" s="129">
        <v>4</v>
      </c>
      <c r="I11" s="129">
        <v>5</v>
      </c>
    </row>
    <row r="12" spans="1:10">
      <c r="A12" s="34" t="str">
        <f>"CLIENT CODE:   "&amp;'WP Index'!E4</f>
        <v>CLIENT CODE:   99999</v>
      </c>
      <c r="C12" s="210">
        <v>3653</v>
      </c>
      <c r="D12" s="212"/>
      <c r="F12" s="47" t="s">
        <v>951</v>
      </c>
      <c r="G12" s="47">
        <f>'WP Index'!G5</f>
        <v>45473</v>
      </c>
      <c r="H12" s="129">
        <v>5</v>
      </c>
      <c r="I12" s="129">
        <v>6</v>
      </c>
    </row>
    <row r="13" spans="1:10">
      <c r="H13" s="129">
        <v>6</v>
      </c>
      <c r="I13" s="129">
        <v>7</v>
      </c>
    </row>
    <row r="14" spans="1:10">
      <c r="A14" s="106"/>
      <c r="B14" s="106"/>
      <c r="C14" s="106"/>
      <c r="D14" s="106"/>
      <c r="E14" s="106"/>
      <c r="F14" s="106"/>
      <c r="G14" s="106"/>
      <c r="H14" s="129">
        <v>7</v>
      </c>
      <c r="I14" s="129">
        <v>8</v>
      </c>
    </row>
    <row r="15" spans="1:10">
      <c r="A15" s="209"/>
      <c r="B15" s="107"/>
      <c r="C15" s="108" t="s">
        <v>1332</v>
      </c>
      <c r="D15" s="107"/>
      <c r="E15" s="107"/>
      <c r="F15" s="107"/>
      <c r="G15" s="109"/>
      <c r="H15" s="129">
        <v>9</v>
      </c>
      <c r="I15" s="129">
        <v>10</v>
      </c>
    </row>
    <row r="16" spans="1:10">
      <c r="A16" s="110"/>
      <c r="B16" s="111" t="s">
        <v>1044</v>
      </c>
      <c r="C16" s="112" t="s">
        <v>1022</v>
      </c>
      <c r="D16" s="111" t="s">
        <v>999</v>
      </c>
      <c r="E16" s="111"/>
      <c r="F16" s="111" t="s">
        <v>1001</v>
      </c>
      <c r="G16" s="113"/>
      <c r="H16" s="129"/>
      <c r="I16" s="129"/>
      <c r="J16" s="6" t="s">
        <v>1286</v>
      </c>
    </row>
    <row r="17" spans="1:10" ht="18" customHeight="1">
      <c r="A17" s="114" t="s">
        <v>548</v>
      </c>
      <c r="B17" s="115" t="s">
        <v>1333</v>
      </c>
      <c r="C17" s="116" t="s">
        <v>1041</v>
      </c>
      <c r="D17" s="115" t="s">
        <v>1004</v>
      </c>
      <c r="E17" s="115" t="s">
        <v>1000</v>
      </c>
      <c r="F17" s="115" t="s">
        <v>1004</v>
      </c>
      <c r="G17" s="117" t="s">
        <v>1042</v>
      </c>
      <c r="H17" s="129">
        <v>10</v>
      </c>
      <c r="I17" s="129"/>
    </row>
    <row r="18" spans="1:10">
      <c r="A18" s="2922"/>
      <c r="B18" s="2923"/>
      <c r="C18" s="2924"/>
      <c r="D18" s="372">
        <f t="shared" ref="D18:D28" si="0">IF(C18&gt;($G$11+365),0,IF(A18="",0,IF(($G$11-C18)&gt;$D$12,0,IF(C18&gt;=$G$11,B18,B18-(ROUND(B18/10,0)*VLOOKUP(($G$11-3-C18)/365,$H$2:$I$23,2))))))</f>
        <v>0</v>
      </c>
      <c r="E18" s="372">
        <f>IF(B18="",0,IF(D18&gt;=B18/10,B18/10,D18))</f>
        <v>0</v>
      </c>
      <c r="F18" s="372">
        <f>IF(A18="",0,D18-E18)</f>
        <v>0</v>
      </c>
      <c r="G18" s="2941"/>
      <c r="H18" s="218"/>
      <c r="I18" s="218"/>
    </row>
    <row r="19" spans="1:10">
      <c r="A19" s="2928"/>
      <c r="B19" s="2926"/>
      <c r="C19" s="2927"/>
      <c r="D19" s="372">
        <f t="shared" si="0"/>
        <v>0</v>
      </c>
      <c r="E19" s="372">
        <f t="shared" ref="E19:E37" si="1">IF(B19="",0,IF(D19&gt;=B19/10,B19/10,D19))</f>
        <v>0</v>
      </c>
      <c r="F19" s="372">
        <f t="shared" ref="F19:F37" si="2">IF(A19="",0,D19-E19)</f>
        <v>0</v>
      </c>
      <c r="G19" s="2933"/>
      <c r="H19" s="218"/>
      <c r="I19" s="218"/>
    </row>
    <row r="20" spans="1:10">
      <c r="A20" s="2928"/>
      <c r="B20" s="2926"/>
      <c r="C20" s="2927"/>
      <c r="D20" s="372">
        <f t="shared" si="0"/>
        <v>0</v>
      </c>
      <c r="E20" s="372">
        <f t="shared" si="1"/>
        <v>0</v>
      </c>
      <c r="F20" s="372">
        <f t="shared" si="2"/>
        <v>0</v>
      </c>
      <c r="G20" s="2933"/>
      <c r="H20" s="218"/>
      <c r="I20" s="218"/>
    </row>
    <row r="21" spans="1:10">
      <c r="A21" s="2928"/>
      <c r="B21" s="2926"/>
      <c r="C21" s="2927"/>
      <c r="D21" s="372">
        <f t="shared" si="0"/>
        <v>0</v>
      </c>
      <c r="E21" s="372">
        <f t="shared" si="1"/>
        <v>0</v>
      </c>
      <c r="F21" s="372">
        <f t="shared" si="2"/>
        <v>0</v>
      </c>
      <c r="G21" s="2933"/>
      <c r="H21" s="218"/>
      <c r="I21" s="218"/>
    </row>
    <row r="22" spans="1:10">
      <c r="A22" s="2928"/>
      <c r="B22" s="2926"/>
      <c r="C22" s="2927"/>
      <c r="D22" s="372">
        <f t="shared" si="0"/>
        <v>0</v>
      </c>
      <c r="E22" s="372">
        <f t="shared" si="1"/>
        <v>0</v>
      </c>
      <c r="F22" s="372">
        <f t="shared" si="2"/>
        <v>0</v>
      </c>
      <c r="G22" s="2933"/>
      <c r="H22" s="218"/>
      <c r="I22" s="218"/>
    </row>
    <row r="23" spans="1:10">
      <c r="A23" s="2928"/>
      <c r="B23" s="2926"/>
      <c r="C23" s="2927"/>
      <c r="D23" s="372">
        <f t="shared" si="0"/>
        <v>0</v>
      </c>
      <c r="E23" s="372">
        <f t="shared" si="1"/>
        <v>0</v>
      </c>
      <c r="F23" s="372">
        <f t="shared" si="2"/>
        <v>0</v>
      </c>
      <c r="G23" s="2933"/>
      <c r="H23" s="218"/>
      <c r="I23" s="218"/>
    </row>
    <row r="24" spans="1:10" s="35" customFormat="1">
      <c r="A24" s="2928"/>
      <c r="B24" s="2926"/>
      <c r="C24" s="2927"/>
      <c r="D24" s="372">
        <f t="shared" si="0"/>
        <v>0</v>
      </c>
      <c r="E24" s="372">
        <f t="shared" si="1"/>
        <v>0</v>
      </c>
      <c r="F24" s="372">
        <f t="shared" si="2"/>
        <v>0</v>
      </c>
      <c r="G24" s="2933"/>
      <c r="J24" s="1"/>
    </row>
    <row r="25" spans="1:10">
      <c r="A25" s="2928"/>
      <c r="B25" s="2926"/>
      <c r="C25" s="2927"/>
      <c r="D25" s="372">
        <f t="shared" si="0"/>
        <v>0</v>
      </c>
      <c r="E25" s="372">
        <f t="shared" si="1"/>
        <v>0</v>
      </c>
      <c r="F25" s="372">
        <f t="shared" si="2"/>
        <v>0</v>
      </c>
      <c r="G25" s="2933"/>
    </row>
    <row r="26" spans="1:10">
      <c r="A26" s="2928"/>
      <c r="B26" s="2926"/>
      <c r="C26" s="2927"/>
      <c r="D26" s="372">
        <f t="shared" si="0"/>
        <v>0</v>
      </c>
      <c r="E26" s="372">
        <f t="shared" si="1"/>
        <v>0</v>
      </c>
      <c r="F26" s="372">
        <f t="shared" si="2"/>
        <v>0</v>
      </c>
      <c r="G26" s="2933"/>
    </row>
    <row r="27" spans="1:10">
      <c r="A27" s="2928"/>
      <c r="B27" s="2926"/>
      <c r="C27" s="2927"/>
      <c r="D27" s="372">
        <f t="shared" si="0"/>
        <v>0</v>
      </c>
      <c r="E27" s="372">
        <f t="shared" si="1"/>
        <v>0</v>
      </c>
      <c r="F27" s="372">
        <f t="shared" si="2"/>
        <v>0</v>
      </c>
      <c r="G27" s="2933"/>
    </row>
    <row r="28" spans="1:10">
      <c r="A28" s="2928"/>
      <c r="B28" s="2926"/>
      <c r="C28" s="2927"/>
      <c r="D28" s="372">
        <f t="shared" si="0"/>
        <v>0</v>
      </c>
      <c r="E28" s="372">
        <f t="shared" si="1"/>
        <v>0</v>
      </c>
      <c r="F28" s="372">
        <f t="shared" si="2"/>
        <v>0</v>
      </c>
      <c r="G28" s="2933"/>
    </row>
    <row r="29" spans="1:10">
      <c r="A29" s="2928"/>
      <c r="B29" s="2926"/>
      <c r="C29" s="2927"/>
      <c r="D29" s="372">
        <f>IF(C29&gt;($G$11+365),0,IF(A29="",0,IF(($G$11-C29)&gt;$D$12,0,IF(C29&gt;=$G$11,B29,B29-(ROUND(B29/10,0)*VLOOKUP(($G$11-3-C29)/365,$H$2:$I$23,2))))))</f>
        <v>0</v>
      </c>
      <c r="E29" s="372">
        <f t="shared" si="1"/>
        <v>0</v>
      </c>
      <c r="F29" s="372">
        <f t="shared" si="2"/>
        <v>0</v>
      </c>
      <c r="G29" s="2933"/>
    </row>
    <row r="30" spans="1:10">
      <c r="A30" s="2928"/>
      <c r="B30" s="2926"/>
      <c r="C30" s="2927"/>
      <c r="D30" s="372">
        <f t="shared" ref="D30:D37" si="3">IF(C30&gt;($G$11+365),0,IF(A30="",0,IF(($G$11-C30)&gt;$D$12,0,IF(C30&gt;=$G$11,B30,B30-(ROUND(B30/10,0)*VLOOKUP(($G$11-3-C30)/365,$H$2:$I$23,2))))))</f>
        <v>0</v>
      </c>
      <c r="E30" s="372">
        <f t="shared" si="1"/>
        <v>0</v>
      </c>
      <c r="F30" s="372">
        <f t="shared" si="2"/>
        <v>0</v>
      </c>
      <c r="G30" s="2933"/>
    </row>
    <row r="31" spans="1:10">
      <c r="A31" s="2928"/>
      <c r="B31" s="2926"/>
      <c r="C31" s="2927"/>
      <c r="D31" s="372">
        <f t="shared" si="3"/>
        <v>0</v>
      </c>
      <c r="E31" s="372">
        <f t="shared" si="1"/>
        <v>0</v>
      </c>
      <c r="F31" s="372">
        <f t="shared" si="2"/>
        <v>0</v>
      </c>
      <c r="G31" s="2933"/>
    </row>
    <row r="32" spans="1:10">
      <c r="A32" s="2928"/>
      <c r="B32" s="2926"/>
      <c r="C32" s="2927"/>
      <c r="D32" s="372">
        <f t="shared" si="3"/>
        <v>0</v>
      </c>
      <c r="E32" s="372">
        <f t="shared" si="1"/>
        <v>0</v>
      </c>
      <c r="F32" s="372">
        <f t="shared" si="2"/>
        <v>0</v>
      </c>
      <c r="G32" s="2933"/>
    </row>
    <row r="33" spans="1:10">
      <c r="A33" s="2928"/>
      <c r="B33" s="2926"/>
      <c r="C33" s="2927"/>
      <c r="D33" s="372">
        <f t="shared" si="3"/>
        <v>0</v>
      </c>
      <c r="E33" s="372">
        <f t="shared" si="1"/>
        <v>0</v>
      </c>
      <c r="F33" s="372">
        <f t="shared" si="2"/>
        <v>0</v>
      </c>
      <c r="G33" s="2933"/>
    </row>
    <row r="34" spans="1:10">
      <c r="A34" s="2928"/>
      <c r="B34" s="2926"/>
      <c r="C34" s="2927"/>
      <c r="D34" s="372">
        <f t="shared" si="3"/>
        <v>0</v>
      </c>
      <c r="E34" s="372">
        <f t="shared" si="1"/>
        <v>0</v>
      </c>
      <c r="F34" s="372">
        <f t="shared" si="2"/>
        <v>0</v>
      </c>
      <c r="G34" s="2933"/>
    </row>
    <row r="35" spans="1:10">
      <c r="A35" s="2928"/>
      <c r="B35" s="2926"/>
      <c r="C35" s="2927"/>
      <c r="D35" s="372">
        <f t="shared" si="3"/>
        <v>0</v>
      </c>
      <c r="E35" s="372">
        <f t="shared" si="1"/>
        <v>0</v>
      </c>
      <c r="F35" s="372">
        <f t="shared" si="2"/>
        <v>0</v>
      </c>
      <c r="G35" s="2933"/>
    </row>
    <row r="36" spans="1:10">
      <c r="A36" s="2928"/>
      <c r="B36" s="2926"/>
      <c r="C36" s="2927"/>
      <c r="D36" s="372">
        <f t="shared" si="3"/>
        <v>0</v>
      </c>
      <c r="E36" s="372">
        <f t="shared" si="1"/>
        <v>0</v>
      </c>
      <c r="F36" s="372">
        <f t="shared" si="2"/>
        <v>0</v>
      </c>
      <c r="G36" s="2933"/>
    </row>
    <row r="37" spans="1:10">
      <c r="A37" s="2929"/>
      <c r="B37" s="2930"/>
      <c r="C37" s="2931"/>
      <c r="D37" s="372">
        <f t="shared" si="3"/>
        <v>0</v>
      </c>
      <c r="E37" s="372">
        <f t="shared" si="1"/>
        <v>0</v>
      </c>
      <c r="F37" s="372">
        <f t="shared" si="2"/>
        <v>0</v>
      </c>
      <c r="G37" s="2934"/>
    </row>
    <row r="38" spans="1:10" s="35" customFormat="1">
      <c r="A38" s="176" t="s">
        <v>1086</v>
      </c>
      <c r="B38" s="373">
        <f>SUM(B18:B37)</f>
        <v>0</v>
      </c>
      <c r="C38" s="426"/>
      <c r="D38" s="375">
        <f>SUM(D18:D37)</f>
        <v>0</v>
      </c>
      <c r="E38" s="375">
        <f>SUM(E18:E37)</f>
        <v>0</v>
      </c>
      <c r="F38" s="375">
        <f>SUM(F18:F37)</f>
        <v>0</v>
      </c>
      <c r="G38" s="1895"/>
      <c r="J38" s="1"/>
    </row>
    <row r="39" spans="1:10">
      <c r="A39" s="119"/>
      <c r="B39" s="377"/>
      <c r="C39" s="378"/>
      <c r="D39" s="379"/>
      <c r="E39" s="379"/>
      <c r="F39" s="379"/>
      <c r="G39" s="378"/>
    </row>
    <row r="40" spans="1:10" s="35" customFormat="1">
      <c r="A40" s="118"/>
      <c r="B40" s="380"/>
      <c r="C40" s="380"/>
      <c r="D40" s="381" t="s">
        <v>1043</v>
      </c>
      <c r="E40" s="382">
        <f>D38-F38</f>
        <v>0</v>
      </c>
      <c r="F40" s="380"/>
      <c r="G40" s="380"/>
      <c r="J40" s="1"/>
    </row>
    <row r="41" spans="1:10">
      <c r="A41" s="120"/>
      <c r="B41" s="383"/>
      <c r="C41" s="384"/>
      <c r="D41" s="385"/>
      <c r="E41" s="385"/>
      <c r="F41" s="385"/>
      <c r="G41" s="384"/>
    </row>
    <row r="43" spans="1:10">
      <c r="A43" s="35" t="s">
        <v>172</v>
      </c>
    </row>
    <row r="44" spans="1:10" ht="41.25" customHeight="1">
      <c r="A44" s="3742"/>
      <c r="B44" s="3743"/>
      <c r="C44" s="3743"/>
      <c r="D44" s="3743"/>
      <c r="E44" s="3743"/>
      <c r="F44" s="3743"/>
      <c r="G44" s="3744"/>
    </row>
    <row r="46" spans="1:10">
      <c r="A46" s="32" t="s">
        <v>188</v>
      </c>
    </row>
    <row r="47" spans="1:10">
      <c r="A47" s="32" t="s">
        <v>189</v>
      </c>
    </row>
    <row r="49" spans="1:3">
      <c r="A49" s="652"/>
      <c r="B49" s="653" t="s">
        <v>983</v>
      </c>
      <c r="C49" s="654" t="s">
        <v>190</v>
      </c>
    </row>
    <row r="50" spans="1:3">
      <c r="A50" s="2935" t="s">
        <v>1446</v>
      </c>
      <c r="B50" s="2937">
        <v>0</v>
      </c>
      <c r="C50" s="655">
        <f t="shared" ref="C50:C55" si="4">$E$38*B50</f>
        <v>0</v>
      </c>
    </row>
    <row r="51" spans="1:3">
      <c r="A51" s="2936" t="s">
        <v>191</v>
      </c>
      <c r="B51" s="2938">
        <v>0</v>
      </c>
      <c r="C51" s="655">
        <f t="shared" si="4"/>
        <v>0</v>
      </c>
    </row>
    <row r="52" spans="1:3">
      <c r="A52" s="2936" t="s">
        <v>192</v>
      </c>
      <c r="B52" s="2938">
        <v>0</v>
      </c>
      <c r="C52" s="655">
        <f t="shared" si="4"/>
        <v>0</v>
      </c>
    </row>
    <row r="53" spans="1:3">
      <c r="A53" s="2936" t="s">
        <v>193</v>
      </c>
      <c r="B53" s="2938">
        <v>0</v>
      </c>
      <c r="C53" s="655">
        <f t="shared" si="4"/>
        <v>0</v>
      </c>
    </row>
    <row r="54" spans="1:3">
      <c r="A54" s="2936" t="s">
        <v>194</v>
      </c>
      <c r="B54" s="2938">
        <v>0</v>
      </c>
      <c r="C54" s="655">
        <f t="shared" si="4"/>
        <v>0</v>
      </c>
    </row>
    <row r="55" spans="1:3">
      <c r="A55" s="2939" t="s">
        <v>195</v>
      </c>
      <c r="B55" s="2940">
        <v>0</v>
      </c>
      <c r="C55" s="655">
        <f t="shared" si="4"/>
        <v>0</v>
      </c>
    </row>
    <row r="56" spans="1:3">
      <c r="A56" s="656"/>
      <c r="B56" s="657">
        <f>SUM(B50:B55)</f>
        <v>0</v>
      </c>
      <c r="C56" s="658">
        <f>SUM(C50:C55)</f>
        <v>0</v>
      </c>
    </row>
  </sheetData>
  <customSheetViews>
    <customSheetView guid="{BCBE45D4-3C45-4659-992E-5C5D3E9FD81C}" fitToPage="1" hiddenColumns="1">
      <selection activeCell="M33" sqref="M33"/>
      <pageMargins left="0.59055118110236227" right="0.43307086614173229" top="0.6692913385826772" bottom="0.94488188976377963" header="0.51181102362204722" footer="0.39370078740157483"/>
      <printOptions horizontalCentered="1"/>
      <pageSetup paperSize="9" scale="85"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A17" sqref="A17"/>
      <pageMargins left="0.59055118110236227" right="0.43307086614173229" top="0.6692913385826772" bottom="0.94488188976377963" header="0.51181102362204722" footer="0.39370078740157483"/>
      <printOptions horizontalCentered="1"/>
      <pageSetup paperSize="9" scale="85"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8:G8"/>
    <mergeCell ref="A9:G9"/>
    <mergeCell ref="A44:G44"/>
  </mergeCells>
  <phoneticPr fontId="26" type="noConversion"/>
  <hyperlinks>
    <hyperlink ref="G10" location="'WPIndex'!A1" display="Back to Workpaper Index" xr:uid="{72D3E998-64C6-41A2-AD2F-1109391C8509}"/>
  </hyperlinks>
  <printOptions horizontalCentered="1"/>
  <pageMargins left="0.59055118110236227" right="0.43307086614173229" top="0.6692913385826772" bottom="0.94488188976377963" header="0.51181102362204722" footer="0.39370078740157483"/>
  <pageSetup paperSize="9" scale="85" fitToHeight="999" orientation="portrait" blackAndWhite="1" r:id="rId3"/>
  <headerFooter alignWithMargins="0">
    <oddFooter>&amp;L&amp;8© Findex (Aust) Pty Ltd.  All rights reserved.&amp;R&amp;8&amp;P/&amp;N</oddFooter>
  </headerFooter>
  <drawing r:id="rId4"/>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Div7A_Loan_Sheet">
    <tabColor theme="8" tint="0.79998168889431442"/>
    <pageSetUpPr fitToPage="1"/>
  </sheetPr>
  <dimension ref="A1:K125"/>
  <sheetViews>
    <sheetView zoomScaleNormal="100" workbookViewId="0">
      <selection sqref="A1:F1"/>
    </sheetView>
  </sheetViews>
  <sheetFormatPr defaultColWidth="9.140625" defaultRowHeight="12.75"/>
  <cols>
    <col min="1" max="1" width="16.5703125" style="1" customWidth="1"/>
    <col min="2" max="5" width="18.7109375" style="1" customWidth="1"/>
    <col min="6" max="6" width="15.7109375" style="1" hidden="1" customWidth="1"/>
    <col min="7" max="7" width="17.7109375" style="334" hidden="1" customWidth="1"/>
    <col min="8" max="8" width="12.140625" style="1" hidden="1" customWidth="1"/>
    <col min="9" max="9" width="9.140625" style="1"/>
    <col min="10" max="10" width="10.140625" style="1" bestFit="1" customWidth="1"/>
    <col min="11" max="11" width="15.42578125" style="1" bestFit="1" customWidth="1"/>
    <col min="12" max="16384" width="9.140625" style="1"/>
  </cols>
  <sheetData>
    <row r="1" spans="1:10">
      <c r="D1" s="2613" t="s">
        <v>2425</v>
      </c>
      <c r="E1" s="3576" t="s">
        <v>2758</v>
      </c>
    </row>
    <row r="2" spans="1:10" ht="15.75">
      <c r="A2" s="740"/>
      <c r="B2" s="740"/>
      <c r="C2" s="40"/>
      <c r="D2" s="71" t="s">
        <v>2426</v>
      </c>
      <c r="E2" s="2621"/>
      <c r="F2" s="1" t="s">
        <v>1421</v>
      </c>
    </row>
    <row r="3" spans="1:10" ht="15.75">
      <c r="A3" s="740"/>
      <c r="B3" s="740"/>
      <c r="C3" s="40"/>
      <c r="D3" s="40"/>
    </row>
    <row r="4" spans="1:10" s="32" customFormat="1">
      <c r="A4" s="206"/>
      <c r="C4" s="11"/>
      <c r="D4" s="11" t="s">
        <v>1163</v>
      </c>
      <c r="E4" s="709" t="s">
        <v>1262</v>
      </c>
    </row>
    <row r="5" spans="1:10" s="32" customFormat="1" ht="17.25" customHeight="1">
      <c r="A5" s="206"/>
      <c r="C5" s="71" t="s">
        <v>332</v>
      </c>
      <c r="D5" s="2617" t="str">
        <f>IF(PreparedBy="","",PreparedBy)</f>
        <v/>
      </c>
      <c r="E5" s="2618" t="str">
        <f>IF(DatePrepared="","",DatePrepared)</f>
        <v/>
      </c>
    </row>
    <row r="6" spans="1:10" s="32" customFormat="1" ht="17.25" customHeight="1">
      <c r="A6" s="206"/>
      <c r="C6" s="71" t="s">
        <v>333</v>
      </c>
      <c r="D6" s="2619"/>
      <c r="E6" s="2620"/>
    </row>
    <row r="7" spans="1:10" s="32" customFormat="1" ht="3.95" customHeight="1">
      <c r="A7" s="206"/>
      <c r="B7" s="43"/>
      <c r="C7" s="43"/>
      <c r="D7" s="43"/>
      <c r="E7" s="43"/>
    </row>
    <row r="8" spans="1:10" ht="15.75">
      <c r="A8" s="3704" t="str">
        <f>WP_Division_7A</f>
        <v>Division 7A Loan Repayment Calculations</v>
      </c>
      <c r="B8" s="3705"/>
      <c r="C8" s="3705"/>
      <c r="D8" s="3705"/>
      <c r="E8" s="3706"/>
      <c r="F8" s="1" t="s">
        <v>1329</v>
      </c>
      <c r="G8" s="335"/>
    </row>
    <row r="9" spans="1:10">
      <c r="E9" s="3248" t="s">
        <v>2526</v>
      </c>
      <c r="F9" s="1" t="s">
        <v>1011</v>
      </c>
    </row>
    <row r="10" spans="1:10" ht="15.75">
      <c r="A10" s="223" t="str">
        <f>"CLIENT NAME:   "&amp;'WP Index'!E3</f>
        <v>CLIENT NAME:   Example Trust</v>
      </c>
    </row>
    <row r="11" spans="1:10">
      <c r="A11" s="12">
        <f>'WP Index'!E4</f>
        <v>99999</v>
      </c>
      <c r="D11" s="47" t="s">
        <v>951</v>
      </c>
      <c r="E11" s="47">
        <f>Period_End</f>
        <v>45473</v>
      </c>
      <c r="J11" s="1532"/>
    </row>
    <row r="12" spans="1:10">
      <c r="A12" s="12"/>
      <c r="D12" s="47"/>
      <c r="E12" s="47"/>
      <c r="H12" s="6" t="s">
        <v>1286</v>
      </c>
      <c r="J12" s="49"/>
    </row>
    <row r="13" spans="1:10">
      <c r="A13" s="12" t="s">
        <v>1457</v>
      </c>
      <c r="D13" s="47"/>
      <c r="E13" s="47"/>
    </row>
    <row r="14" spans="1:10">
      <c r="A14" s="427" t="s">
        <v>1456</v>
      </c>
      <c r="D14" s="47"/>
      <c r="E14" s="47"/>
    </row>
    <row r="15" spans="1:10">
      <c r="A15" s="12"/>
      <c r="D15" s="47"/>
      <c r="E15" s="47"/>
    </row>
    <row r="16" spans="1:10">
      <c r="A16" s="427"/>
      <c r="D16" s="47"/>
      <c r="E16" s="47"/>
    </row>
    <row r="18" spans="1:11">
      <c r="A18" s="203"/>
      <c r="B18" s="16"/>
      <c r="C18" s="16"/>
      <c r="D18" s="16"/>
      <c r="E18" s="30"/>
    </row>
    <row r="19" spans="1:11" ht="18">
      <c r="A19" s="3930" t="s">
        <v>1422</v>
      </c>
      <c r="B19" s="3931"/>
      <c r="C19" s="3931"/>
      <c r="D19" s="3931"/>
      <c r="E19" s="3932"/>
      <c r="F19" s="74"/>
      <c r="G19" s="336"/>
    </row>
    <row r="20" spans="1:11" ht="8.1" customHeight="1">
      <c r="A20" s="288"/>
      <c r="B20" s="283"/>
      <c r="C20" s="283"/>
      <c r="D20" s="283"/>
      <c r="E20" s="289"/>
      <c r="F20" s="283"/>
      <c r="G20" s="337"/>
    </row>
    <row r="21" spans="1:11">
      <c r="A21" s="288" t="s">
        <v>1786</v>
      </c>
      <c r="B21" s="283"/>
      <c r="C21" s="283"/>
      <c r="D21" s="283"/>
      <c r="E21" s="2771">
        <v>2023</v>
      </c>
      <c r="F21" s="283"/>
      <c r="G21" s="337"/>
      <c r="J21" s="1565"/>
    </row>
    <row r="22" spans="1:11" ht="6.75" customHeight="1">
      <c r="A22" s="288"/>
      <c r="B22" s="283"/>
      <c r="C22" s="283"/>
      <c r="D22" s="283"/>
      <c r="E22" s="283"/>
      <c r="F22" s="283"/>
      <c r="G22" s="337"/>
    </row>
    <row r="23" spans="1:11">
      <c r="A23" s="288" t="str">
        <f>TEXT(DATE(YEAR($E$11)-1,MONTH($E$11),DAY($E$11)),"yyyy")&amp;"FY Tax Return Due Date "</f>
        <v xml:space="preserve">2023FY Tax Return Due Date </v>
      </c>
      <c r="B23" s="283"/>
      <c r="C23" s="283"/>
      <c r="D23" s="283"/>
      <c r="E23" s="2772"/>
      <c r="F23" s="283"/>
      <c r="G23" s="337"/>
    </row>
    <row r="24" spans="1:11" ht="8.1" customHeight="1">
      <c r="A24" s="288"/>
      <c r="B24" s="283"/>
      <c r="C24" s="283"/>
      <c r="D24" s="283"/>
      <c r="E24" s="1876"/>
      <c r="F24" s="283"/>
      <c r="G24" s="337"/>
    </row>
    <row r="25" spans="1:11">
      <c r="A25" s="288" t="str">
        <f>TEXT(DATE(YEAR($E$11)-1,MONTH($E$11),DAY($E$11)),"yyyy")&amp;"FY Tax Return Lodgement Date (If Before Lodgement Due Date) "</f>
        <v xml:space="preserve">2023FY Tax Return Lodgement Date (If Before Lodgement Due Date) </v>
      </c>
      <c r="B25" s="283"/>
      <c r="C25" s="283"/>
      <c r="D25" s="283"/>
      <c r="E25" s="2772"/>
      <c r="F25" s="283"/>
      <c r="G25" s="337"/>
      <c r="K25" s="1535"/>
    </row>
    <row r="26" spans="1:11" ht="8.1" customHeight="1">
      <c r="A26" s="288"/>
      <c r="B26" s="283"/>
      <c r="C26" s="283"/>
      <c r="D26" s="283"/>
      <c r="E26" s="1876"/>
      <c r="F26" s="283"/>
      <c r="G26" s="337"/>
    </row>
    <row r="27" spans="1:11">
      <c r="A27" s="288" t="s">
        <v>1071</v>
      </c>
      <c r="B27" s="283"/>
      <c r="C27" s="283"/>
      <c r="D27" s="283"/>
      <c r="E27" s="2773" t="s">
        <v>441</v>
      </c>
      <c r="F27" s="283"/>
      <c r="G27" s="337"/>
    </row>
    <row r="28" spans="1:11" ht="8.1" customHeight="1">
      <c r="A28" s="288"/>
      <c r="B28" s="283"/>
      <c r="C28" s="283"/>
      <c r="D28" s="283"/>
      <c r="E28" s="1896"/>
      <c r="F28" s="283"/>
      <c r="G28" s="337"/>
    </row>
    <row r="29" spans="1:11">
      <c r="A29" s="288" t="s">
        <v>234</v>
      </c>
      <c r="B29" s="283"/>
      <c r="C29" s="283"/>
      <c r="D29" s="283"/>
      <c r="E29" s="2774"/>
      <c r="F29" s="283"/>
      <c r="G29" s="337"/>
    </row>
    <row r="30" spans="1:11" ht="8.1" customHeight="1">
      <c r="A30" s="288"/>
      <c r="B30" s="283"/>
      <c r="C30" s="283"/>
      <c r="D30" s="283"/>
      <c r="E30" s="289"/>
      <c r="F30" s="283"/>
      <c r="G30" s="337"/>
    </row>
    <row r="31" spans="1:11">
      <c r="A31" s="288" t="s">
        <v>1783</v>
      </c>
      <c r="B31" s="283"/>
      <c r="C31" s="283"/>
      <c r="D31" s="283"/>
      <c r="E31" s="1530">
        <f>MAX(IF(E35="YES",$E$29-SUMIF(Repayment_Date,"&lt;="&amp;$E$33,Repayment_Amount),E29),0)</f>
        <v>0</v>
      </c>
      <c r="F31" s="283"/>
      <c r="G31" s="337"/>
      <c r="J31" s="49"/>
    </row>
    <row r="32" spans="1:11" ht="8.1" customHeight="1">
      <c r="A32" s="288"/>
      <c r="B32" s="283"/>
      <c r="C32" s="283"/>
      <c r="D32" s="283"/>
      <c r="E32" s="289"/>
      <c r="F32" s="283"/>
      <c r="G32" s="337"/>
    </row>
    <row r="33" spans="1:10">
      <c r="A33" s="288" t="s">
        <v>1784</v>
      </c>
      <c r="B33" s="283"/>
      <c r="C33" s="283"/>
      <c r="D33" s="283"/>
      <c r="E33" s="1531">
        <f>IF($E$25&lt;$E$23,IF($E$25="",IF($E$23="",DATE(E21,7,1),$E$23),$E$25),IF($E$23="",IF($E$25="",DATE(E21,7,1),$E$25),$E$23))</f>
        <v>45108</v>
      </c>
      <c r="F33" s="283"/>
      <c r="G33" s="337"/>
      <c r="J33" s="49"/>
    </row>
    <row r="34" spans="1:10" ht="8.1" customHeight="1">
      <c r="A34" s="288"/>
      <c r="B34" s="283"/>
      <c r="C34" s="283"/>
      <c r="D34" s="283"/>
      <c r="E34" s="289"/>
      <c r="F34" s="283"/>
      <c r="G34" s="337"/>
    </row>
    <row r="35" spans="1:10">
      <c r="A35" s="288" t="s">
        <v>1785</v>
      </c>
      <c r="B35" s="283"/>
      <c r="C35" s="283"/>
      <c r="D35" s="283"/>
      <c r="E35" s="1529" t="str">
        <f>IF(getfiscalyear(E11)-1=E21,"Yes","No")</f>
        <v>Yes</v>
      </c>
      <c r="F35" s="283"/>
      <c r="G35" s="337"/>
      <c r="J35" s="49"/>
    </row>
    <row r="36" spans="1:10" ht="8.1" customHeight="1">
      <c r="A36" s="288"/>
      <c r="B36" s="283"/>
      <c r="C36" s="283"/>
      <c r="D36" s="283"/>
      <c r="E36" s="289"/>
      <c r="F36" s="283"/>
      <c r="G36" s="337"/>
    </row>
    <row r="37" spans="1:10">
      <c r="A37" s="288" t="s">
        <v>233</v>
      </c>
      <c r="B37" s="283"/>
      <c r="C37" s="283"/>
      <c r="D37" s="283"/>
      <c r="E37" s="290">
        <f>VLOOKUP(YEAR(E11),div7a_range,2)</f>
        <v>8.2699999999999996E-2</v>
      </c>
      <c r="F37" s="283"/>
      <c r="G37" s="337"/>
    </row>
    <row r="38" spans="1:10" ht="8.1" customHeight="1">
      <c r="A38" s="288"/>
      <c r="B38" s="283"/>
      <c r="C38" s="283"/>
      <c r="D38" s="283"/>
      <c r="E38" s="289"/>
      <c r="F38" s="283"/>
      <c r="G38" s="337"/>
    </row>
    <row r="39" spans="1:10">
      <c r="A39" s="288" t="s">
        <v>235</v>
      </c>
      <c r="B39" s="283"/>
      <c r="C39" s="283"/>
      <c r="D39" s="283"/>
      <c r="E39" s="948">
        <f>IF(E21="","",E21+IF(E27="Yes",25,7)-YEAR(E11)+1)</f>
        <v>7</v>
      </c>
      <c r="F39" s="283"/>
      <c r="G39" s="337"/>
    </row>
    <row r="40" spans="1:10" ht="8.1" customHeight="1">
      <c r="A40" s="288"/>
      <c r="B40" s="283"/>
      <c r="C40" s="283"/>
      <c r="D40" s="283"/>
      <c r="E40" s="365"/>
      <c r="F40" s="283"/>
      <c r="G40" s="337"/>
    </row>
    <row r="41" spans="1:10" ht="13.5" thickBot="1">
      <c r="A41" s="291" t="s">
        <v>1445</v>
      </c>
      <c r="B41" s="283"/>
      <c r="C41" s="284"/>
      <c r="D41" s="283"/>
      <c r="E41" s="366">
        <f>IF(ISERROR(ROUNDUP((E31*(E37/D46))/(1-(1/(1+(E37/D46))^B46)),)),0,ROUNDUP((E31*(E37/D46))/(1-(1/(1+(E37/D46))^B46)),))</f>
        <v>0</v>
      </c>
      <c r="F41" s="283"/>
      <c r="G41" s="337"/>
    </row>
    <row r="42" spans="1:10" ht="8.1" customHeight="1" thickTop="1">
      <c r="A42" s="292"/>
      <c r="B42" s="283"/>
      <c r="C42" s="284"/>
      <c r="D42" s="283"/>
      <c r="E42" s="365"/>
      <c r="F42" s="283"/>
      <c r="G42" s="337"/>
    </row>
    <row r="43" spans="1:10" ht="13.5" thickBot="1">
      <c r="A43" s="288" t="s">
        <v>1406</v>
      </c>
      <c r="B43" s="8"/>
      <c r="C43" s="283"/>
      <c r="D43" s="283"/>
      <c r="E43" s="366">
        <f>C49</f>
        <v>0</v>
      </c>
      <c r="F43" s="283"/>
      <c r="G43" s="337"/>
    </row>
    <row r="44" spans="1:10" ht="13.5" thickTop="1">
      <c r="A44" s="293"/>
      <c r="B44" s="294"/>
      <c r="C44" s="294"/>
      <c r="D44" s="294"/>
      <c r="E44" s="295"/>
      <c r="F44" s="283"/>
      <c r="G44" s="337"/>
    </row>
    <row r="45" spans="1:10">
      <c r="A45" s="283"/>
      <c r="B45" s="283"/>
      <c r="C45" s="283"/>
      <c r="D45" s="283"/>
      <c r="E45" s="283"/>
      <c r="F45" s="283"/>
      <c r="G45" s="337"/>
    </row>
    <row r="46" spans="1:10">
      <c r="A46" s="303" t="s">
        <v>1407</v>
      </c>
      <c r="B46" s="1533">
        <f>E39</f>
        <v>7</v>
      </c>
      <c r="C46" s="304" t="s">
        <v>1408</v>
      </c>
      <c r="D46" s="304">
        <f>IFERROR(IF(B46=0,0,B46/E39),"")</f>
        <v>1</v>
      </c>
      <c r="E46" s="305"/>
      <c r="F46" s="283"/>
      <c r="G46" s="337"/>
    </row>
    <row r="47" spans="1:10">
      <c r="A47" s="299" t="s">
        <v>1409</v>
      </c>
      <c r="B47" s="296"/>
      <c r="C47" s="296"/>
      <c r="D47" s="296"/>
      <c r="E47" s="297"/>
      <c r="F47" s="283"/>
      <c r="G47" s="337"/>
    </row>
    <row r="48" spans="1:10">
      <c r="A48" s="298" t="s">
        <v>964</v>
      </c>
      <c r="B48" s="370" t="s">
        <v>1410</v>
      </c>
      <c r="C48" s="370" t="s">
        <v>1411</v>
      </c>
      <c r="D48" s="370" t="s">
        <v>1412</v>
      </c>
      <c r="E48" s="371" t="s">
        <v>1413</v>
      </c>
      <c r="F48" s="285"/>
      <c r="G48" s="338"/>
    </row>
    <row r="49" spans="1:7">
      <c r="A49" s="1534">
        <f>IF(E21="","",YEAR(E11))</f>
        <v>2024</v>
      </c>
      <c r="B49" s="1430">
        <f>IF(E35="Yes",+E31,+E29)</f>
        <v>0</v>
      </c>
      <c r="C49" s="1429">
        <f>IF(ISERROR(ROUNDUP((+B49)*($E$37/$D$46),2)),0,ROUNDUP((+B49)*($E$37/$D$46),2))</f>
        <v>0</v>
      </c>
      <c r="D49" s="1429">
        <f>IF(E35="Yes",MAX(IF(ISERROR(ROUNDUP((E31*(E37/D46))/(1-(1/(1+(E37/D46))^B46)),0)),0,ROUNDUP((E31*(E37/D46))/(1-(1/(1+(E37/D46))^B46)),0))-SUMIF(Repayment_Date,"&lt;="&amp;E33,Repayment_Amount),0),IF(ISERROR(ROUNDUP((E29*(E37/D46))/(1-(1/(1+(E37/D46))^B46)),0)),0,ROUNDUP((E29*(E37/D46))/(1-(1/(1+(E37/D46))^B46)),0)))</f>
        <v>0</v>
      </c>
      <c r="E49" s="1428">
        <f>B49+C49-D49</f>
        <v>0</v>
      </c>
      <c r="F49" s="286"/>
      <c r="G49" s="339"/>
    </row>
    <row r="50" spans="1:7">
      <c r="A50" s="1534">
        <f>IF(E21="","",A49+1)</f>
        <v>2025</v>
      </c>
      <c r="B50" s="1430">
        <f>+E49</f>
        <v>0</v>
      </c>
      <c r="C50" s="1429">
        <f>IF(ISERROR(ROUNDUP((+B50)*($E$37/$D$46),2)),0,ROUNDUP((+B50)*($E$37/$D$46),2))</f>
        <v>0</v>
      </c>
      <c r="D50" s="1429">
        <f>IF(E35="Yes",IF(ISERROR(ROUNDUP((E49*(E37/D46))/(1-(1/(1+(E37/D46))^(B46-1))),0)),0,ROUNDUP((E49*(E37/D46))/(1-(1/(1+(E37/D46))^(B46-1))),0)),IF(B50+C50&lt;D49+0.0001,B50+C50,D49))</f>
        <v>0</v>
      </c>
      <c r="E50" s="1428">
        <f t="shared" ref="E50:E73" si="0">B50+C50-D50</f>
        <v>0</v>
      </c>
      <c r="F50" s="286"/>
      <c r="G50" s="339"/>
    </row>
    <row r="51" spans="1:7">
      <c r="A51" s="1534">
        <f>IF(E21="","",A50+1)</f>
        <v>2026</v>
      </c>
      <c r="B51" s="1430">
        <f>+E50</f>
        <v>0</v>
      </c>
      <c r="C51" s="1429">
        <f>IF(ISERROR(ROUNDUP((+B51)*($E$37/$D$46),2)),0,ROUNDUP((+B51)*($E$37/$D$46),2))</f>
        <v>0</v>
      </c>
      <c r="D51" s="1429">
        <f>IF(B51+C51&lt;D50+0.0001,B51+C51,D50)</f>
        <v>0</v>
      </c>
      <c r="E51" s="1428">
        <f t="shared" si="0"/>
        <v>0</v>
      </c>
      <c r="F51" s="286"/>
      <c r="G51" s="339"/>
    </row>
    <row r="52" spans="1:7">
      <c r="A52" s="1534">
        <f>IF(E21="","",A51+1)</f>
        <v>2027</v>
      </c>
      <c r="B52" s="1430">
        <f>+E51</f>
        <v>0</v>
      </c>
      <c r="C52" s="1429">
        <f t="shared" ref="C52:C73" si="1">IF(ISERROR(ROUNDUP((+B52)*($E$37/$D$46),2)),0,ROUNDUP((+B52)*($E$37/$D$46),2))</f>
        <v>0</v>
      </c>
      <c r="D52" s="1429">
        <f t="shared" ref="D52:D73" si="2">IF(B52+C52&lt;D51+0.0001,B52+C52,D51)</f>
        <v>0</v>
      </c>
      <c r="E52" s="1428">
        <f t="shared" si="0"/>
        <v>0</v>
      </c>
      <c r="F52" s="286"/>
      <c r="G52" s="339"/>
    </row>
    <row r="53" spans="1:7">
      <c r="A53" s="1534">
        <f>IF(E21="","",A52+1)</f>
        <v>2028</v>
      </c>
      <c r="B53" s="1430">
        <f>+E52</f>
        <v>0</v>
      </c>
      <c r="C53" s="1429">
        <f t="shared" si="1"/>
        <v>0</v>
      </c>
      <c r="D53" s="1429">
        <f t="shared" si="2"/>
        <v>0</v>
      </c>
      <c r="E53" s="1428">
        <f t="shared" si="0"/>
        <v>0</v>
      </c>
      <c r="F53" s="286"/>
      <c r="G53" s="339"/>
    </row>
    <row r="54" spans="1:7">
      <c r="A54" s="1534">
        <f>IF(E21="","",A53+1)</f>
        <v>2029</v>
      </c>
      <c r="B54" s="1430">
        <f>+E53</f>
        <v>0</v>
      </c>
      <c r="C54" s="1429">
        <f t="shared" si="1"/>
        <v>0</v>
      </c>
      <c r="D54" s="1429">
        <f t="shared" si="2"/>
        <v>0</v>
      </c>
      <c r="E54" s="1428">
        <f t="shared" si="0"/>
        <v>0</v>
      </c>
      <c r="F54" s="286"/>
      <c r="G54" s="339"/>
    </row>
    <row r="55" spans="1:7">
      <c r="A55" s="1534">
        <f>IF(E$21="","",A54+1)</f>
        <v>2030</v>
      </c>
      <c r="B55" s="1430">
        <f t="shared" ref="B55:B73" si="3">+E54</f>
        <v>0</v>
      </c>
      <c r="C55" s="1429">
        <f t="shared" si="1"/>
        <v>0</v>
      </c>
      <c r="D55" s="1429">
        <f t="shared" si="2"/>
        <v>0</v>
      </c>
      <c r="E55" s="1428">
        <f t="shared" si="0"/>
        <v>0</v>
      </c>
      <c r="F55" s="286"/>
      <c r="G55" s="339"/>
    </row>
    <row r="56" spans="1:7" hidden="1">
      <c r="A56" s="1534">
        <f t="shared" ref="A56:A73" si="4">IF(E$21="","",A55+1)</f>
        <v>2031</v>
      </c>
      <c r="B56" s="364">
        <f t="shared" si="3"/>
        <v>0</v>
      </c>
      <c r="C56" s="367">
        <f t="shared" si="1"/>
        <v>0</v>
      </c>
      <c r="D56" s="367">
        <f t="shared" si="2"/>
        <v>0</v>
      </c>
      <c r="E56" s="365">
        <f t="shared" si="0"/>
        <v>0</v>
      </c>
      <c r="F56" s="286"/>
      <c r="G56" s="339"/>
    </row>
    <row r="57" spans="1:7" hidden="1">
      <c r="A57" s="1534">
        <f t="shared" si="4"/>
        <v>2032</v>
      </c>
      <c r="B57" s="364">
        <f t="shared" si="3"/>
        <v>0</v>
      </c>
      <c r="C57" s="367">
        <f t="shared" si="1"/>
        <v>0</v>
      </c>
      <c r="D57" s="367">
        <f t="shared" si="2"/>
        <v>0</v>
      </c>
      <c r="E57" s="365">
        <f t="shared" si="0"/>
        <v>0</v>
      </c>
      <c r="F57" s="286"/>
      <c r="G57" s="339"/>
    </row>
    <row r="58" spans="1:7" hidden="1">
      <c r="A58" s="1534">
        <f t="shared" si="4"/>
        <v>2033</v>
      </c>
      <c r="B58" s="364">
        <f t="shared" si="3"/>
        <v>0</v>
      </c>
      <c r="C58" s="367">
        <f t="shared" si="1"/>
        <v>0</v>
      </c>
      <c r="D58" s="367">
        <f t="shared" si="2"/>
        <v>0</v>
      </c>
      <c r="E58" s="365">
        <f t="shared" si="0"/>
        <v>0</v>
      </c>
      <c r="F58" s="286"/>
      <c r="G58" s="339"/>
    </row>
    <row r="59" spans="1:7" hidden="1">
      <c r="A59" s="1534">
        <f t="shared" si="4"/>
        <v>2034</v>
      </c>
      <c r="B59" s="364">
        <f t="shared" si="3"/>
        <v>0</v>
      </c>
      <c r="C59" s="367">
        <f t="shared" si="1"/>
        <v>0</v>
      </c>
      <c r="D59" s="367">
        <f t="shared" si="2"/>
        <v>0</v>
      </c>
      <c r="E59" s="365">
        <f t="shared" si="0"/>
        <v>0</v>
      </c>
      <c r="F59" s="286"/>
      <c r="G59" s="339"/>
    </row>
    <row r="60" spans="1:7" hidden="1">
      <c r="A60" s="1534">
        <f t="shared" si="4"/>
        <v>2035</v>
      </c>
      <c r="B60" s="364">
        <f t="shared" si="3"/>
        <v>0</v>
      </c>
      <c r="C60" s="367">
        <f t="shared" si="1"/>
        <v>0</v>
      </c>
      <c r="D60" s="367">
        <f t="shared" si="2"/>
        <v>0</v>
      </c>
      <c r="E60" s="365">
        <f t="shared" si="0"/>
        <v>0</v>
      </c>
      <c r="F60" s="286"/>
      <c r="G60" s="339"/>
    </row>
    <row r="61" spans="1:7" hidden="1">
      <c r="A61" s="1534">
        <f t="shared" si="4"/>
        <v>2036</v>
      </c>
      <c r="B61" s="364">
        <f t="shared" si="3"/>
        <v>0</v>
      </c>
      <c r="C61" s="367">
        <f t="shared" si="1"/>
        <v>0</v>
      </c>
      <c r="D61" s="367">
        <f t="shared" si="2"/>
        <v>0</v>
      </c>
      <c r="E61" s="365">
        <f t="shared" si="0"/>
        <v>0</v>
      </c>
      <c r="F61" s="286"/>
      <c r="G61" s="339"/>
    </row>
    <row r="62" spans="1:7" hidden="1">
      <c r="A62" s="1534">
        <f t="shared" si="4"/>
        <v>2037</v>
      </c>
      <c r="B62" s="364">
        <f t="shared" si="3"/>
        <v>0</v>
      </c>
      <c r="C62" s="367">
        <f t="shared" si="1"/>
        <v>0</v>
      </c>
      <c r="D62" s="367">
        <f t="shared" si="2"/>
        <v>0</v>
      </c>
      <c r="E62" s="365">
        <f t="shared" si="0"/>
        <v>0</v>
      </c>
      <c r="F62" s="286"/>
      <c r="G62" s="339"/>
    </row>
    <row r="63" spans="1:7" hidden="1">
      <c r="A63" s="1534">
        <f t="shared" si="4"/>
        <v>2038</v>
      </c>
      <c r="B63" s="364">
        <f t="shared" si="3"/>
        <v>0</v>
      </c>
      <c r="C63" s="367">
        <f t="shared" si="1"/>
        <v>0</v>
      </c>
      <c r="D63" s="367">
        <f t="shared" si="2"/>
        <v>0</v>
      </c>
      <c r="E63" s="365">
        <f t="shared" si="0"/>
        <v>0</v>
      </c>
      <c r="F63" s="286"/>
      <c r="G63" s="339"/>
    </row>
    <row r="64" spans="1:7" hidden="1">
      <c r="A64" s="1534">
        <f t="shared" si="4"/>
        <v>2039</v>
      </c>
      <c r="B64" s="364">
        <f t="shared" si="3"/>
        <v>0</v>
      </c>
      <c r="C64" s="367">
        <f t="shared" si="1"/>
        <v>0</v>
      </c>
      <c r="D64" s="367">
        <f t="shared" si="2"/>
        <v>0</v>
      </c>
      <c r="E64" s="365">
        <f t="shared" si="0"/>
        <v>0</v>
      </c>
      <c r="F64" s="286"/>
      <c r="G64" s="339"/>
    </row>
    <row r="65" spans="1:7" hidden="1">
      <c r="A65" s="1534">
        <f t="shared" si="4"/>
        <v>2040</v>
      </c>
      <c r="B65" s="364">
        <f t="shared" si="3"/>
        <v>0</v>
      </c>
      <c r="C65" s="367">
        <f t="shared" si="1"/>
        <v>0</v>
      </c>
      <c r="D65" s="367">
        <f t="shared" si="2"/>
        <v>0</v>
      </c>
      <c r="E65" s="365">
        <f t="shared" si="0"/>
        <v>0</v>
      </c>
      <c r="F65" s="286"/>
      <c r="G65" s="339"/>
    </row>
    <row r="66" spans="1:7" hidden="1">
      <c r="A66" s="1534">
        <f t="shared" si="4"/>
        <v>2041</v>
      </c>
      <c r="B66" s="364">
        <f t="shared" si="3"/>
        <v>0</v>
      </c>
      <c r="C66" s="367">
        <f t="shared" si="1"/>
        <v>0</v>
      </c>
      <c r="D66" s="367">
        <f t="shared" si="2"/>
        <v>0</v>
      </c>
      <c r="E66" s="365">
        <f t="shared" si="0"/>
        <v>0</v>
      </c>
      <c r="F66" s="286"/>
      <c r="G66" s="339"/>
    </row>
    <row r="67" spans="1:7" hidden="1">
      <c r="A67" s="1534">
        <f t="shared" si="4"/>
        <v>2042</v>
      </c>
      <c r="B67" s="364">
        <f t="shared" si="3"/>
        <v>0</v>
      </c>
      <c r="C67" s="367">
        <f t="shared" si="1"/>
        <v>0</v>
      </c>
      <c r="D67" s="367">
        <f t="shared" si="2"/>
        <v>0</v>
      </c>
      <c r="E67" s="365">
        <f t="shared" si="0"/>
        <v>0</v>
      </c>
      <c r="F67" s="286"/>
      <c r="G67" s="339"/>
    </row>
    <row r="68" spans="1:7" hidden="1">
      <c r="A68" s="1534">
        <f t="shared" si="4"/>
        <v>2043</v>
      </c>
      <c r="B68" s="364">
        <f t="shared" si="3"/>
        <v>0</v>
      </c>
      <c r="C68" s="367">
        <f t="shared" si="1"/>
        <v>0</v>
      </c>
      <c r="D68" s="367">
        <f t="shared" si="2"/>
        <v>0</v>
      </c>
      <c r="E68" s="365">
        <f t="shared" si="0"/>
        <v>0</v>
      </c>
      <c r="F68" s="286"/>
      <c r="G68" s="339"/>
    </row>
    <row r="69" spans="1:7" hidden="1">
      <c r="A69" s="1534">
        <f t="shared" si="4"/>
        <v>2044</v>
      </c>
      <c r="B69" s="364">
        <f t="shared" si="3"/>
        <v>0</v>
      </c>
      <c r="C69" s="367">
        <f t="shared" si="1"/>
        <v>0</v>
      </c>
      <c r="D69" s="367">
        <f t="shared" si="2"/>
        <v>0</v>
      </c>
      <c r="E69" s="365">
        <f t="shared" si="0"/>
        <v>0</v>
      </c>
      <c r="F69" s="286"/>
      <c r="G69" s="339"/>
    </row>
    <row r="70" spans="1:7" hidden="1">
      <c r="A70" s="1534">
        <f t="shared" si="4"/>
        <v>2045</v>
      </c>
      <c r="B70" s="364">
        <f t="shared" si="3"/>
        <v>0</v>
      </c>
      <c r="C70" s="367">
        <f t="shared" si="1"/>
        <v>0</v>
      </c>
      <c r="D70" s="367">
        <f t="shared" si="2"/>
        <v>0</v>
      </c>
      <c r="E70" s="365">
        <f t="shared" si="0"/>
        <v>0</v>
      </c>
      <c r="F70" s="286"/>
      <c r="G70" s="339"/>
    </row>
    <row r="71" spans="1:7" hidden="1">
      <c r="A71" s="1534">
        <f t="shared" si="4"/>
        <v>2046</v>
      </c>
      <c r="B71" s="364">
        <f t="shared" si="3"/>
        <v>0</v>
      </c>
      <c r="C71" s="367">
        <f t="shared" si="1"/>
        <v>0</v>
      </c>
      <c r="D71" s="367">
        <f t="shared" si="2"/>
        <v>0</v>
      </c>
      <c r="E71" s="365">
        <f t="shared" si="0"/>
        <v>0</v>
      </c>
      <c r="F71" s="286"/>
      <c r="G71" s="339"/>
    </row>
    <row r="72" spans="1:7" hidden="1">
      <c r="A72" s="1534">
        <f t="shared" si="4"/>
        <v>2047</v>
      </c>
      <c r="B72" s="364">
        <f t="shared" si="3"/>
        <v>0</v>
      </c>
      <c r="C72" s="367">
        <f t="shared" si="1"/>
        <v>0</v>
      </c>
      <c r="D72" s="367">
        <f t="shared" si="2"/>
        <v>0</v>
      </c>
      <c r="E72" s="365">
        <f t="shared" si="0"/>
        <v>0</v>
      </c>
      <c r="F72" s="286"/>
      <c r="G72" s="339"/>
    </row>
    <row r="73" spans="1:7" hidden="1">
      <c r="A73" s="1534">
        <f t="shared" si="4"/>
        <v>2048</v>
      </c>
      <c r="B73" s="364">
        <f t="shared" si="3"/>
        <v>0</v>
      </c>
      <c r="C73" s="367">
        <f t="shared" si="1"/>
        <v>0</v>
      </c>
      <c r="D73" s="367">
        <f t="shared" si="2"/>
        <v>0</v>
      </c>
      <c r="E73" s="365">
        <f t="shared" si="0"/>
        <v>0</v>
      </c>
      <c r="F73" s="286"/>
      <c r="G73" s="339"/>
    </row>
    <row r="74" spans="1:7" ht="13.5" thickBot="1">
      <c r="A74" s="288"/>
      <c r="B74" s="364"/>
      <c r="C74" s="368">
        <f>SUM(C49:C73)</f>
        <v>0</v>
      </c>
      <c r="D74" s="364"/>
      <c r="E74" s="365"/>
      <c r="F74" s="283"/>
      <c r="G74" s="337"/>
    </row>
    <row r="75" spans="1:7" ht="13.5" thickTop="1">
      <c r="A75" s="293"/>
      <c r="B75" s="294"/>
      <c r="C75" s="294"/>
      <c r="D75" s="294"/>
      <c r="E75" s="295"/>
      <c r="F75" s="283"/>
      <c r="G75" s="337"/>
    </row>
    <row r="76" spans="1:7">
      <c r="A76" s="283"/>
      <c r="B76" s="283"/>
      <c r="C76" s="283"/>
      <c r="D76" s="283"/>
      <c r="E76" s="283"/>
      <c r="F76" s="283"/>
      <c r="G76" s="337"/>
    </row>
    <row r="77" spans="1:7">
      <c r="A77" s="299" t="s">
        <v>1414</v>
      </c>
      <c r="B77" s="296"/>
      <c r="C77" s="296"/>
      <c r="D77" s="296"/>
      <c r="E77" s="297"/>
      <c r="F77" s="283"/>
      <c r="G77" s="337"/>
    </row>
    <row r="78" spans="1:7">
      <c r="A78" s="288"/>
      <c r="B78" s="283"/>
      <c r="C78" s="702" t="s">
        <v>1415</v>
      </c>
      <c r="D78" s="703" t="s">
        <v>324</v>
      </c>
      <c r="E78" s="289"/>
      <c r="F78" s="283"/>
      <c r="G78" s="337"/>
    </row>
    <row r="79" spans="1:7">
      <c r="A79" s="288" t="s">
        <v>1416</v>
      </c>
      <c r="B79" s="283"/>
      <c r="C79" s="1432">
        <f>E41</f>
        <v>0</v>
      </c>
      <c r="D79" s="1434">
        <f>B121</f>
        <v>0</v>
      </c>
      <c r="E79" s="289"/>
      <c r="F79" s="283"/>
      <c r="G79" s="337"/>
    </row>
    <row r="80" spans="1:7" ht="8.1" customHeight="1">
      <c r="A80" s="288"/>
      <c r="B80" s="283"/>
      <c r="C80" s="1432"/>
      <c r="D80" s="1434"/>
      <c r="E80" s="289"/>
      <c r="F80" s="283"/>
      <c r="G80" s="337"/>
    </row>
    <row r="81" spans="1:7">
      <c r="A81" s="288" t="s">
        <v>1417</v>
      </c>
      <c r="B81" s="283"/>
      <c r="C81" s="1432">
        <f>E43</f>
        <v>0</v>
      </c>
      <c r="D81" s="1434">
        <f>D121</f>
        <v>0</v>
      </c>
      <c r="E81" s="289"/>
      <c r="F81" s="283"/>
      <c r="G81" s="337"/>
    </row>
    <row r="82" spans="1:7">
      <c r="A82" s="288" t="s">
        <v>1418</v>
      </c>
      <c r="B82" s="283"/>
      <c r="C82" s="1432">
        <f>C79-C81</f>
        <v>0</v>
      </c>
      <c r="D82" s="1434">
        <f>D79-D81</f>
        <v>0</v>
      </c>
      <c r="E82" s="289"/>
      <c r="F82" s="283"/>
      <c r="G82" s="337"/>
    </row>
    <row r="83" spans="1:7">
      <c r="A83" s="288" t="s">
        <v>1103</v>
      </c>
      <c r="B83" s="283"/>
      <c r="C83" s="1431">
        <f>SUM(E29,-C82)</f>
        <v>0</v>
      </c>
      <c r="D83" s="1433">
        <f>SUM(E29,-D82)</f>
        <v>0</v>
      </c>
      <c r="E83" s="289"/>
      <c r="F83" s="283"/>
      <c r="G83" s="337"/>
    </row>
    <row r="84" spans="1:7">
      <c r="A84" s="288"/>
      <c r="B84" s="283"/>
      <c r="C84" s="283"/>
      <c r="D84" s="283"/>
      <c r="E84" s="289"/>
      <c r="F84" s="283"/>
      <c r="G84" s="337"/>
    </row>
    <row r="85" spans="1:7">
      <c r="A85" s="288" t="s">
        <v>1083</v>
      </c>
      <c r="B85" s="283"/>
      <c r="C85" s="283"/>
      <c r="D85" s="283"/>
      <c r="E85" s="289"/>
      <c r="F85" s="283"/>
      <c r="G85" s="337"/>
    </row>
    <row r="86" spans="1:7">
      <c r="A86" s="288"/>
      <c r="B86" s="283"/>
      <c r="C86" s="283"/>
      <c r="D86" s="283"/>
      <c r="E86" s="289"/>
      <c r="F86" s="283"/>
      <c r="G86" s="337"/>
    </row>
    <row r="87" spans="1:7">
      <c r="A87" s="300" t="s">
        <v>1419</v>
      </c>
      <c r="B87" s="283">
        <v>3</v>
      </c>
      <c r="C87" s="283"/>
      <c r="D87" s="283"/>
      <c r="E87" s="289"/>
      <c r="F87" s="283"/>
      <c r="G87" s="337"/>
    </row>
    <row r="88" spans="1:7">
      <c r="A88" s="288" t="s">
        <v>1084</v>
      </c>
      <c r="B88" s="283">
        <v>3</v>
      </c>
      <c r="C88" s="283"/>
      <c r="D88" s="283"/>
      <c r="E88" s="289"/>
      <c r="F88" s="283"/>
      <c r="G88" s="337"/>
    </row>
    <row r="89" spans="1:7">
      <c r="A89" s="298" t="s">
        <v>1262</v>
      </c>
      <c r="B89" s="370" t="s">
        <v>966</v>
      </c>
      <c r="C89" s="370" t="s">
        <v>1202</v>
      </c>
      <c r="D89" s="370" t="s">
        <v>1272</v>
      </c>
      <c r="E89" s="289"/>
      <c r="F89" s="283"/>
      <c r="G89" s="337"/>
    </row>
    <row r="90" spans="1:7">
      <c r="A90" s="1435">
        <f>'WP Index'!E5</f>
        <v>45108</v>
      </c>
      <c r="B90" s="351" t="s">
        <v>1410</v>
      </c>
      <c r="C90" s="349">
        <f>IF(E35="Yes",E31,E29)</f>
        <v>0</v>
      </c>
      <c r="D90" s="350">
        <f>ROUNDUP((+G90)*($E$37/$F$122*F90),2)</f>
        <v>0</v>
      </c>
      <c r="E90" s="289"/>
      <c r="F90" s="287">
        <f>A91-A90+1</f>
        <v>1</v>
      </c>
      <c r="G90" s="337">
        <f>C90</f>
        <v>0</v>
      </c>
    </row>
    <row r="91" spans="1:7">
      <c r="A91" s="2775">
        <f>A90</f>
        <v>45108</v>
      </c>
      <c r="B91" s="2776"/>
      <c r="C91" s="364">
        <f>IF($E$35="Yes",C90+D90-IF(A91&gt;$E$33,B91,0),C90-B91+D90)</f>
        <v>0</v>
      </c>
      <c r="D91" s="367">
        <f>ROUNDUP((+G91)*($E$37/$F$122*F91),2)</f>
        <v>0</v>
      </c>
      <c r="E91" s="289"/>
      <c r="F91" s="287">
        <f t="shared" ref="F91:F96" si="5">A92-A91</f>
        <v>30</v>
      </c>
      <c r="G91" s="337">
        <f>IF(E$35="Yes",G90-IF(A91&gt;$E$33,B91,0),G90-B91)</f>
        <v>0</v>
      </c>
    </row>
    <row r="92" spans="1:7">
      <c r="A92" s="2775">
        <f t="shared" ref="A92:A101" si="6">EOMONTH($A93,-1)</f>
        <v>45138</v>
      </c>
      <c r="B92" s="2776"/>
      <c r="C92" s="364">
        <f t="shared" ref="C92:C119" si="7">IF($E$35="Yes",C91+D91-IF(A92&gt;$E$33,B92,0),C91-B92+D91)</f>
        <v>0</v>
      </c>
      <c r="D92" s="367">
        <f>ROUNDUP((+G92)*($E$37/$F$122*F92),2)</f>
        <v>0</v>
      </c>
      <c r="E92" s="289"/>
      <c r="F92" s="287">
        <f t="shared" si="5"/>
        <v>31</v>
      </c>
      <c r="G92" s="337">
        <f t="shared" ref="G92:G120" si="8">IF(E$35="Yes",G91-IF(A92&gt;$E$33,B92,0),G91-B92)</f>
        <v>0</v>
      </c>
    </row>
    <row r="93" spans="1:7">
      <c r="A93" s="2775">
        <f t="shared" si="6"/>
        <v>45169</v>
      </c>
      <c r="B93" s="2776"/>
      <c r="C93" s="364">
        <f t="shared" si="7"/>
        <v>0</v>
      </c>
      <c r="D93" s="367">
        <f t="shared" ref="D93:D120" si="9">ROUNDUP((+G93)*($E$37/$F$122*F93),2)</f>
        <v>0</v>
      </c>
      <c r="E93" s="289"/>
      <c r="F93" s="287">
        <f t="shared" si="5"/>
        <v>30</v>
      </c>
      <c r="G93" s="337">
        <f t="shared" si="8"/>
        <v>0</v>
      </c>
    </row>
    <row r="94" spans="1:7">
      <c r="A94" s="2775">
        <f t="shared" si="6"/>
        <v>45199</v>
      </c>
      <c r="B94" s="2776"/>
      <c r="C94" s="364">
        <f t="shared" si="7"/>
        <v>0</v>
      </c>
      <c r="D94" s="367">
        <f t="shared" si="9"/>
        <v>0</v>
      </c>
      <c r="E94" s="289"/>
      <c r="F94" s="287">
        <f t="shared" si="5"/>
        <v>31</v>
      </c>
      <c r="G94" s="337">
        <f t="shared" si="8"/>
        <v>0</v>
      </c>
    </row>
    <row r="95" spans="1:7">
      <c r="A95" s="2775">
        <f t="shared" si="6"/>
        <v>45230</v>
      </c>
      <c r="B95" s="2776"/>
      <c r="C95" s="364">
        <f t="shared" si="7"/>
        <v>0</v>
      </c>
      <c r="D95" s="367">
        <f t="shared" si="9"/>
        <v>0</v>
      </c>
      <c r="E95" s="289"/>
      <c r="F95" s="287">
        <f t="shared" si="5"/>
        <v>30</v>
      </c>
      <c r="G95" s="337">
        <f t="shared" si="8"/>
        <v>0</v>
      </c>
    </row>
    <row r="96" spans="1:7">
      <c r="A96" s="2775">
        <f t="shared" si="6"/>
        <v>45260</v>
      </c>
      <c r="B96" s="2776"/>
      <c r="C96" s="364">
        <f t="shared" si="7"/>
        <v>0</v>
      </c>
      <c r="D96" s="367">
        <f t="shared" si="9"/>
        <v>0</v>
      </c>
      <c r="E96" s="289"/>
      <c r="F96" s="287">
        <f t="shared" si="5"/>
        <v>31</v>
      </c>
      <c r="G96" s="337">
        <f t="shared" si="8"/>
        <v>0</v>
      </c>
    </row>
    <row r="97" spans="1:7">
      <c r="A97" s="2775">
        <f t="shared" si="6"/>
        <v>45291</v>
      </c>
      <c r="B97" s="2776"/>
      <c r="C97" s="364">
        <f t="shared" si="7"/>
        <v>0</v>
      </c>
      <c r="D97" s="367">
        <f t="shared" si="9"/>
        <v>0</v>
      </c>
      <c r="E97" s="289"/>
      <c r="F97" s="287">
        <f t="shared" ref="F97:F116" si="10">A98-A97</f>
        <v>31</v>
      </c>
      <c r="G97" s="337">
        <f t="shared" si="8"/>
        <v>0</v>
      </c>
    </row>
    <row r="98" spans="1:7">
      <c r="A98" s="2775">
        <f t="shared" si="6"/>
        <v>45322</v>
      </c>
      <c r="B98" s="2776"/>
      <c r="C98" s="364">
        <f t="shared" si="7"/>
        <v>0</v>
      </c>
      <c r="D98" s="367">
        <f t="shared" si="9"/>
        <v>0</v>
      </c>
      <c r="E98" s="289"/>
      <c r="F98" s="287">
        <f t="shared" si="10"/>
        <v>29</v>
      </c>
      <c r="G98" s="337">
        <f t="shared" si="8"/>
        <v>0</v>
      </c>
    </row>
    <row r="99" spans="1:7">
      <c r="A99" s="2775">
        <f t="shared" si="6"/>
        <v>45351</v>
      </c>
      <c r="B99" s="2776"/>
      <c r="C99" s="364">
        <f t="shared" si="7"/>
        <v>0</v>
      </c>
      <c r="D99" s="367">
        <f t="shared" si="9"/>
        <v>0</v>
      </c>
      <c r="E99" s="289"/>
      <c r="F99" s="287">
        <f t="shared" si="10"/>
        <v>31</v>
      </c>
      <c r="G99" s="337">
        <f t="shared" si="8"/>
        <v>0</v>
      </c>
    </row>
    <row r="100" spans="1:7">
      <c r="A100" s="2775">
        <f t="shared" si="6"/>
        <v>45382</v>
      </c>
      <c r="B100" s="2776"/>
      <c r="C100" s="364">
        <f t="shared" si="7"/>
        <v>0</v>
      </c>
      <c r="D100" s="367">
        <f t="shared" si="9"/>
        <v>0</v>
      </c>
      <c r="E100" s="289"/>
      <c r="F100" s="287">
        <f t="shared" si="10"/>
        <v>30</v>
      </c>
      <c r="G100" s="337">
        <f t="shared" si="8"/>
        <v>0</v>
      </c>
    </row>
    <row r="101" spans="1:7">
      <c r="A101" s="2775">
        <f t="shared" si="6"/>
        <v>45412</v>
      </c>
      <c r="B101" s="2776"/>
      <c r="C101" s="364">
        <f t="shared" si="7"/>
        <v>0</v>
      </c>
      <c r="D101" s="367">
        <f t="shared" si="9"/>
        <v>0</v>
      </c>
      <c r="E101" s="289"/>
      <c r="F101" s="287">
        <f t="shared" si="10"/>
        <v>31</v>
      </c>
      <c r="G101" s="337">
        <f t="shared" si="8"/>
        <v>0</v>
      </c>
    </row>
    <row r="102" spans="1:7">
      <c r="A102" s="2775">
        <f>EOMONTH($A103,-1)</f>
        <v>45443</v>
      </c>
      <c r="B102" s="2776"/>
      <c r="C102" s="364">
        <f t="shared" si="7"/>
        <v>0</v>
      </c>
      <c r="D102" s="367">
        <f t="shared" si="9"/>
        <v>0</v>
      </c>
      <c r="E102" s="289"/>
      <c r="F102" s="287">
        <f t="shared" si="10"/>
        <v>30</v>
      </c>
      <c r="G102" s="337">
        <f t="shared" si="8"/>
        <v>0</v>
      </c>
    </row>
    <row r="103" spans="1:7">
      <c r="A103" s="2775">
        <f>EOMONTH($E$11, 0)</f>
        <v>45473</v>
      </c>
      <c r="B103" s="2776"/>
      <c r="C103" s="364">
        <f t="shared" si="7"/>
        <v>0</v>
      </c>
      <c r="D103" s="367">
        <f t="shared" si="9"/>
        <v>0</v>
      </c>
      <c r="E103" s="289"/>
      <c r="F103" s="287">
        <f t="shared" si="10"/>
        <v>0</v>
      </c>
      <c r="G103" s="337">
        <f t="shared" si="8"/>
        <v>0</v>
      </c>
    </row>
    <row r="104" spans="1:7">
      <c r="A104" s="2777">
        <f t="shared" ref="A104:A119" si="11">A105</f>
        <v>45473</v>
      </c>
      <c r="B104" s="2778"/>
      <c r="C104" s="364">
        <f t="shared" si="7"/>
        <v>0</v>
      </c>
      <c r="D104" s="367">
        <f t="shared" si="9"/>
        <v>0</v>
      </c>
      <c r="E104" s="289"/>
      <c r="F104" s="287">
        <f t="shared" si="10"/>
        <v>0</v>
      </c>
      <c r="G104" s="337">
        <f t="shared" si="8"/>
        <v>0</v>
      </c>
    </row>
    <row r="105" spans="1:7">
      <c r="A105" s="2777">
        <f t="shared" si="11"/>
        <v>45473</v>
      </c>
      <c r="B105" s="2778"/>
      <c r="C105" s="364">
        <f t="shared" si="7"/>
        <v>0</v>
      </c>
      <c r="D105" s="367">
        <f t="shared" si="9"/>
        <v>0</v>
      </c>
      <c r="E105" s="289"/>
      <c r="F105" s="287">
        <f t="shared" si="10"/>
        <v>0</v>
      </c>
      <c r="G105" s="337">
        <f t="shared" si="8"/>
        <v>0</v>
      </c>
    </row>
    <row r="106" spans="1:7" hidden="1">
      <c r="A106" s="2779">
        <f t="shared" si="11"/>
        <v>45473</v>
      </c>
      <c r="B106" s="2778"/>
      <c r="C106" s="364">
        <f t="shared" si="7"/>
        <v>0</v>
      </c>
      <c r="D106" s="367">
        <f t="shared" si="9"/>
        <v>0</v>
      </c>
      <c r="E106" s="289"/>
      <c r="F106" s="287">
        <f t="shared" si="10"/>
        <v>0</v>
      </c>
      <c r="G106" s="337">
        <f t="shared" si="8"/>
        <v>0</v>
      </c>
    </row>
    <row r="107" spans="1:7" hidden="1">
      <c r="A107" s="2779">
        <f t="shared" si="11"/>
        <v>45473</v>
      </c>
      <c r="B107" s="2778"/>
      <c r="C107" s="364">
        <f t="shared" si="7"/>
        <v>0</v>
      </c>
      <c r="D107" s="367">
        <f t="shared" si="9"/>
        <v>0</v>
      </c>
      <c r="E107" s="289"/>
      <c r="F107" s="287">
        <f t="shared" si="10"/>
        <v>0</v>
      </c>
      <c r="G107" s="337">
        <f t="shared" si="8"/>
        <v>0</v>
      </c>
    </row>
    <row r="108" spans="1:7" hidden="1">
      <c r="A108" s="2779">
        <f t="shared" si="11"/>
        <v>45473</v>
      </c>
      <c r="B108" s="2778"/>
      <c r="C108" s="364">
        <f t="shared" si="7"/>
        <v>0</v>
      </c>
      <c r="D108" s="367">
        <f t="shared" si="9"/>
        <v>0</v>
      </c>
      <c r="E108" s="289"/>
      <c r="F108" s="287">
        <f t="shared" si="10"/>
        <v>0</v>
      </c>
      <c r="G108" s="337">
        <f t="shared" si="8"/>
        <v>0</v>
      </c>
    </row>
    <row r="109" spans="1:7" hidden="1">
      <c r="A109" s="2779">
        <f t="shared" si="11"/>
        <v>45473</v>
      </c>
      <c r="B109" s="2778"/>
      <c r="C109" s="364">
        <f t="shared" si="7"/>
        <v>0</v>
      </c>
      <c r="D109" s="367">
        <f t="shared" si="9"/>
        <v>0</v>
      </c>
      <c r="E109" s="289"/>
      <c r="F109" s="287">
        <f t="shared" si="10"/>
        <v>0</v>
      </c>
      <c r="G109" s="337">
        <f t="shared" si="8"/>
        <v>0</v>
      </c>
    </row>
    <row r="110" spans="1:7" hidden="1">
      <c r="A110" s="2779">
        <f t="shared" si="11"/>
        <v>45473</v>
      </c>
      <c r="B110" s="2778"/>
      <c r="C110" s="364">
        <f t="shared" si="7"/>
        <v>0</v>
      </c>
      <c r="D110" s="367">
        <f t="shared" si="9"/>
        <v>0</v>
      </c>
      <c r="E110" s="289"/>
      <c r="F110" s="287">
        <f t="shared" si="10"/>
        <v>0</v>
      </c>
      <c r="G110" s="337">
        <f t="shared" si="8"/>
        <v>0</v>
      </c>
    </row>
    <row r="111" spans="1:7" hidden="1">
      <c r="A111" s="2779">
        <f t="shared" si="11"/>
        <v>45473</v>
      </c>
      <c r="B111" s="2778"/>
      <c r="C111" s="364">
        <f t="shared" si="7"/>
        <v>0</v>
      </c>
      <c r="D111" s="367">
        <f t="shared" si="9"/>
        <v>0</v>
      </c>
      <c r="E111" s="289"/>
      <c r="F111" s="287">
        <f t="shared" si="10"/>
        <v>0</v>
      </c>
      <c r="G111" s="337">
        <f t="shared" si="8"/>
        <v>0</v>
      </c>
    </row>
    <row r="112" spans="1:7" hidden="1">
      <c r="A112" s="2779">
        <f t="shared" si="11"/>
        <v>45473</v>
      </c>
      <c r="B112" s="2778"/>
      <c r="C112" s="364">
        <f t="shared" si="7"/>
        <v>0</v>
      </c>
      <c r="D112" s="367">
        <f t="shared" si="9"/>
        <v>0</v>
      </c>
      <c r="E112" s="289"/>
      <c r="F112" s="287">
        <f t="shared" si="10"/>
        <v>0</v>
      </c>
      <c r="G112" s="337">
        <f t="shared" si="8"/>
        <v>0</v>
      </c>
    </row>
    <row r="113" spans="1:7" hidden="1">
      <c r="A113" s="2779">
        <f t="shared" si="11"/>
        <v>45473</v>
      </c>
      <c r="B113" s="2778"/>
      <c r="C113" s="364">
        <f t="shared" si="7"/>
        <v>0</v>
      </c>
      <c r="D113" s="367">
        <f t="shared" si="9"/>
        <v>0</v>
      </c>
      <c r="E113" s="289"/>
      <c r="F113" s="287">
        <f t="shared" si="10"/>
        <v>0</v>
      </c>
      <c r="G113" s="337">
        <f t="shared" si="8"/>
        <v>0</v>
      </c>
    </row>
    <row r="114" spans="1:7" hidden="1">
      <c r="A114" s="2779">
        <f t="shared" si="11"/>
        <v>45473</v>
      </c>
      <c r="B114" s="2778"/>
      <c r="C114" s="364">
        <f t="shared" si="7"/>
        <v>0</v>
      </c>
      <c r="D114" s="367">
        <f t="shared" si="9"/>
        <v>0</v>
      </c>
      <c r="E114" s="289"/>
      <c r="F114" s="287">
        <f t="shared" si="10"/>
        <v>0</v>
      </c>
      <c r="G114" s="337">
        <f t="shared" si="8"/>
        <v>0</v>
      </c>
    </row>
    <row r="115" spans="1:7" hidden="1">
      <c r="A115" s="2779">
        <f t="shared" si="11"/>
        <v>45473</v>
      </c>
      <c r="B115" s="2778"/>
      <c r="C115" s="364">
        <f t="shared" si="7"/>
        <v>0</v>
      </c>
      <c r="D115" s="367">
        <f t="shared" si="9"/>
        <v>0</v>
      </c>
      <c r="E115" s="289"/>
      <c r="F115" s="287">
        <f t="shared" si="10"/>
        <v>0</v>
      </c>
      <c r="G115" s="337">
        <f t="shared" si="8"/>
        <v>0</v>
      </c>
    </row>
    <row r="116" spans="1:7" hidden="1">
      <c r="A116" s="2779">
        <f t="shared" si="11"/>
        <v>45473</v>
      </c>
      <c r="B116" s="2778"/>
      <c r="C116" s="364">
        <f t="shared" si="7"/>
        <v>0</v>
      </c>
      <c r="D116" s="367">
        <f t="shared" si="9"/>
        <v>0</v>
      </c>
      <c r="E116" s="289"/>
      <c r="F116" s="287">
        <f t="shared" si="10"/>
        <v>0</v>
      </c>
      <c r="G116" s="337">
        <f t="shared" si="8"/>
        <v>0</v>
      </c>
    </row>
    <row r="117" spans="1:7" hidden="1">
      <c r="A117" s="2779">
        <f t="shared" si="11"/>
        <v>45473</v>
      </c>
      <c r="B117" s="2778"/>
      <c r="C117" s="364">
        <f t="shared" si="7"/>
        <v>0</v>
      </c>
      <c r="D117" s="367">
        <f t="shared" si="9"/>
        <v>0</v>
      </c>
      <c r="E117" s="289"/>
      <c r="F117" s="287">
        <f>A118-A117</f>
        <v>0</v>
      </c>
      <c r="G117" s="337">
        <f t="shared" si="8"/>
        <v>0</v>
      </c>
    </row>
    <row r="118" spans="1:7" hidden="1">
      <c r="A118" s="2779">
        <f t="shared" si="11"/>
        <v>45473</v>
      </c>
      <c r="B118" s="2778"/>
      <c r="C118" s="364">
        <f t="shared" si="7"/>
        <v>0</v>
      </c>
      <c r="D118" s="367">
        <f t="shared" si="9"/>
        <v>0</v>
      </c>
      <c r="E118" s="289"/>
      <c r="F118" s="287">
        <f>A119-A118</f>
        <v>0</v>
      </c>
      <c r="G118" s="337">
        <f t="shared" si="8"/>
        <v>0</v>
      </c>
    </row>
    <row r="119" spans="1:7" hidden="1">
      <c r="A119" s="2779">
        <f t="shared" si="11"/>
        <v>45473</v>
      </c>
      <c r="B119" s="2778"/>
      <c r="C119" s="364">
        <f t="shared" si="7"/>
        <v>0</v>
      </c>
      <c r="D119" s="367">
        <f t="shared" si="9"/>
        <v>0</v>
      </c>
      <c r="E119" s="289"/>
      <c r="F119" s="287">
        <f>A120-A119</f>
        <v>0</v>
      </c>
      <c r="G119" s="337">
        <f t="shared" si="8"/>
        <v>0</v>
      </c>
    </row>
    <row r="120" spans="1:7" hidden="1">
      <c r="A120" s="2779">
        <f>A121</f>
        <v>45473</v>
      </c>
      <c r="B120" s="2778"/>
      <c r="C120" s="364">
        <f>IF($E$35="Yes",C119+D119-IF(A120&gt;$E$33,B120,0),C119-B120+D119)</f>
        <v>0</v>
      </c>
      <c r="D120" s="367">
        <f t="shared" si="9"/>
        <v>0</v>
      </c>
      <c r="E120" s="289"/>
      <c r="F120" s="287">
        <f>F122-SUM(F90:F119)</f>
        <v>0</v>
      </c>
      <c r="G120" s="337">
        <f t="shared" si="8"/>
        <v>0</v>
      </c>
    </row>
    <row r="121" spans="1:7" ht="13.5" thickBot="1">
      <c r="A121" s="1644">
        <f>E11</f>
        <v>45473</v>
      </c>
      <c r="B121" s="1645">
        <f>SUM(B91:B120)</f>
        <v>0</v>
      </c>
      <c r="C121" s="364">
        <f>C120+D120</f>
        <v>0</v>
      </c>
      <c r="D121" s="369">
        <f>SUM(D90:D120)</f>
        <v>0</v>
      </c>
      <c r="E121" s="289"/>
      <c r="F121" s="287"/>
      <c r="G121" s="337"/>
    </row>
    <row r="122" spans="1:7" ht="8.1" customHeight="1" thickTop="1">
      <c r="A122" s="301"/>
      <c r="B122" s="302"/>
      <c r="C122" s="302"/>
      <c r="D122" s="294"/>
      <c r="E122" s="295"/>
      <c r="F122" s="287">
        <f>A121-A90+1</f>
        <v>366</v>
      </c>
      <c r="G122" s="337"/>
    </row>
    <row r="123" spans="1:7">
      <c r="A123" s="8"/>
      <c r="B123" s="8"/>
      <c r="C123" s="8"/>
      <c r="D123" s="8"/>
      <c r="E123" s="8"/>
      <c r="F123" s="8"/>
      <c r="G123" s="340"/>
    </row>
    <row r="124" spans="1:7">
      <c r="A124" s="3" t="s">
        <v>172</v>
      </c>
    </row>
    <row r="125" spans="1:7" ht="46.5" customHeight="1">
      <c r="A125" s="3742"/>
      <c r="B125" s="3743"/>
      <c r="C125" s="3743"/>
      <c r="D125" s="3743"/>
      <c r="E125" s="3744"/>
    </row>
  </sheetData>
  <customSheetViews>
    <customSheetView guid="{BCBE45D4-3C45-4659-992E-5C5D3E9FD81C}" fitToPage="1" hiddenRows="1" hiddenColumns="1" topLeftCell="A84">
      <selection activeCell="N72" sqref="N72"/>
      <pageMargins left="0.59055118110236227" right="0.43307086614173229" top="0.6692913385826772" bottom="0.94488188976377963" header="0.51181102362204722" footer="0.39370078740157483"/>
      <printOptions horizontalCentered="1"/>
      <pageSetup paperSize="9" scale="7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Rows="1" hiddenColumns="1">
      <selection activeCell="E35" sqref="E35"/>
      <pageMargins left="0.59055118110236227" right="0.43307086614173229" top="0.6692913385826772" bottom="0.94488188976377963" header="0.51181102362204722" footer="0.39370078740157483"/>
      <printOptions horizontalCentered="1"/>
      <pageSetup paperSize="9" scale="74"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19:E19"/>
    <mergeCell ref="A8:E8"/>
    <mergeCell ref="A125:E125"/>
  </mergeCells>
  <phoneticPr fontId="26" type="noConversion"/>
  <conditionalFormatting sqref="H190">
    <cfRule type="expression" dxfId="30" priority="1" stopIfTrue="1">
      <formula>SUM($190:$190)=0</formula>
    </cfRule>
  </conditionalFormatting>
  <dataValidations count="6">
    <dataValidation type="decimal" operator="greaterThanOrEqual" allowBlank="1" showInputMessage="1" showErrorMessage="1" sqref="B91:B120" xr:uid="{00000000-0002-0000-1F00-000000000000}">
      <formula1>0</formula1>
    </dataValidation>
    <dataValidation type="list" allowBlank="1" showInputMessage="1" showErrorMessage="1" sqref="E27" xr:uid="{00000000-0002-0000-1F00-000001000000}">
      <formula1>"Yes, No"</formula1>
    </dataValidation>
    <dataValidation type="date" errorStyle="warning" allowBlank="1" showInputMessage="1" showErrorMessage="1" errorTitle="Loan Start Date" error="Please enter a valid date._x000a_Format 'dd/mm/yy'" sqref="E25" xr:uid="{00000000-0002-0000-1F00-000002000000}">
      <formula1>DATE(YEAR(E11)-1,MONTH(E11),DAY(E11)+1)</formula1>
      <formula2>E11</formula2>
    </dataValidation>
    <dataValidation type="list" allowBlank="1" showInputMessage="1" showErrorMessage="1" sqref="E35" xr:uid="{00000000-0002-0000-1F00-000003000000}">
      <formula1>"Yes,No"</formula1>
    </dataValidation>
    <dataValidation type="list" errorStyle="warning" allowBlank="1" showInputMessage="1" showErrorMessage="1" errorTitle="Loan Start Date" error="Please enter a valid date._x000a_Format 'dd/mm/yy'" sqref="E21" xr:uid="{00000000-0002-0000-1F00-000004000000}">
      <formula1>div7a_year</formula1>
    </dataValidation>
    <dataValidation type="date" errorStyle="warning" allowBlank="1" showInputMessage="1" showErrorMessage="1" errorTitle="Loan Start Date" error="Please enter a valid date in the current financial year._x000a_Format 'dd/mm/yy'" sqref="E23" xr:uid="{00000000-0002-0000-1F00-000005000000}">
      <formula1>DATE(YEAR(E11)-1,MONTH(E11),DAY(E11)+1)</formula1>
      <formula2>E11</formula2>
    </dataValidation>
  </dataValidations>
  <hyperlinks>
    <hyperlink ref="E9" location="'WPIndex'!A1" display="Back to Workpaper Index" xr:uid="{3665A763-E21E-4E24-A2C0-4A8F4588D351}"/>
  </hyperlinks>
  <printOptions horizontalCentered="1"/>
  <pageMargins left="0.59055118110236227" right="0.43307086614173229" top="0.6692913385826772" bottom="0.94488188976377963" header="0.51181102362204722" footer="0.39370078740157483"/>
  <pageSetup paperSize="9" scale="64"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44042" r:id="rId6" name="Button 10">
              <controlPr defaultSize="0" print="0" autoFill="0" autoPict="0" macro="[0]!seven">
                <anchor moveWithCells="1" sizeWithCells="1">
                  <from>
                    <xdr:col>0</xdr:col>
                    <xdr:colOff>47625</xdr:colOff>
                    <xdr:row>48</xdr:row>
                    <xdr:rowOff>66675</xdr:rowOff>
                  </from>
                  <to>
                    <xdr:col>0</xdr:col>
                    <xdr:colOff>619125</xdr:colOff>
                    <xdr:row>49</xdr:row>
                    <xdr:rowOff>133350</xdr:rowOff>
                  </to>
                </anchor>
              </controlPr>
            </control>
          </mc:Choice>
        </mc:AlternateContent>
        <mc:AlternateContent xmlns:mc="http://schemas.openxmlformats.org/markup-compatibility/2006">
          <mc:Choice Requires="x14">
            <control shapeId="44043" r:id="rId7" name="Button 11">
              <controlPr defaultSize="0" print="0" autoFill="0" autoPict="0" macro="[0]!twenty_five">
                <anchor moveWithCells="1" sizeWithCells="1">
                  <from>
                    <xdr:col>0</xdr:col>
                    <xdr:colOff>57150</xdr:colOff>
                    <xdr:row>50</xdr:row>
                    <xdr:rowOff>95250</xdr:rowOff>
                  </from>
                  <to>
                    <xdr:col>0</xdr:col>
                    <xdr:colOff>628650</xdr:colOff>
                    <xdr:row>52</xdr:row>
                    <xdr:rowOff>0</xdr:rowOff>
                  </to>
                </anchor>
              </controlPr>
            </control>
          </mc:Choice>
        </mc:AlternateContent>
        <mc:AlternateContent xmlns:mc="http://schemas.openxmlformats.org/markup-compatibility/2006">
          <mc:Choice Requires="x14">
            <control shapeId="44052" r:id="rId8" name="Drop Down 20">
              <controlPr defaultSize="0" autoLine="0" autoPict="0" macro="[0]!Div7AEntriesAvailableChange">
                <anchor moveWithCells="1">
                  <from>
                    <xdr:col>1</xdr:col>
                    <xdr:colOff>28575</xdr:colOff>
                    <xdr:row>87</xdr:row>
                    <xdr:rowOff>0</xdr:rowOff>
                  </from>
                  <to>
                    <xdr:col>2</xdr:col>
                    <xdr:colOff>28575</xdr:colOff>
                    <xdr:row>88</xdr:row>
                    <xdr:rowOff>38100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ale_Purch_Business_Sheet">
    <tabColor theme="8" tint="0.79998168889431442"/>
  </sheetPr>
  <dimension ref="A1:J76"/>
  <sheetViews>
    <sheetView showGridLines="0" zoomScaleNormal="100" workbookViewId="0">
      <selection sqref="A1:F1"/>
    </sheetView>
  </sheetViews>
  <sheetFormatPr defaultColWidth="9.140625" defaultRowHeight="12.75"/>
  <cols>
    <col min="1" max="1" width="14.5703125" style="1" customWidth="1"/>
    <col min="2" max="2" width="20.7109375" style="14" customWidth="1"/>
    <col min="3" max="3" width="12.7109375" style="14" customWidth="1"/>
    <col min="4" max="5" width="10.7109375" style="1" customWidth="1"/>
    <col min="6" max="7" width="15.7109375" style="1" customWidth="1"/>
    <col min="8" max="8" width="8.28515625" style="1" hidden="1" customWidth="1"/>
    <col min="9" max="9" width="10.42578125" style="1" customWidth="1"/>
    <col min="10" max="16384" width="9.140625" style="1"/>
  </cols>
  <sheetData>
    <row r="1" spans="1:8">
      <c r="F1" s="2613" t="s">
        <v>2425</v>
      </c>
      <c r="G1" s="3576" t="s">
        <v>2758</v>
      </c>
    </row>
    <row r="2" spans="1:8" ht="15.75">
      <c r="A2" s="206"/>
      <c r="B2" s="1"/>
      <c r="C2" s="1"/>
      <c r="E2" s="40"/>
      <c r="F2" s="71" t="s">
        <v>2426</v>
      </c>
      <c r="G2" s="2621"/>
    </row>
    <row r="3" spans="1:8" ht="15.75">
      <c r="A3" s="2609"/>
      <c r="B3" s="1"/>
      <c r="C3" s="1"/>
      <c r="E3" s="40"/>
      <c r="F3" s="40"/>
    </row>
    <row r="4" spans="1:8" s="32" customFormat="1">
      <c r="A4" s="206"/>
      <c r="E4" s="11"/>
      <c r="F4" s="2610" t="s">
        <v>1163</v>
      </c>
      <c r="G4" s="709" t="s">
        <v>1262</v>
      </c>
    </row>
    <row r="5" spans="1:8" s="32" customFormat="1" ht="17.25" customHeight="1">
      <c r="A5" s="206"/>
      <c r="E5" s="71" t="s">
        <v>332</v>
      </c>
      <c r="F5" s="2617" t="str">
        <f>IF(PreparedBy="","",PreparedBy)</f>
        <v/>
      </c>
      <c r="G5" s="2618" t="str">
        <f>IF(DatePrepared="","",DatePrepared)</f>
        <v/>
      </c>
    </row>
    <row r="6" spans="1:8" s="32" customFormat="1" ht="17.25" customHeight="1">
      <c r="A6" s="206"/>
      <c r="E6" s="71" t="s">
        <v>333</v>
      </c>
      <c r="F6" s="2619"/>
      <c r="G6" s="2620"/>
    </row>
    <row r="7" spans="1:8" s="32" customFormat="1" ht="3.95" customHeight="1">
      <c r="A7" s="206"/>
      <c r="B7" s="43"/>
      <c r="C7" s="43"/>
      <c r="D7" s="43"/>
      <c r="E7" s="43"/>
    </row>
    <row r="8" spans="1:8" ht="15.75">
      <c r="A8" s="3704" t="str">
        <f>WP_Sale_Purchase_Business</f>
        <v>Sale/Purchase of Business/Property</v>
      </c>
      <c r="B8" s="3705"/>
      <c r="C8" s="3705"/>
      <c r="D8" s="3705"/>
      <c r="E8" s="3705"/>
      <c r="F8" s="3705"/>
      <c r="G8" s="3706"/>
    </row>
    <row r="9" spans="1:8">
      <c r="B9" s="1"/>
      <c r="C9" s="1"/>
      <c r="E9" s="14"/>
      <c r="F9" s="3832" t="s">
        <v>2526</v>
      </c>
      <c r="G9" s="3832"/>
    </row>
    <row r="10" spans="1:8" s="37" customFormat="1" ht="15.75">
      <c r="A10" s="222" t="str">
        <f>"CLIENT NAME:   "&amp;'WP Index'!E3</f>
        <v>CLIENT NAME:   Example Trust</v>
      </c>
      <c r="H10" s="1"/>
    </row>
    <row r="11" spans="1:8" s="37" customFormat="1">
      <c r="A11" s="9" t="str">
        <f>"CLIENT CODE:   "&amp;'WP Index'!E4</f>
        <v>CLIENT CODE:   99999</v>
      </c>
      <c r="F11" s="47" t="s">
        <v>951</v>
      </c>
      <c r="G11" s="47">
        <f>'WP Index'!G5</f>
        <v>45473</v>
      </c>
      <c r="H11" s="1"/>
    </row>
    <row r="12" spans="1:8" s="37" customFormat="1" ht="12.75" customHeight="1">
      <c r="H12" s="6" t="s">
        <v>1286</v>
      </c>
    </row>
    <row r="13" spans="1:8" s="37" customFormat="1" ht="29.25" customHeight="1">
      <c r="A13" s="3943" t="s">
        <v>442</v>
      </c>
      <c r="B13" s="3943"/>
      <c r="C13" s="3943"/>
      <c r="D13" s="3943"/>
      <c r="E13" s="3943"/>
      <c r="F13" s="3943"/>
      <c r="G13" s="3943"/>
      <c r="H13" s="1"/>
    </row>
    <row r="14" spans="1:8" s="37" customFormat="1">
      <c r="H14" s="1"/>
    </row>
    <row r="15" spans="1:8" customFormat="1" ht="15" customHeight="1">
      <c r="A15" s="3933" t="s">
        <v>286</v>
      </c>
      <c r="B15" s="3934"/>
      <c r="C15" s="693"/>
      <c r="D15" s="3935"/>
      <c r="E15" s="3936"/>
      <c r="F15" s="3936"/>
      <c r="G15" s="3937"/>
      <c r="H15" s="1"/>
    </row>
    <row r="16" spans="1:8" customFormat="1" ht="15" customHeight="1">
      <c r="A16" s="3938" t="s">
        <v>289</v>
      </c>
      <c r="B16" s="3939"/>
      <c r="C16" s="689"/>
      <c r="D16" s="3940"/>
      <c r="E16" s="3941"/>
      <c r="F16" s="3941"/>
      <c r="G16" s="3942"/>
      <c r="H16" s="1"/>
    </row>
    <row r="17" spans="1:10" customFormat="1" ht="15" customHeight="1">
      <c r="A17" s="3938" t="s">
        <v>290</v>
      </c>
      <c r="B17" s="3939"/>
      <c r="C17" s="689"/>
      <c r="D17" s="3948"/>
      <c r="E17" s="3949"/>
      <c r="F17" s="690"/>
      <c r="G17" s="694"/>
      <c r="H17" s="1"/>
    </row>
    <row r="18" spans="1:10" customFormat="1" ht="15" customHeight="1">
      <c r="A18" s="3946" t="s">
        <v>291</v>
      </c>
      <c r="B18" s="3947"/>
      <c r="C18" s="3947"/>
      <c r="D18" s="3947"/>
      <c r="E18" s="3947"/>
      <c r="F18" s="690"/>
      <c r="G18" s="2780"/>
      <c r="H18" s="1"/>
    </row>
    <row r="19" spans="1:10" customFormat="1" ht="15" customHeight="1">
      <c r="A19" s="3946" t="s">
        <v>292</v>
      </c>
      <c r="B19" s="3947"/>
      <c r="C19" s="3947"/>
      <c r="D19" s="3947"/>
      <c r="E19" s="3947"/>
      <c r="F19" s="690"/>
      <c r="G19" s="2781"/>
      <c r="H19" s="1"/>
    </row>
    <row r="20" spans="1:10" customFormat="1" ht="15" customHeight="1">
      <c r="A20" s="3946" t="s">
        <v>293</v>
      </c>
      <c r="B20" s="3947"/>
      <c r="C20" s="3947"/>
      <c r="D20" s="3947"/>
      <c r="E20" s="3947"/>
      <c r="F20" s="690"/>
      <c r="G20" s="2781"/>
      <c r="H20" s="1"/>
    </row>
    <row r="21" spans="1:10" customFormat="1" ht="15" customHeight="1">
      <c r="A21" s="3946" t="s">
        <v>294</v>
      </c>
      <c r="B21" s="3947"/>
      <c r="C21" s="3947"/>
      <c r="D21" s="3947"/>
      <c r="E21" s="3947"/>
      <c r="F21" s="690"/>
      <c r="G21" s="2780"/>
      <c r="H21" s="1"/>
    </row>
    <row r="22" spans="1:10" customFormat="1" ht="15" customHeight="1">
      <c r="A22" s="3946" t="s">
        <v>295</v>
      </c>
      <c r="B22" s="3947"/>
      <c r="C22" s="3947"/>
      <c r="D22" s="3947"/>
      <c r="E22" s="3947"/>
      <c r="F22" s="690"/>
      <c r="G22" s="2780"/>
      <c r="H22" s="1"/>
    </row>
    <row r="23" spans="1:10" customFormat="1" ht="15" customHeight="1">
      <c r="A23" s="3946" t="s">
        <v>296</v>
      </c>
      <c r="B23" s="3947"/>
      <c r="C23" s="3947"/>
      <c r="D23" s="3947"/>
      <c r="E23" s="3947"/>
      <c r="F23" s="690"/>
      <c r="G23" s="2780"/>
      <c r="H23" s="1"/>
    </row>
    <row r="24" spans="1:10" customFormat="1" ht="15" customHeight="1">
      <c r="A24" s="3946" t="s">
        <v>297</v>
      </c>
      <c r="B24" s="3947"/>
      <c r="C24" s="3947"/>
      <c r="D24" s="3947"/>
      <c r="E24" s="3947"/>
      <c r="F24" s="690"/>
      <c r="G24" s="2782"/>
      <c r="H24" s="1"/>
    </row>
    <row r="25" spans="1:10" customFormat="1" ht="9.9499999999999993" customHeight="1">
      <c r="A25" s="3950"/>
      <c r="B25" s="3951"/>
      <c r="C25" s="3951"/>
      <c r="D25" s="3951"/>
      <c r="E25" s="3951"/>
      <c r="F25" s="3951"/>
      <c r="G25" s="3952"/>
      <c r="H25" s="1"/>
    </row>
    <row r="26" spans="1:10" customFormat="1" ht="9.9499999999999993" customHeight="1">
      <c r="A26" s="3953"/>
      <c r="B26" s="3954"/>
      <c r="C26" s="3954"/>
      <c r="D26" s="3954"/>
      <c r="E26" s="3954"/>
      <c r="F26" s="3954"/>
      <c r="G26" s="3955"/>
      <c r="H26" s="1"/>
    </row>
    <row r="27" spans="1:10" customFormat="1" ht="9.9499999999999993" customHeight="1">
      <c r="A27" s="3956"/>
      <c r="B27" s="3957"/>
      <c r="C27" s="3957"/>
      <c r="D27" s="3957"/>
      <c r="E27" s="3957"/>
      <c r="F27" s="3957"/>
      <c r="G27" s="3958"/>
      <c r="H27" s="1"/>
    </row>
    <row r="28" spans="1:10" customFormat="1">
      <c r="A28" s="695"/>
      <c r="B28" s="678"/>
      <c r="C28" s="678"/>
      <c r="D28" s="678"/>
      <c r="E28" s="678"/>
      <c r="F28" s="678"/>
      <c r="G28" s="694"/>
      <c r="H28" s="1"/>
    </row>
    <row r="29" spans="1:10" customFormat="1">
      <c r="A29" s="695"/>
      <c r="B29" s="678"/>
      <c r="C29" s="678"/>
      <c r="D29" s="678"/>
      <c r="E29" s="678"/>
      <c r="F29" s="679" t="s">
        <v>1369</v>
      </c>
      <c r="G29" s="679" t="s">
        <v>1370</v>
      </c>
      <c r="H29" s="1"/>
      <c r="I29" s="1860" t="s">
        <v>1993</v>
      </c>
    </row>
    <row r="30" spans="1:10" customFormat="1" ht="15" customHeight="1">
      <c r="A30" s="3944" t="s">
        <v>298</v>
      </c>
      <c r="B30" s="3945"/>
      <c r="C30" s="691" t="s">
        <v>454</v>
      </c>
      <c r="D30" s="691"/>
      <c r="E30" s="678"/>
      <c r="F30" s="2785"/>
      <c r="G30" s="2786"/>
      <c r="H30" s="1"/>
      <c r="I30" s="1865"/>
      <c r="J30" s="1871"/>
    </row>
    <row r="31" spans="1:10" customFormat="1" ht="15" customHeight="1">
      <c r="A31" s="3944" t="s">
        <v>299</v>
      </c>
      <c r="B31" s="3945"/>
      <c r="C31" s="691" t="s">
        <v>454</v>
      </c>
      <c r="D31" s="691"/>
      <c r="E31" s="678"/>
      <c r="F31" s="2783"/>
      <c r="G31" s="2787"/>
      <c r="H31" s="1"/>
      <c r="I31" s="1874"/>
    </row>
    <row r="32" spans="1:10" customFormat="1" ht="15" customHeight="1">
      <c r="A32" s="3944" t="s">
        <v>300</v>
      </c>
      <c r="B32" s="3945"/>
      <c r="C32" s="691" t="s">
        <v>989</v>
      </c>
      <c r="D32" s="691"/>
      <c r="E32" s="678"/>
      <c r="F32" s="2783"/>
      <c r="G32" s="2787"/>
      <c r="H32" s="1"/>
      <c r="I32" s="1872"/>
      <c r="J32" s="1871"/>
    </row>
    <row r="33" spans="1:10" customFormat="1" ht="15" customHeight="1">
      <c r="A33" s="696" t="s">
        <v>301</v>
      </c>
      <c r="B33" s="691"/>
      <c r="C33" s="691" t="s">
        <v>454</v>
      </c>
      <c r="D33" s="691"/>
      <c r="E33" s="678"/>
      <c r="F33" s="2783"/>
      <c r="G33" s="694"/>
      <c r="H33" s="1"/>
      <c r="I33" s="1874"/>
      <c r="J33" s="1871"/>
    </row>
    <row r="34" spans="1:10" customFormat="1" ht="15" customHeight="1">
      <c r="A34" s="3944" t="s">
        <v>302</v>
      </c>
      <c r="B34" s="3945"/>
      <c r="C34" s="3947" t="s">
        <v>303</v>
      </c>
      <c r="D34" s="3947"/>
      <c r="E34" s="678"/>
      <c r="F34" s="2788"/>
      <c r="G34" s="2787"/>
      <c r="H34" s="1"/>
      <c r="I34" s="1862"/>
      <c r="J34" s="1871"/>
    </row>
    <row r="35" spans="1:10" customFormat="1" ht="15" customHeight="1">
      <c r="A35" s="3944" t="s">
        <v>304</v>
      </c>
      <c r="B35" s="3945"/>
      <c r="C35" s="3947" t="s">
        <v>303</v>
      </c>
      <c r="D35" s="3947"/>
      <c r="E35" s="678"/>
      <c r="F35" s="2788"/>
      <c r="G35" s="2787"/>
      <c r="H35" s="1"/>
      <c r="I35" s="1875"/>
      <c r="J35" s="1871"/>
    </row>
    <row r="36" spans="1:10" customFormat="1" ht="15" customHeight="1">
      <c r="A36" s="3944" t="s">
        <v>305</v>
      </c>
      <c r="B36" s="3945"/>
      <c r="C36" s="3947" t="s">
        <v>303</v>
      </c>
      <c r="D36" s="3947"/>
      <c r="E36" s="678"/>
      <c r="F36" s="678"/>
      <c r="G36" s="2784"/>
      <c r="H36" s="1"/>
      <c r="I36" s="1873"/>
    </row>
    <row r="37" spans="1:10" customFormat="1" ht="15" customHeight="1">
      <c r="A37" s="3944" t="s">
        <v>306</v>
      </c>
      <c r="B37" s="3945"/>
      <c r="C37" s="3947" t="s">
        <v>303</v>
      </c>
      <c r="D37" s="3947"/>
      <c r="E37" s="678"/>
      <c r="F37" s="2783"/>
      <c r="G37" s="1646"/>
      <c r="H37" s="1"/>
      <c r="I37" s="1874"/>
    </row>
    <row r="38" spans="1:10" customFormat="1" ht="15" customHeight="1">
      <c r="A38" s="3959"/>
      <c r="B38" s="3960"/>
      <c r="C38" s="3947" t="s">
        <v>303</v>
      </c>
      <c r="D38" s="3947"/>
      <c r="E38" s="678"/>
      <c r="F38" s="2783"/>
      <c r="G38" s="2787"/>
      <c r="H38" s="1"/>
      <c r="I38" s="1872"/>
      <c r="J38" s="1871"/>
    </row>
    <row r="39" spans="1:10" customFormat="1" ht="15" customHeight="1">
      <c r="A39" s="3959"/>
      <c r="B39" s="3960"/>
      <c r="C39" s="1840" t="s">
        <v>303</v>
      </c>
      <c r="D39" s="1840"/>
      <c r="E39" s="678"/>
      <c r="F39" s="2783"/>
      <c r="G39" s="2787"/>
      <c r="H39" s="1"/>
      <c r="I39" s="1875"/>
      <c r="J39" s="1871"/>
    </row>
    <row r="40" spans="1:10" customFormat="1" ht="15" customHeight="1">
      <c r="A40" s="3959"/>
      <c r="B40" s="3960"/>
      <c r="C40" s="1840"/>
      <c r="D40" s="1840"/>
      <c r="E40" s="678"/>
      <c r="F40" s="2783"/>
      <c r="G40" s="2787"/>
      <c r="H40" s="1"/>
      <c r="I40" s="1874"/>
      <c r="J40" s="1871"/>
    </row>
    <row r="41" spans="1:10" customFormat="1" ht="15" customHeight="1">
      <c r="A41" s="3964" t="s">
        <v>307</v>
      </c>
      <c r="B41" s="3965"/>
      <c r="C41" s="1839"/>
      <c r="D41" s="1839"/>
      <c r="E41" s="678"/>
      <c r="F41" s="678"/>
      <c r="G41" s="1866"/>
      <c r="H41" s="1"/>
      <c r="I41" s="1862"/>
      <c r="J41" s="678"/>
    </row>
    <row r="42" spans="1:10" customFormat="1" ht="9" customHeight="1">
      <c r="A42" s="696"/>
      <c r="B42" s="691"/>
      <c r="C42" s="691"/>
      <c r="D42" s="691"/>
      <c r="E42" s="678"/>
      <c r="F42" s="678"/>
      <c r="G42" s="678"/>
      <c r="H42" s="1"/>
      <c r="I42" s="1862"/>
    </row>
    <row r="43" spans="1:10" customFormat="1" ht="15" customHeight="1">
      <c r="A43" s="3944" t="s">
        <v>309</v>
      </c>
      <c r="B43" s="3945"/>
      <c r="C43" s="691" t="s">
        <v>454</v>
      </c>
      <c r="D43" s="691"/>
      <c r="E43" s="678"/>
      <c r="F43" s="2783"/>
      <c r="G43" s="694"/>
      <c r="H43" s="1"/>
      <c r="I43" s="1872"/>
      <c r="J43" s="1871"/>
    </row>
    <row r="44" spans="1:10" customFormat="1" ht="15" customHeight="1">
      <c r="A44" s="3944" t="s">
        <v>310</v>
      </c>
      <c r="B44" s="3945"/>
      <c r="C44" s="691" t="s">
        <v>454</v>
      </c>
      <c r="D44" s="691"/>
      <c r="E44" s="678"/>
      <c r="F44" s="2783"/>
      <c r="G44" s="694"/>
      <c r="H44" s="1"/>
      <c r="I44" s="1872"/>
      <c r="J44" s="1871"/>
    </row>
    <row r="45" spans="1:10" customFormat="1" ht="15" customHeight="1">
      <c r="A45" s="3944" t="s">
        <v>311</v>
      </c>
      <c r="B45" s="3945"/>
      <c r="C45" s="691" t="s">
        <v>454</v>
      </c>
      <c r="D45" s="691"/>
      <c r="E45" s="678"/>
      <c r="F45" s="2783"/>
      <c r="G45" s="694"/>
      <c r="H45" s="1"/>
      <c r="I45" s="1872"/>
      <c r="J45" s="1871"/>
    </row>
    <row r="46" spans="1:10" customFormat="1" ht="15" customHeight="1">
      <c r="A46" s="3944" t="s">
        <v>502</v>
      </c>
      <c r="B46" s="3945"/>
      <c r="C46" s="691" t="s">
        <v>454</v>
      </c>
      <c r="D46" s="691"/>
      <c r="E46" s="678"/>
      <c r="F46" s="2783"/>
      <c r="G46" s="694"/>
      <c r="H46" s="1"/>
      <c r="I46" s="1872"/>
      <c r="J46" s="1871"/>
    </row>
    <row r="47" spans="1:10" customFormat="1" ht="15" customHeight="1">
      <c r="A47" s="3959" t="s">
        <v>312</v>
      </c>
      <c r="B47" s="3960"/>
      <c r="C47" s="3939" t="s">
        <v>313</v>
      </c>
      <c r="D47" s="3947"/>
      <c r="E47" s="678"/>
      <c r="F47" s="2783"/>
      <c r="G47" s="694"/>
      <c r="H47" s="1"/>
      <c r="I47" s="1872"/>
      <c r="J47" s="1871"/>
    </row>
    <row r="48" spans="1:10" customFormat="1" ht="15" customHeight="1">
      <c r="A48" s="3959"/>
      <c r="B48" s="3960"/>
      <c r="C48" s="692" t="s">
        <v>313</v>
      </c>
      <c r="D48" s="1840"/>
      <c r="E48" s="678"/>
      <c r="F48" s="2783"/>
      <c r="G48" s="694"/>
      <c r="H48" s="1"/>
      <c r="I48" s="1873"/>
    </row>
    <row r="49" spans="1:10" customFormat="1" ht="15" customHeight="1">
      <c r="A49" s="3959"/>
      <c r="B49" s="3960"/>
      <c r="C49" s="692" t="s">
        <v>313</v>
      </c>
      <c r="D49" s="691"/>
      <c r="E49" s="678"/>
      <c r="F49" s="2783"/>
      <c r="G49" s="694"/>
      <c r="H49" s="1"/>
      <c r="I49" s="1874"/>
    </row>
    <row r="50" spans="1:10" customFormat="1" ht="15" customHeight="1">
      <c r="A50" s="3944" t="s">
        <v>314</v>
      </c>
      <c r="B50" s="3945"/>
      <c r="C50" s="3947" t="s">
        <v>303</v>
      </c>
      <c r="D50" s="3947"/>
      <c r="E50" s="678"/>
      <c r="F50" s="2783"/>
      <c r="G50" s="694"/>
      <c r="H50" s="1"/>
      <c r="I50" s="1873"/>
    </row>
    <row r="51" spans="1:10" customFormat="1" ht="15" customHeight="1">
      <c r="A51" s="3944" t="s">
        <v>315</v>
      </c>
      <c r="B51" s="3945"/>
      <c r="C51" s="3947" t="s">
        <v>316</v>
      </c>
      <c r="D51" s="3947"/>
      <c r="E51" s="678"/>
      <c r="F51" s="678"/>
      <c r="G51" s="2784"/>
      <c r="H51" s="1"/>
      <c r="I51" s="1872"/>
      <c r="J51" s="1871"/>
    </row>
    <row r="52" spans="1:10" customFormat="1" ht="15" customHeight="1">
      <c r="A52" s="3966" t="s">
        <v>318</v>
      </c>
      <c r="B52" s="3945"/>
      <c r="C52" s="3947" t="s">
        <v>303</v>
      </c>
      <c r="D52" s="3947"/>
      <c r="E52" s="678"/>
      <c r="F52" s="1647">
        <f>IF(SUM(F30:F51)&gt;SUM(G30:G51),0,SUM(G30:G51)-SUM(F30:F51))</f>
        <v>0</v>
      </c>
      <c r="G52" s="1648">
        <f>IF(SUM(G30:G51)&gt;SUM(F30:F51),0,SUM(F30:F51)-SUM(G30:G51))</f>
        <v>0</v>
      </c>
      <c r="H52" s="1"/>
      <c r="I52" s="1874"/>
      <c r="J52" s="1871"/>
    </row>
    <row r="53" spans="1:10" customFormat="1" ht="3.75" customHeight="1">
      <c r="A53" s="695"/>
      <c r="B53" s="678"/>
      <c r="C53" s="678"/>
      <c r="D53" s="678"/>
      <c r="E53" s="678"/>
      <c r="F53" s="1869"/>
      <c r="G53" s="1866"/>
      <c r="H53" s="1"/>
      <c r="I53" s="1862"/>
      <c r="J53" s="678"/>
    </row>
    <row r="54" spans="1:10" customFormat="1" ht="13.5" customHeight="1" thickBot="1">
      <c r="A54" s="695"/>
      <c r="B54" s="678"/>
      <c r="C54" s="678"/>
      <c r="D54" s="678"/>
      <c r="E54" s="678"/>
      <c r="F54" s="1868">
        <f>SUM(F30:F53)</f>
        <v>0</v>
      </c>
      <c r="G54" s="1870">
        <f>SUM(G30:G53)</f>
        <v>0</v>
      </c>
      <c r="H54" s="1"/>
      <c r="I54" s="1862"/>
      <c r="J54" s="678"/>
    </row>
    <row r="55" spans="1:10" customFormat="1" ht="3.75" customHeight="1" thickTop="1">
      <c r="A55" s="695"/>
      <c r="B55" s="678"/>
      <c r="C55" s="678"/>
      <c r="D55" s="678"/>
      <c r="E55" s="678"/>
      <c r="F55" s="678"/>
      <c r="G55" s="694"/>
      <c r="H55" s="1"/>
      <c r="I55" s="1862"/>
      <c r="J55" s="678"/>
    </row>
    <row r="56" spans="1:10" customFormat="1" ht="13.5" customHeight="1">
      <c r="A56" s="697" t="s">
        <v>303</v>
      </c>
      <c r="B56" s="678"/>
      <c r="C56" s="678"/>
      <c r="D56" s="678"/>
      <c r="E56" s="678"/>
      <c r="F56" s="678"/>
      <c r="G56" s="1861"/>
      <c r="H56" s="1"/>
      <c r="I56" s="1867"/>
      <c r="J56" s="678"/>
    </row>
    <row r="57" spans="1:10" customFormat="1" ht="13.5" customHeight="1">
      <c r="A57" s="695" t="s">
        <v>319</v>
      </c>
      <c r="B57" s="678"/>
      <c r="C57" s="678"/>
      <c r="D57" s="678"/>
      <c r="E57" s="678"/>
      <c r="F57" s="1647">
        <f>F30+F31+F33+F43+F44+F45+F46</f>
        <v>0</v>
      </c>
      <c r="G57" s="1648">
        <f>G30+G31+G33+G43+G44+G45+G46</f>
        <v>0</v>
      </c>
      <c r="H57" s="1"/>
      <c r="I57" s="1864"/>
    </row>
    <row r="58" spans="1:10" customFormat="1" ht="13.5" customHeight="1">
      <c r="A58" s="695" t="s">
        <v>320</v>
      </c>
      <c r="B58" s="678"/>
      <c r="C58" s="678"/>
      <c r="D58" s="678"/>
      <c r="E58" s="678"/>
      <c r="F58" s="1647">
        <f>F34</f>
        <v>0</v>
      </c>
      <c r="G58" s="1648">
        <f>G34</f>
        <v>0</v>
      </c>
      <c r="H58" s="1"/>
      <c r="I58" s="1858"/>
    </row>
    <row r="59" spans="1:10" customFormat="1" ht="13.5" customHeight="1">
      <c r="A59" s="695" t="s">
        <v>304</v>
      </c>
      <c r="B59" s="678"/>
      <c r="C59" s="678"/>
      <c r="D59" s="678"/>
      <c r="E59" s="678"/>
      <c r="F59" s="1647">
        <f>F35</f>
        <v>0</v>
      </c>
      <c r="G59" s="1648">
        <f>G35</f>
        <v>0</v>
      </c>
      <c r="H59" s="1"/>
      <c r="I59" s="1857"/>
    </row>
    <row r="60" spans="1:10" customFormat="1" ht="13.5" customHeight="1">
      <c r="A60" s="695" t="s">
        <v>321</v>
      </c>
      <c r="B60" s="678"/>
      <c r="C60" s="678"/>
      <c r="D60" s="678"/>
      <c r="E60" s="678"/>
      <c r="F60" s="1647">
        <f>F50</f>
        <v>0</v>
      </c>
      <c r="G60" s="1648">
        <f>G51</f>
        <v>0</v>
      </c>
      <c r="H60" s="1"/>
      <c r="I60" s="1859"/>
    </row>
    <row r="61" spans="1:10" customFormat="1" ht="13.5" customHeight="1">
      <c r="A61" s="695" t="s">
        <v>1099</v>
      </c>
      <c r="B61" s="678"/>
      <c r="C61" s="678"/>
      <c r="D61" s="678"/>
      <c r="E61" s="678"/>
      <c r="F61" s="1647">
        <f>F37</f>
        <v>0</v>
      </c>
      <c r="G61" s="1648">
        <f>G36</f>
        <v>0</v>
      </c>
      <c r="H61" s="1"/>
      <c r="I61" s="1858"/>
    </row>
    <row r="62" spans="1:10" customFormat="1" ht="13.5" customHeight="1">
      <c r="A62" s="695" t="s">
        <v>318</v>
      </c>
      <c r="B62" s="678"/>
      <c r="C62" s="678"/>
      <c r="D62" s="678"/>
      <c r="E62" s="678"/>
      <c r="F62" s="1647">
        <f>F52</f>
        <v>0</v>
      </c>
      <c r="G62" s="1648">
        <f>G52</f>
        <v>0</v>
      </c>
      <c r="H62" s="1"/>
      <c r="I62" s="1858"/>
    </row>
    <row r="63" spans="1:10" customFormat="1" ht="13.5" customHeight="1">
      <c r="A63" s="695" t="s">
        <v>322</v>
      </c>
      <c r="B63" s="678"/>
      <c r="C63" s="678"/>
      <c r="D63" s="678"/>
      <c r="E63" s="678"/>
      <c r="F63" s="1650">
        <f>F38</f>
        <v>0</v>
      </c>
      <c r="G63" s="1651">
        <f>G38</f>
        <v>0</v>
      </c>
      <c r="H63" s="1"/>
      <c r="I63" s="1859"/>
    </row>
    <row r="64" spans="1:10" customFormat="1" ht="13.5" customHeight="1">
      <c r="A64" s="695"/>
      <c r="B64" s="678"/>
      <c r="C64" s="678"/>
      <c r="D64" s="678"/>
      <c r="E64" s="678"/>
      <c r="F64" s="1653">
        <f>SUM(F57:F63)</f>
        <v>0</v>
      </c>
      <c r="G64" s="1652">
        <f>SUM(G57:G63)</f>
        <v>0</v>
      </c>
      <c r="H64" s="1"/>
      <c r="I64" s="678"/>
      <c r="J64" s="678"/>
    </row>
    <row r="65" spans="1:9" customFormat="1" ht="13.5" customHeight="1">
      <c r="A65" s="697" t="s">
        <v>323</v>
      </c>
      <c r="B65" s="678"/>
      <c r="C65" s="678"/>
      <c r="D65" s="678"/>
      <c r="E65" s="678"/>
      <c r="F65" s="700"/>
      <c r="G65" s="701"/>
      <c r="H65" s="1"/>
      <c r="I65" s="1863"/>
    </row>
    <row r="66" spans="1:9" customFormat="1" ht="13.5" customHeight="1">
      <c r="A66" s="698" t="s">
        <v>439</v>
      </c>
      <c r="B66" s="678"/>
      <c r="C66" s="678"/>
      <c r="D66" s="678"/>
      <c r="E66" s="678"/>
      <c r="F66" s="1647">
        <f>F32</f>
        <v>0</v>
      </c>
      <c r="G66" s="1648">
        <f>G32</f>
        <v>0</v>
      </c>
      <c r="H66" s="1"/>
      <c r="I66" s="1858"/>
    </row>
    <row r="67" spans="1:9" customFormat="1" ht="13.5" customHeight="1">
      <c r="A67" s="698" t="str">
        <f>IF(A47="","",A47)</f>
        <v>Other Expenses</v>
      </c>
      <c r="B67" s="678"/>
      <c r="C67" s="678"/>
      <c r="D67" s="678"/>
      <c r="E67" s="678"/>
      <c r="F67" s="1855"/>
      <c r="G67" s="1856"/>
      <c r="H67" s="1"/>
      <c r="I67" s="1858"/>
    </row>
    <row r="68" spans="1:9" customFormat="1" ht="13.5" customHeight="1">
      <c r="A68" s="698" t="str">
        <f>IF(A48="","",A48)</f>
        <v/>
      </c>
      <c r="B68" s="678"/>
      <c r="C68" s="678"/>
      <c r="D68" s="678"/>
      <c r="E68" s="678"/>
      <c r="F68" s="1855"/>
      <c r="G68" s="1856"/>
      <c r="H68" s="1"/>
      <c r="I68" s="1857"/>
    </row>
    <row r="69" spans="1:9" customFormat="1" ht="13.5" customHeight="1">
      <c r="A69" s="698" t="str">
        <f>IF(A49="","",A49)</f>
        <v/>
      </c>
      <c r="B69" s="678"/>
      <c r="C69" s="678"/>
      <c r="D69" s="678"/>
      <c r="E69" s="678"/>
      <c r="F69" s="1650">
        <f>F47+F49</f>
        <v>0</v>
      </c>
      <c r="G69" s="1654"/>
      <c r="H69" s="1"/>
      <c r="I69" s="1859"/>
    </row>
    <row r="70" spans="1:9" customFormat="1" ht="13.5" customHeight="1">
      <c r="A70" s="695"/>
      <c r="B70" s="678"/>
      <c r="C70" s="678"/>
      <c r="D70" s="678"/>
      <c r="E70" s="678"/>
      <c r="F70" s="1653">
        <f>SUM(F66:F69)</f>
        <v>0</v>
      </c>
      <c r="G70" s="1652">
        <f>SUM(G66:G69)</f>
        <v>0</v>
      </c>
      <c r="H70" s="1"/>
    </row>
    <row r="71" spans="1:9" customFormat="1" ht="13.5" customHeight="1" thickBot="1">
      <c r="A71" s="695"/>
      <c r="B71" s="678"/>
      <c r="C71" s="678"/>
      <c r="D71" s="678"/>
      <c r="E71" s="678"/>
      <c r="F71" s="1649">
        <f>F64+F70</f>
        <v>0</v>
      </c>
      <c r="G71" s="1655">
        <f>G64+G70</f>
        <v>0</v>
      </c>
      <c r="H71" s="1"/>
    </row>
    <row r="72" spans="1:9" customFormat="1" ht="13.5" customHeight="1" thickTop="1">
      <c r="A72" s="699" t="s">
        <v>172</v>
      </c>
      <c r="B72" s="678"/>
      <c r="C72" s="678"/>
      <c r="D72" s="678"/>
      <c r="E72" s="678"/>
      <c r="F72" s="678"/>
      <c r="G72" s="694"/>
      <c r="H72" s="1"/>
    </row>
    <row r="73" spans="1:9" customFormat="1" ht="42" customHeight="1">
      <c r="A73" s="3961"/>
      <c r="B73" s="3962"/>
      <c r="C73" s="3962"/>
      <c r="D73" s="3962"/>
      <c r="E73" s="3962"/>
      <c r="F73" s="3962"/>
      <c r="G73" s="3963"/>
      <c r="H73" s="1"/>
    </row>
    <row r="75" spans="1:9" hidden="1">
      <c r="A75" t="s">
        <v>440</v>
      </c>
    </row>
    <row r="76" spans="1:9" hidden="1">
      <c r="A76" t="s">
        <v>441</v>
      </c>
    </row>
  </sheetData>
  <customSheetViews>
    <customSheetView guid="{BCBE45D4-3C45-4659-992E-5C5D3E9FD81C}" scale="90" showGridLines="0" fitToPage="1" hiddenRows="1" hiddenColumns="1">
      <selection activeCell="N58" sqref="N58"/>
      <pageMargins left="0.59055118110236227" right="0.43307086614173229" top="0.6692913385826772" bottom="0.94488188976377963" header="0.51181102362204722" footer="0.39370078740157483"/>
      <printOptions horizontalCentered="1"/>
      <pageSetup paperSize="9" scale="95"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Rows="1" hiddenColumns="1" topLeftCell="A22">
      <selection activeCell="J47" sqref="J47"/>
      <pageMargins left="0.59055118110236227" right="0.43307086614173229" top="0.6692913385826772" bottom="0.94488188976377963" header="0.51181102362204722" footer="0.39370078740157483"/>
      <printOptions horizontalCentered="1"/>
      <pageSetup paperSize="9" scale="95" fitToHeight="999" orientation="portrait" blackAndWhite="1" r:id="rId2"/>
      <headerFooter alignWithMargins="0">
        <oddFooter>&amp;L&amp;8Copyright Crowe Horwath (Aust) Pty Ltd 2016.  All rights reserved.
&amp;Z&amp;F[&amp;A]&amp;R&amp;8&amp;P/&amp;N</oddFooter>
      </headerFooter>
    </customSheetView>
  </customSheetViews>
  <mergeCells count="48">
    <mergeCell ref="A73:G73"/>
    <mergeCell ref="A41:B41"/>
    <mergeCell ref="A43:B43"/>
    <mergeCell ref="A44:B44"/>
    <mergeCell ref="A45:B45"/>
    <mergeCell ref="A52:B52"/>
    <mergeCell ref="C52:D52"/>
    <mergeCell ref="A51:B51"/>
    <mergeCell ref="C51:D51"/>
    <mergeCell ref="C47:D47"/>
    <mergeCell ref="A49:B49"/>
    <mergeCell ref="A50:B50"/>
    <mergeCell ref="C50:D50"/>
    <mergeCell ref="A47:B47"/>
    <mergeCell ref="A48:B48"/>
    <mergeCell ref="A35:B35"/>
    <mergeCell ref="C35:D35"/>
    <mergeCell ref="A34:B34"/>
    <mergeCell ref="C34:D34"/>
    <mergeCell ref="A46:B46"/>
    <mergeCell ref="A38:B38"/>
    <mergeCell ref="C38:D38"/>
    <mergeCell ref="A36:B36"/>
    <mergeCell ref="C36:D36"/>
    <mergeCell ref="A37:B37"/>
    <mergeCell ref="C37:D37"/>
    <mergeCell ref="A39:B39"/>
    <mergeCell ref="A40:B40"/>
    <mergeCell ref="A32:B32"/>
    <mergeCell ref="A30:B30"/>
    <mergeCell ref="A20:E20"/>
    <mergeCell ref="D17:E17"/>
    <mergeCell ref="A18:E18"/>
    <mergeCell ref="A19:E19"/>
    <mergeCell ref="A21:E21"/>
    <mergeCell ref="A22:E22"/>
    <mergeCell ref="A23:E23"/>
    <mergeCell ref="A24:E24"/>
    <mergeCell ref="A25:G27"/>
    <mergeCell ref="A31:B31"/>
    <mergeCell ref="A8:G8"/>
    <mergeCell ref="F9:G9"/>
    <mergeCell ref="A15:B15"/>
    <mergeCell ref="D15:G15"/>
    <mergeCell ref="A17:B17"/>
    <mergeCell ref="A16:B16"/>
    <mergeCell ref="D16:G16"/>
    <mergeCell ref="A13:G13"/>
  </mergeCells>
  <phoneticPr fontId="0" type="noConversion"/>
  <conditionalFormatting sqref="H159">
    <cfRule type="expression" dxfId="29" priority="1" stopIfTrue="1">
      <formula>SUM($159:$159)=0</formula>
    </cfRule>
  </conditionalFormatting>
  <dataValidations count="1">
    <dataValidation type="list" allowBlank="1" showInputMessage="1" showErrorMessage="1" sqref="G21:G24 G18" xr:uid="{00000000-0002-0000-2000-000000000000}">
      <formula1>$A$75:$A$76</formula1>
    </dataValidation>
  </dataValidations>
  <hyperlinks>
    <hyperlink ref="F9" location="WP_Prepayments" display="Back to Workpaper Index" xr:uid="{00000000-0004-0000-2000-000000000000}"/>
    <hyperlink ref="F9:G9" location="WPIndex!A1" display="Back to WP Index" xr:uid="{00000000-0004-0000-2000-000001000000}"/>
  </hyperlinks>
  <printOptions horizontalCentered="1"/>
  <pageMargins left="0.59055118110236227" right="0.43307086614173229" top="0.6692913385826772" bottom="0.94488188976377963" header="0.51181102362204722" footer="0.39370078740157483"/>
  <pageSetup paperSize="9" scale="71" fitToHeight="999" orientation="portrait" r:id="rId3"/>
  <headerFooter alignWithMargins="0">
    <oddFooter>&amp;L&amp;8© Findex (Aust) Pty Ltd.  All rights reserved.&amp;R&amp;8&amp;P/&amp;N</oddFooter>
  </headerFooter>
  <drawing r:id="rId4"/>
  <legacyDrawing r:id="rId5"/>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Creditors_Sheet">
    <tabColor theme="8" tint="0.79998168889431442"/>
    <pageSetUpPr fitToPage="1"/>
  </sheetPr>
  <dimension ref="A1:J65"/>
  <sheetViews>
    <sheetView zoomScaleNormal="100" workbookViewId="0">
      <selection sqref="A1:F1"/>
    </sheetView>
  </sheetViews>
  <sheetFormatPr defaultColWidth="9.140625" defaultRowHeight="12.75"/>
  <cols>
    <col min="1" max="1" width="11.5703125" style="1" customWidth="1"/>
    <col min="2" max="2" width="26.85546875" style="1" customWidth="1"/>
    <col min="3" max="3" width="32.28515625" style="1" customWidth="1"/>
    <col min="4" max="5" width="2" style="14" customWidth="1"/>
    <col min="6" max="6" width="9.28515625" style="14" customWidth="1"/>
    <col min="7" max="7" width="11.7109375" style="14" customWidth="1"/>
    <col min="8" max="8" width="10" style="14" customWidth="1"/>
    <col min="9" max="9" width="11.7109375" style="14" customWidth="1"/>
    <col min="10" max="10" width="8.28515625" style="1" hidden="1" customWidth="1"/>
    <col min="11" max="16384" width="9.140625" style="1"/>
  </cols>
  <sheetData>
    <row r="1" spans="1:10">
      <c r="H1" s="2613" t="s">
        <v>2425</v>
      </c>
      <c r="I1" s="3576" t="s">
        <v>2758</v>
      </c>
    </row>
    <row r="2" spans="1:10" ht="15.75">
      <c r="A2" s="740"/>
      <c r="B2" s="740"/>
      <c r="C2" s="206"/>
      <c r="D2" s="40"/>
      <c r="E2" s="40"/>
      <c r="F2" s="40"/>
      <c r="G2" s="40"/>
      <c r="H2" s="71" t="s">
        <v>2426</v>
      </c>
      <c r="I2" s="2621"/>
    </row>
    <row r="3" spans="1:10" ht="15.75">
      <c r="A3" s="740"/>
      <c r="B3" s="740"/>
      <c r="C3" s="2611"/>
      <c r="D3" s="40"/>
      <c r="E3" s="40"/>
      <c r="F3" s="40"/>
      <c r="G3" s="40"/>
      <c r="H3" s="40"/>
      <c r="I3" s="1"/>
    </row>
    <row r="4" spans="1:10" s="32" customFormat="1">
      <c r="A4" s="206"/>
      <c r="G4" s="11"/>
      <c r="H4" s="2612" t="s">
        <v>1163</v>
      </c>
      <c r="I4" s="709" t="s">
        <v>1262</v>
      </c>
    </row>
    <row r="5" spans="1:10" s="32" customFormat="1" ht="17.25" customHeight="1">
      <c r="A5" s="206"/>
      <c r="G5" s="71" t="s">
        <v>332</v>
      </c>
      <c r="H5" s="2617" t="str">
        <f>IF(PreparedBy="","",PreparedBy)</f>
        <v/>
      </c>
      <c r="I5" s="2618" t="str">
        <f>IF(DatePrepared="","",DatePrepared)</f>
        <v/>
      </c>
    </row>
    <row r="6" spans="1:10" s="32" customFormat="1" ht="17.25" customHeight="1">
      <c r="A6" s="206"/>
      <c r="G6" s="71" t="s">
        <v>333</v>
      </c>
      <c r="H6" s="2619"/>
      <c r="I6" s="2620"/>
    </row>
    <row r="7" spans="1:10" s="32" customFormat="1" ht="15.75">
      <c r="A7" s="206"/>
      <c r="B7" s="43"/>
      <c r="C7" s="43"/>
      <c r="D7" s="43"/>
      <c r="E7" s="43"/>
      <c r="F7" s="43"/>
    </row>
    <row r="8" spans="1:10" ht="15.75">
      <c r="A8" s="630"/>
      <c r="B8" s="631"/>
      <c r="C8" s="1584" t="str">
        <f>WP_Creditors_Summary</f>
        <v>Creditors Summary</v>
      </c>
      <c r="D8" s="631"/>
      <c r="E8" s="631"/>
      <c r="F8" s="631"/>
      <c r="G8" s="631"/>
      <c r="H8" s="631"/>
      <c r="I8" s="632"/>
    </row>
    <row r="9" spans="1:10">
      <c r="G9" s="633"/>
      <c r="H9" s="633"/>
      <c r="I9" s="3248" t="s">
        <v>2526</v>
      </c>
    </row>
    <row r="10" spans="1:10" ht="15.75">
      <c r="A10" s="222" t="str">
        <f>"CLIENT NAME:   "&amp;'WP Index'!E3</f>
        <v>CLIENT NAME:   Example Trust</v>
      </c>
    </row>
    <row r="11" spans="1:10">
      <c r="A11" s="9" t="str">
        <f>"CLIENT CODE:   "&amp;'WP Index'!E4</f>
        <v>CLIENT CODE:   99999</v>
      </c>
      <c r="G11" s="47"/>
      <c r="H11" s="47" t="s">
        <v>951</v>
      </c>
      <c r="I11" s="47">
        <f>'WP Index'!G5</f>
        <v>45473</v>
      </c>
    </row>
    <row r="12" spans="1:10">
      <c r="A12" s="37"/>
    </row>
    <row r="13" spans="1:10">
      <c r="A13" s="3" t="s">
        <v>552</v>
      </c>
      <c r="B13" s="3" t="s">
        <v>989</v>
      </c>
      <c r="C13" s="3" t="s">
        <v>1458</v>
      </c>
      <c r="F13" s="177" t="s">
        <v>1099</v>
      </c>
      <c r="G13" s="177" t="s">
        <v>1109</v>
      </c>
      <c r="H13" s="629"/>
      <c r="I13" s="159" t="str">
        <f>IF('Input Info'!GST_Entity="YES","GST Inc","Amount")</f>
        <v>GST Inc</v>
      </c>
      <c r="J13" s="6" t="s">
        <v>1286</v>
      </c>
    </row>
    <row r="14" spans="1:10">
      <c r="A14" s="2700"/>
      <c r="B14" s="2700"/>
      <c r="C14" s="2700"/>
      <c r="F14" s="362">
        <f>ROUND(I14/11,2)</f>
        <v>0</v>
      </c>
      <c r="G14" s="362">
        <f t="shared" ref="G14:G42" si="0">I14-F14</f>
        <v>0</v>
      </c>
      <c r="H14" s="362"/>
      <c r="I14" s="2678"/>
    </row>
    <row r="15" spans="1:10">
      <c r="A15" s="2701"/>
      <c r="B15" s="2701"/>
      <c r="C15" s="2701"/>
      <c r="F15" s="362">
        <f t="shared" ref="F15:F42" si="1">ROUND(I15/11,2)</f>
        <v>0</v>
      </c>
      <c r="G15" s="362">
        <f t="shared" si="0"/>
        <v>0</v>
      </c>
      <c r="H15" s="362"/>
      <c r="I15" s="2680"/>
    </row>
    <row r="16" spans="1:10">
      <c r="A16" s="2701"/>
      <c r="B16" s="2701"/>
      <c r="C16" s="2701"/>
      <c r="F16" s="362">
        <f t="shared" si="1"/>
        <v>0</v>
      </c>
      <c r="G16" s="362">
        <f t="shared" si="0"/>
        <v>0</v>
      </c>
      <c r="H16" s="362"/>
      <c r="I16" s="2680"/>
    </row>
    <row r="17" spans="1:9">
      <c r="A17" s="2701"/>
      <c r="B17" s="2701"/>
      <c r="C17" s="2701"/>
      <c r="F17" s="362">
        <f t="shared" si="1"/>
        <v>0</v>
      </c>
      <c r="G17" s="362">
        <f t="shared" si="0"/>
        <v>0</v>
      </c>
      <c r="H17" s="362"/>
      <c r="I17" s="2680"/>
    </row>
    <row r="18" spans="1:9">
      <c r="A18" s="2701"/>
      <c r="B18" s="2701"/>
      <c r="C18" s="2701"/>
      <c r="F18" s="362">
        <f t="shared" si="1"/>
        <v>0</v>
      </c>
      <c r="G18" s="362">
        <f t="shared" si="0"/>
        <v>0</v>
      </c>
      <c r="H18" s="362"/>
      <c r="I18" s="2680"/>
    </row>
    <row r="19" spans="1:9">
      <c r="A19" s="2701"/>
      <c r="B19" s="2701"/>
      <c r="C19" s="2701"/>
      <c r="F19" s="362">
        <f t="shared" si="1"/>
        <v>0</v>
      </c>
      <c r="G19" s="362">
        <f t="shared" si="0"/>
        <v>0</v>
      </c>
      <c r="H19" s="362"/>
      <c r="I19" s="2680"/>
    </row>
    <row r="20" spans="1:9">
      <c r="A20" s="2701"/>
      <c r="B20" s="2701"/>
      <c r="C20" s="2701"/>
      <c r="F20" s="362">
        <f t="shared" si="1"/>
        <v>0</v>
      </c>
      <c r="G20" s="362">
        <f t="shared" si="0"/>
        <v>0</v>
      </c>
      <c r="H20" s="362"/>
      <c r="I20" s="2680"/>
    </row>
    <row r="21" spans="1:9">
      <c r="A21" s="2701"/>
      <c r="B21" s="2701"/>
      <c r="C21" s="2701"/>
      <c r="F21" s="362">
        <f t="shared" si="1"/>
        <v>0</v>
      </c>
      <c r="G21" s="362">
        <f t="shared" si="0"/>
        <v>0</v>
      </c>
      <c r="H21" s="362"/>
      <c r="I21" s="2680"/>
    </row>
    <row r="22" spans="1:9">
      <c r="A22" s="2701"/>
      <c r="B22" s="2701"/>
      <c r="C22" s="2701"/>
      <c r="F22" s="362">
        <f t="shared" si="1"/>
        <v>0</v>
      </c>
      <c r="G22" s="362">
        <f t="shared" si="0"/>
        <v>0</v>
      </c>
      <c r="H22" s="362"/>
      <c r="I22" s="2680"/>
    </row>
    <row r="23" spans="1:9">
      <c r="A23" s="2701"/>
      <c r="B23" s="2701"/>
      <c r="C23" s="2701"/>
      <c r="F23" s="362">
        <f t="shared" si="1"/>
        <v>0</v>
      </c>
      <c r="G23" s="362">
        <f t="shared" si="0"/>
        <v>0</v>
      </c>
      <c r="H23" s="362"/>
      <c r="I23" s="2680"/>
    </row>
    <row r="24" spans="1:9">
      <c r="A24" s="2701"/>
      <c r="B24" s="2701"/>
      <c r="C24" s="2701"/>
      <c r="F24" s="362">
        <f t="shared" si="1"/>
        <v>0</v>
      </c>
      <c r="G24" s="362">
        <f t="shared" si="0"/>
        <v>0</v>
      </c>
      <c r="H24" s="362"/>
      <c r="I24" s="2680"/>
    </row>
    <row r="25" spans="1:9">
      <c r="A25" s="2701"/>
      <c r="B25" s="2701"/>
      <c r="C25" s="2701"/>
      <c r="F25" s="362">
        <f t="shared" si="1"/>
        <v>0</v>
      </c>
      <c r="G25" s="362">
        <f t="shared" si="0"/>
        <v>0</v>
      </c>
      <c r="H25" s="362"/>
      <c r="I25" s="2680"/>
    </row>
    <row r="26" spans="1:9">
      <c r="A26" s="2701"/>
      <c r="B26" s="2701"/>
      <c r="C26" s="2701"/>
      <c r="F26" s="362">
        <f t="shared" si="1"/>
        <v>0</v>
      </c>
      <c r="G26" s="362">
        <f t="shared" si="0"/>
        <v>0</v>
      </c>
      <c r="H26" s="362"/>
      <c r="I26" s="2680"/>
    </row>
    <row r="27" spans="1:9">
      <c r="A27" s="2701"/>
      <c r="B27" s="2701"/>
      <c r="C27" s="2701"/>
      <c r="F27" s="362">
        <f t="shared" si="1"/>
        <v>0</v>
      </c>
      <c r="G27" s="362">
        <f t="shared" si="0"/>
        <v>0</v>
      </c>
      <c r="H27" s="362"/>
      <c r="I27" s="2680"/>
    </row>
    <row r="28" spans="1:9">
      <c r="A28" s="2701"/>
      <c r="B28" s="2701"/>
      <c r="C28" s="2701"/>
      <c r="F28" s="362">
        <f t="shared" si="1"/>
        <v>0</v>
      </c>
      <c r="G28" s="362">
        <f t="shared" si="0"/>
        <v>0</v>
      </c>
      <c r="H28" s="362"/>
      <c r="I28" s="2680"/>
    </row>
    <row r="29" spans="1:9">
      <c r="A29" s="2701"/>
      <c r="B29" s="2701"/>
      <c r="C29" s="2701"/>
      <c r="F29" s="362">
        <f t="shared" si="1"/>
        <v>0</v>
      </c>
      <c r="G29" s="362">
        <f t="shared" si="0"/>
        <v>0</v>
      </c>
      <c r="H29" s="362"/>
      <c r="I29" s="2680"/>
    </row>
    <row r="30" spans="1:9">
      <c r="A30" s="2701"/>
      <c r="B30" s="2701"/>
      <c r="C30" s="2701"/>
      <c r="F30" s="362">
        <f t="shared" si="1"/>
        <v>0</v>
      </c>
      <c r="G30" s="362">
        <f t="shared" si="0"/>
        <v>0</v>
      </c>
      <c r="H30" s="362"/>
      <c r="I30" s="2680"/>
    </row>
    <row r="31" spans="1:9">
      <c r="A31" s="2701"/>
      <c r="B31" s="2701"/>
      <c r="C31" s="2701"/>
      <c r="F31" s="362">
        <f t="shared" si="1"/>
        <v>0</v>
      </c>
      <c r="G31" s="362">
        <f t="shared" si="0"/>
        <v>0</v>
      </c>
      <c r="H31" s="362"/>
      <c r="I31" s="2680"/>
    </row>
    <row r="32" spans="1:9">
      <c r="A32" s="2701"/>
      <c r="B32" s="2701"/>
      <c r="C32" s="2701"/>
      <c r="F32" s="362">
        <f t="shared" si="1"/>
        <v>0</v>
      </c>
      <c r="G32" s="362">
        <f t="shared" si="0"/>
        <v>0</v>
      </c>
      <c r="H32" s="362"/>
      <c r="I32" s="2680"/>
    </row>
    <row r="33" spans="1:9">
      <c r="A33" s="2701"/>
      <c r="B33" s="2701"/>
      <c r="C33" s="2701"/>
      <c r="F33" s="362">
        <f t="shared" si="1"/>
        <v>0</v>
      </c>
      <c r="G33" s="362">
        <f t="shared" si="0"/>
        <v>0</v>
      </c>
      <c r="H33" s="362"/>
      <c r="I33" s="2680"/>
    </row>
    <row r="34" spans="1:9">
      <c r="A34" s="2701"/>
      <c r="B34" s="2701"/>
      <c r="C34" s="2701"/>
      <c r="F34" s="362">
        <f t="shared" si="1"/>
        <v>0</v>
      </c>
      <c r="G34" s="362">
        <f t="shared" si="0"/>
        <v>0</v>
      </c>
      <c r="H34" s="362"/>
      <c r="I34" s="2680"/>
    </row>
    <row r="35" spans="1:9">
      <c r="A35" s="2701"/>
      <c r="B35" s="2701"/>
      <c r="C35" s="2701"/>
      <c r="F35" s="362">
        <f t="shared" si="1"/>
        <v>0</v>
      </c>
      <c r="G35" s="362">
        <f t="shared" si="0"/>
        <v>0</v>
      </c>
      <c r="H35" s="362"/>
      <c r="I35" s="2680"/>
    </row>
    <row r="36" spans="1:9">
      <c r="A36" s="2701"/>
      <c r="B36" s="2701"/>
      <c r="C36" s="2701"/>
      <c r="F36" s="362">
        <f t="shared" si="1"/>
        <v>0</v>
      </c>
      <c r="G36" s="362">
        <f t="shared" si="0"/>
        <v>0</v>
      </c>
      <c r="H36" s="362"/>
      <c r="I36" s="2680"/>
    </row>
    <row r="37" spans="1:9">
      <c r="A37" s="2701"/>
      <c r="B37" s="2701"/>
      <c r="C37" s="2701"/>
      <c r="F37" s="362">
        <f t="shared" si="1"/>
        <v>0</v>
      </c>
      <c r="G37" s="362">
        <f t="shared" si="0"/>
        <v>0</v>
      </c>
      <c r="H37" s="362"/>
      <c r="I37" s="2680"/>
    </row>
    <row r="38" spans="1:9" hidden="1">
      <c r="A38" s="2109"/>
      <c r="B38" s="2109"/>
      <c r="C38" s="2109"/>
      <c r="F38" s="362">
        <f t="shared" si="1"/>
        <v>0</v>
      </c>
      <c r="G38" s="362">
        <f t="shared" si="0"/>
        <v>0</v>
      </c>
      <c r="H38" s="362"/>
      <c r="I38" s="2111"/>
    </row>
    <row r="39" spans="1:9" hidden="1">
      <c r="A39" s="2109"/>
      <c r="B39" s="2109"/>
      <c r="C39" s="2109"/>
      <c r="F39" s="362">
        <f t="shared" si="1"/>
        <v>0</v>
      </c>
      <c r="G39" s="362">
        <f t="shared" si="0"/>
        <v>0</v>
      </c>
      <c r="H39" s="362"/>
      <c r="I39" s="2111"/>
    </row>
    <row r="40" spans="1:9" hidden="1">
      <c r="A40" s="2109"/>
      <c r="B40" s="2109"/>
      <c r="C40" s="2109"/>
      <c r="F40" s="362">
        <f t="shared" si="1"/>
        <v>0</v>
      </c>
      <c r="G40" s="362">
        <f t="shared" si="0"/>
        <v>0</v>
      </c>
      <c r="H40" s="362"/>
      <c r="I40" s="2111"/>
    </row>
    <row r="41" spans="1:9" hidden="1">
      <c r="A41" s="2109"/>
      <c r="B41" s="2109"/>
      <c r="C41" s="2109"/>
      <c r="F41" s="362">
        <f t="shared" si="1"/>
        <v>0</v>
      </c>
      <c r="G41" s="362">
        <f t="shared" si="0"/>
        <v>0</v>
      </c>
      <c r="H41" s="362"/>
      <c r="I41" s="2111"/>
    </row>
    <row r="42" spans="1:9" hidden="1">
      <c r="A42" s="2110"/>
      <c r="B42" s="2110"/>
      <c r="C42" s="2110"/>
      <c r="F42" s="362">
        <f t="shared" si="1"/>
        <v>0</v>
      </c>
      <c r="G42" s="362">
        <f t="shared" si="0"/>
        <v>0</v>
      </c>
      <c r="H42" s="362"/>
      <c r="I42" s="2112"/>
    </row>
    <row r="43" spans="1:9" ht="13.5" thickBot="1">
      <c r="F43" s="358">
        <f>SUM(F14:F42)</f>
        <v>0</v>
      </c>
      <c r="G43" s="358">
        <f>SUM(G14:G42)</f>
        <v>0</v>
      </c>
      <c r="H43" s="357"/>
      <c r="I43" s="358">
        <f>SUM(I14:I42)</f>
        <v>0</v>
      </c>
    </row>
    <row r="44" spans="1:9" ht="13.5" thickTop="1"/>
    <row r="45" spans="1:9">
      <c r="A45" s="634"/>
      <c r="B45" s="635"/>
      <c r="C45" s="166" t="s">
        <v>990</v>
      </c>
      <c r="D45" s="635"/>
      <c r="E45" s="635"/>
      <c r="F45" s="635"/>
      <c r="G45" s="635"/>
      <c r="H45" s="635"/>
      <c r="I45" s="636"/>
    </row>
    <row r="46" spans="1:9">
      <c r="A46" s="11"/>
      <c r="B46" s="11"/>
      <c r="C46" s="11"/>
      <c r="D46" s="11"/>
      <c r="E46" s="1838"/>
      <c r="F46" s="11"/>
      <c r="G46" s="11"/>
      <c r="H46" s="11"/>
      <c r="I46" s="11"/>
    </row>
    <row r="47" spans="1:9">
      <c r="A47" s="3" t="s">
        <v>552</v>
      </c>
      <c r="B47" s="6"/>
      <c r="C47" s="6"/>
      <c r="F47" s="637" t="s">
        <v>1099</v>
      </c>
      <c r="G47" s="637" t="s">
        <v>1109</v>
      </c>
      <c r="H47" s="363"/>
      <c r="I47" s="159" t="str">
        <f>IF('Input Info'!GST_Entity="YES","GST Inc","Amount")</f>
        <v>GST Inc</v>
      </c>
    </row>
    <row r="48" spans="1:9">
      <c r="A48" s="2700"/>
      <c r="B48" s="13" t="str">
        <f>IF(ISNA(VLOOKUP(A48,$A$14:$B$42,2,FALSE)),"",VLOOKUP(A48,$A$14:$B$42,2,FALSE))</f>
        <v/>
      </c>
      <c r="C48" s="13"/>
      <c r="F48" s="362">
        <f>SUMIF($A$14:$A$42,A48,F$14:F$42)</f>
        <v>0</v>
      </c>
      <c r="G48" s="362">
        <f t="shared" ref="G48:G63" si="2">SUMIF($A$14:$A$42,A48,G$14:G$42)</f>
        <v>0</v>
      </c>
      <c r="H48" s="362"/>
      <c r="I48" s="362">
        <f t="shared" ref="I48:I63" si="3">SUMIF($A$14:$A$42,A48,I$14:I$42)</f>
        <v>0</v>
      </c>
    </row>
    <row r="49" spans="1:9">
      <c r="A49" s="2701"/>
      <c r="B49" s="13" t="str">
        <f t="shared" ref="B49:B63" si="4">IF(ISNA(VLOOKUP(A49,$A$14:$B$42,2,FALSE)),"",VLOOKUP(A49,$A$14:$B$42,2,FALSE))</f>
        <v/>
      </c>
      <c r="C49" s="13"/>
      <c r="F49" s="362">
        <f t="shared" ref="F49:F63" si="5">SUMIF($A$14:$A$42,A49,F$14:F$42)</f>
        <v>0</v>
      </c>
      <c r="G49" s="362">
        <f t="shared" si="2"/>
        <v>0</v>
      </c>
      <c r="H49" s="362"/>
      <c r="I49" s="362">
        <f t="shared" si="3"/>
        <v>0</v>
      </c>
    </row>
    <row r="50" spans="1:9">
      <c r="A50" s="2701"/>
      <c r="B50" s="13" t="str">
        <f t="shared" si="4"/>
        <v/>
      </c>
      <c r="C50" s="13"/>
      <c r="F50" s="362">
        <f t="shared" si="5"/>
        <v>0</v>
      </c>
      <c r="G50" s="362">
        <f t="shared" si="2"/>
        <v>0</v>
      </c>
      <c r="H50" s="362"/>
      <c r="I50" s="362">
        <f t="shared" si="3"/>
        <v>0</v>
      </c>
    </row>
    <row r="51" spans="1:9">
      <c r="A51" s="2701"/>
      <c r="B51" s="13" t="str">
        <f t="shared" si="4"/>
        <v/>
      </c>
      <c r="C51" s="13"/>
      <c r="F51" s="362">
        <f t="shared" si="5"/>
        <v>0</v>
      </c>
      <c r="G51" s="362">
        <f t="shared" si="2"/>
        <v>0</v>
      </c>
      <c r="H51" s="362"/>
      <c r="I51" s="362">
        <f t="shared" si="3"/>
        <v>0</v>
      </c>
    </row>
    <row r="52" spans="1:9">
      <c r="A52" s="2701"/>
      <c r="B52" s="13" t="str">
        <f t="shared" si="4"/>
        <v/>
      </c>
      <c r="C52" s="13"/>
      <c r="F52" s="362">
        <f t="shared" si="5"/>
        <v>0</v>
      </c>
      <c r="G52" s="362">
        <f t="shared" si="2"/>
        <v>0</v>
      </c>
      <c r="H52" s="362"/>
      <c r="I52" s="362">
        <f t="shared" si="3"/>
        <v>0</v>
      </c>
    </row>
    <row r="53" spans="1:9">
      <c r="A53" s="2701"/>
      <c r="B53" s="13" t="str">
        <f t="shared" si="4"/>
        <v/>
      </c>
      <c r="C53" s="13"/>
      <c r="F53" s="362">
        <f t="shared" si="5"/>
        <v>0</v>
      </c>
      <c r="G53" s="362">
        <f t="shared" si="2"/>
        <v>0</v>
      </c>
      <c r="H53" s="362"/>
      <c r="I53" s="362">
        <f t="shared" si="3"/>
        <v>0</v>
      </c>
    </row>
    <row r="54" spans="1:9">
      <c r="A54" s="2701"/>
      <c r="B54" s="13" t="str">
        <f t="shared" si="4"/>
        <v/>
      </c>
      <c r="C54" s="13"/>
      <c r="F54" s="362">
        <f t="shared" si="5"/>
        <v>0</v>
      </c>
      <c r="G54" s="362">
        <f t="shared" si="2"/>
        <v>0</v>
      </c>
      <c r="H54" s="362"/>
      <c r="I54" s="362">
        <f t="shared" si="3"/>
        <v>0</v>
      </c>
    </row>
    <row r="55" spans="1:9">
      <c r="A55" s="2701"/>
      <c r="B55" s="13" t="str">
        <f t="shared" si="4"/>
        <v/>
      </c>
      <c r="C55" s="13"/>
      <c r="F55" s="362">
        <f t="shared" si="5"/>
        <v>0</v>
      </c>
      <c r="G55" s="362">
        <f t="shared" si="2"/>
        <v>0</v>
      </c>
      <c r="H55" s="362"/>
      <c r="I55" s="362">
        <f t="shared" si="3"/>
        <v>0</v>
      </c>
    </row>
    <row r="56" spans="1:9">
      <c r="A56" s="2701"/>
      <c r="B56" s="13" t="str">
        <f t="shared" si="4"/>
        <v/>
      </c>
      <c r="C56" s="13"/>
      <c r="F56" s="362">
        <f t="shared" si="5"/>
        <v>0</v>
      </c>
      <c r="G56" s="362">
        <f t="shared" si="2"/>
        <v>0</v>
      </c>
      <c r="H56" s="362"/>
      <c r="I56" s="362">
        <f t="shared" si="3"/>
        <v>0</v>
      </c>
    </row>
    <row r="57" spans="1:9">
      <c r="A57" s="2701"/>
      <c r="B57" s="13" t="str">
        <f t="shared" si="4"/>
        <v/>
      </c>
      <c r="C57" s="13"/>
      <c r="F57" s="362">
        <f t="shared" si="5"/>
        <v>0</v>
      </c>
      <c r="G57" s="362">
        <f t="shared" si="2"/>
        <v>0</v>
      </c>
      <c r="H57" s="362"/>
      <c r="I57" s="362">
        <f t="shared" si="3"/>
        <v>0</v>
      </c>
    </row>
    <row r="58" spans="1:9">
      <c r="A58" s="2701"/>
      <c r="B58" s="13" t="str">
        <f t="shared" si="4"/>
        <v/>
      </c>
      <c r="C58" s="13"/>
      <c r="F58" s="362">
        <f t="shared" si="5"/>
        <v>0</v>
      </c>
      <c r="G58" s="362">
        <f t="shared" si="2"/>
        <v>0</v>
      </c>
      <c r="H58" s="362"/>
      <c r="I58" s="362">
        <f t="shared" si="3"/>
        <v>0</v>
      </c>
    </row>
    <row r="59" spans="1:9">
      <c r="A59" s="2701"/>
      <c r="B59" s="13" t="str">
        <f t="shared" si="4"/>
        <v/>
      </c>
      <c r="C59" s="13"/>
      <c r="F59" s="362">
        <f t="shared" si="5"/>
        <v>0</v>
      </c>
      <c r="G59" s="362">
        <f t="shared" si="2"/>
        <v>0</v>
      </c>
      <c r="H59" s="362"/>
      <c r="I59" s="362">
        <f t="shared" si="3"/>
        <v>0</v>
      </c>
    </row>
    <row r="60" spans="1:9">
      <c r="A60" s="2701"/>
      <c r="B60" s="13" t="str">
        <f t="shared" si="4"/>
        <v/>
      </c>
      <c r="C60" s="13"/>
      <c r="F60" s="362">
        <f t="shared" si="5"/>
        <v>0</v>
      </c>
      <c r="G60" s="362">
        <f t="shared" si="2"/>
        <v>0</v>
      </c>
      <c r="H60" s="362"/>
      <c r="I60" s="362">
        <f t="shared" si="3"/>
        <v>0</v>
      </c>
    </row>
    <row r="61" spans="1:9">
      <c r="A61" s="2701"/>
      <c r="B61" s="13" t="str">
        <f t="shared" si="4"/>
        <v/>
      </c>
      <c r="C61" s="13"/>
      <c r="F61" s="362">
        <f t="shared" si="5"/>
        <v>0</v>
      </c>
      <c r="G61" s="362">
        <f t="shared" si="2"/>
        <v>0</v>
      </c>
      <c r="H61" s="362"/>
      <c r="I61" s="362">
        <f t="shared" si="3"/>
        <v>0</v>
      </c>
    </row>
    <row r="62" spans="1:9">
      <c r="A62" s="2701"/>
      <c r="B62" s="13" t="str">
        <f t="shared" si="4"/>
        <v/>
      </c>
      <c r="C62" s="13"/>
      <c r="F62" s="362">
        <f t="shared" si="5"/>
        <v>0</v>
      </c>
      <c r="G62" s="362">
        <f t="shared" si="2"/>
        <v>0</v>
      </c>
      <c r="H62" s="362"/>
      <c r="I62" s="362">
        <f t="shared" si="3"/>
        <v>0</v>
      </c>
    </row>
    <row r="63" spans="1:9">
      <c r="A63" s="2942"/>
      <c r="B63" s="13" t="str">
        <f t="shared" si="4"/>
        <v/>
      </c>
      <c r="C63" s="13"/>
      <c r="F63" s="362">
        <f t="shared" si="5"/>
        <v>0</v>
      </c>
      <c r="G63" s="362">
        <f t="shared" si="2"/>
        <v>0</v>
      </c>
      <c r="H63" s="362"/>
      <c r="I63" s="362">
        <f t="shared" si="3"/>
        <v>0</v>
      </c>
    </row>
    <row r="64" spans="1:9" ht="13.5" thickBot="1">
      <c r="B64" s="39"/>
      <c r="C64" s="39"/>
      <c r="F64" s="358">
        <f>SUM(F48:F63)</f>
        <v>0</v>
      </c>
      <c r="G64" s="358">
        <f>SUM(G48:G63)</f>
        <v>0</v>
      </c>
      <c r="H64" s="357"/>
      <c r="I64" s="358">
        <f>SUM(I48:I63)</f>
        <v>0</v>
      </c>
    </row>
    <row r="65" ht="13.5" thickTop="1"/>
  </sheetData>
  <customSheetViews>
    <customSheetView guid="{BCBE45D4-3C45-4659-992E-5C5D3E9FD81C}" fitToPage="1" hiddenColumns="1">
      <selection activeCell="N30" sqref="N30"/>
      <pageMargins left="0.59055118110236227" right="0.43307086614173229" top="0.6692913385826772" bottom="0.94488188976377963" header="0.51181102362204722" footer="0.39370078740157483"/>
      <printOptions horizontalCentered="1"/>
      <pageSetup paperSize="9" scale="81"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O8" sqref="O8"/>
      <pageMargins left="0.59055118110236227" right="0.43307086614173229" top="0.6692913385826772" bottom="0.94488188976377963" header="0.51181102362204722" footer="0.39370078740157483"/>
      <printOptions horizontalCentered="1"/>
      <pageSetup paperSize="9" scale="81" fitToHeight="999" orientation="portrait" blackAndWhite="1" r:id="rId2"/>
      <headerFooter alignWithMargins="0">
        <oddFooter>&amp;L&amp;8Copyright Crowe Horwath (Aust) Pty Ltd 2016.  All rights reserved.
&amp;Z&amp;F[&amp;A]&amp;R&amp;8&amp;P/&amp;N</oddFooter>
      </headerFooter>
    </customSheetView>
  </customSheetViews>
  <phoneticPr fontId="26" type="noConversion"/>
  <hyperlinks>
    <hyperlink ref="I9" location="'WPIndex'!A1" display="Back to Workpaper Index" xr:uid="{3BD413B7-1ABF-4B1A-93D7-5302B2F6A3BF}"/>
  </hyperlinks>
  <printOptions horizontalCentered="1"/>
  <pageMargins left="0.59055118110236227" right="0.43307086614173229" top="0.6692913385826772" bottom="0.94488188976377963" header="0.51181102362204722" footer="0.39370078740157483"/>
  <pageSetup paperSize="9" scale="78" orientation="portrait" r:id="rId3"/>
  <headerFooter alignWithMargins="0">
    <oddFooter>&amp;L&amp;8© Findex (Aust) Pty Ltd.  All rights reserved.&amp;R&amp;8&amp;P/&amp;N</oddFooter>
  </headerFooter>
  <drawing r:id="rId4"/>
  <legacyDrawing r:id="rId5"/>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AWB_Loans_Sheet">
    <tabColor theme="8" tint="0.79998168889431442"/>
  </sheetPr>
  <dimension ref="A1:I60"/>
  <sheetViews>
    <sheetView zoomScaleNormal="100" workbookViewId="0">
      <selection sqref="A1:F1"/>
    </sheetView>
  </sheetViews>
  <sheetFormatPr defaultColWidth="9.140625" defaultRowHeight="12.75"/>
  <cols>
    <col min="1" max="1" width="11.28515625" style="1" customWidth="1"/>
    <col min="2" max="2" width="7.85546875" style="1" customWidth="1"/>
    <col min="3" max="3" width="13.85546875" style="1" customWidth="1"/>
    <col min="4" max="4" width="12.28515625" style="1" bestFit="1" customWidth="1"/>
    <col min="5" max="5" width="14" style="1" bestFit="1" customWidth="1"/>
    <col min="6" max="6" width="11" style="1" customWidth="1"/>
    <col min="7" max="8" width="13.85546875" style="1" customWidth="1"/>
    <col min="9" max="9" width="8.28515625" style="1" hidden="1" customWidth="1"/>
    <col min="10" max="16384" width="9.140625" style="1"/>
  </cols>
  <sheetData>
    <row r="1" spans="1:9">
      <c r="G1" s="2613" t="s">
        <v>2425</v>
      </c>
      <c r="H1" s="3576" t="s">
        <v>2758</v>
      </c>
    </row>
    <row r="2" spans="1:9" ht="15.75">
      <c r="A2" s="740"/>
      <c r="B2" s="740"/>
      <c r="C2" s="40"/>
      <c r="D2" s="40"/>
      <c r="E2" s="40"/>
      <c r="F2" s="40"/>
      <c r="G2" s="71" t="s">
        <v>2426</v>
      </c>
      <c r="H2" s="2621"/>
    </row>
    <row r="3" spans="1:9" ht="15.75">
      <c r="A3" s="740"/>
      <c r="B3" s="740"/>
      <c r="C3" s="40"/>
      <c r="D3" s="40"/>
      <c r="E3" s="40"/>
      <c r="F3" s="40"/>
      <c r="G3" s="40"/>
    </row>
    <row r="4" spans="1:9" s="32" customFormat="1">
      <c r="A4" s="206"/>
      <c r="F4" s="11"/>
      <c r="G4" s="2612" t="s">
        <v>1163</v>
      </c>
      <c r="H4" s="709" t="s">
        <v>1262</v>
      </c>
    </row>
    <row r="5" spans="1:9" s="32" customFormat="1" ht="17.25" customHeight="1">
      <c r="A5" s="206"/>
      <c r="F5" s="71" t="s">
        <v>332</v>
      </c>
      <c r="G5" s="2617" t="str">
        <f>IF(PreparedBy="","",PreparedBy)</f>
        <v/>
      </c>
      <c r="H5" s="2618" t="str">
        <f>IF(DatePrepared="","",DatePrepared)</f>
        <v/>
      </c>
    </row>
    <row r="6" spans="1:9" s="32" customFormat="1" ht="17.25" customHeight="1">
      <c r="A6" s="206"/>
      <c r="F6" s="71" t="s">
        <v>333</v>
      </c>
      <c r="G6" s="2619"/>
      <c r="H6" s="2620"/>
    </row>
    <row r="7" spans="1:9" s="32" customFormat="1" ht="3.95" customHeight="1">
      <c r="A7" s="206"/>
      <c r="B7" s="43"/>
      <c r="C7" s="43"/>
      <c r="D7" s="43"/>
      <c r="E7" s="43"/>
    </row>
    <row r="8" spans="1:9" ht="15.75">
      <c r="A8" s="3704" t="str">
        <f>WP_AWB_Loan</f>
        <v>AWB Loan</v>
      </c>
      <c r="B8" s="3705"/>
      <c r="C8" s="3705"/>
      <c r="D8" s="3705"/>
      <c r="E8" s="3705"/>
      <c r="F8" s="3705"/>
      <c r="G8" s="3705"/>
      <c r="H8" s="3706"/>
    </row>
    <row r="9" spans="1:9">
      <c r="A9" s="8"/>
      <c r="B9" s="8"/>
      <c r="C9" s="8"/>
      <c r="D9" s="8"/>
      <c r="E9" s="8"/>
      <c r="F9" s="8"/>
      <c r="G9" s="3832" t="s">
        <v>2526</v>
      </c>
      <c r="H9" s="3832"/>
    </row>
    <row r="10" spans="1:9" ht="15.75">
      <c r="A10" s="222" t="str">
        <f>"CLIENT NAME:   "&amp;'WP Index'!E3</f>
        <v>CLIENT NAME:   Example Trust</v>
      </c>
      <c r="B10" s="8"/>
      <c r="C10" s="8"/>
      <c r="D10" s="8"/>
      <c r="E10" s="8"/>
      <c r="F10" s="8"/>
    </row>
    <row r="11" spans="1:9">
      <c r="A11" s="9" t="str">
        <f>"CLIENT CODE:   "&amp;'WP Index'!E4</f>
        <v>CLIENT CODE:   99999</v>
      </c>
      <c r="B11" s="8"/>
      <c r="C11" s="8"/>
      <c r="D11" s="8"/>
      <c r="E11" s="8"/>
      <c r="F11" s="8"/>
      <c r="G11" s="47" t="s">
        <v>951</v>
      </c>
      <c r="H11" s="47">
        <f>'WP Index'!G5</f>
        <v>45473</v>
      </c>
    </row>
    <row r="12" spans="1:9">
      <c r="A12" s="8"/>
      <c r="B12" s="8"/>
      <c r="C12" s="8"/>
      <c r="D12" s="8"/>
      <c r="E12" s="8"/>
      <c r="F12" s="8"/>
      <c r="G12" s="8"/>
      <c r="H12" s="8"/>
    </row>
    <row r="13" spans="1:9">
      <c r="A13" s="54" t="s">
        <v>949</v>
      </c>
      <c r="B13" s="54"/>
      <c r="C13" s="71" t="s">
        <v>966</v>
      </c>
      <c r="D13" s="54"/>
      <c r="E13" s="11" t="s">
        <v>1161</v>
      </c>
      <c r="F13" s="54"/>
      <c r="G13" s="179" t="s">
        <v>966</v>
      </c>
      <c r="H13" s="8"/>
      <c r="I13" s="6" t="s">
        <v>1286</v>
      </c>
    </row>
    <row r="14" spans="1:9">
      <c r="A14" s="1675"/>
      <c r="B14" s="54"/>
      <c r="C14" s="71" t="s">
        <v>1090</v>
      </c>
      <c r="D14" s="54"/>
      <c r="E14" s="11" t="s">
        <v>1162</v>
      </c>
      <c r="F14" s="54"/>
      <c r="G14" s="71" t="s">
        <v>1089</v>
      </c>
      <c r="H14" s="8"/>
    </row>
    <row r="15" spans="1:9">
      <c r="A15" s="2943"/>
      <c r="B15" s="8"/>
      <c r="C15" s="2946"/>
      <c r="D15" s="356"/>
      <c r="E15" s="356">
        <f>G15-C15</f>
        <v>0</v>
      </c>
      <c r="F15" s="356"/>
      <c r="G15" s="2949"/>
      <c r="H15" s="8"/>
    </row>
    <row r="16" spans="1:9">
      <c r="A16" s="2944"/>
      <c r="B16" s="8"/>
      <c r="C16" s="2947"/>
      <c r="D16" s="356"/>
      <c r="E16" s="356">
        <f t="shared" ref="E16:E23" si="0">G16-C16</f>
        <v>0</v>
      </c>
      <c r="F16" s="356"/>
      <c r="G16" s="2950"/>
      <c r="H16" s="8"/>
    </row>
    <row r="17" spans="1:8">
      <c r="A17" s="2944"/>
      <c r="B17" s="8"/>
      <c r="C17" s="2947"/>
      <c r="D17" s="356"/>
      <c r="E17" s="356">
        <f t="shared" si="0"/>
        <v>0</v>
      </c>
      <c r="F17" s="356"/>
      <c r="G17" s="2950"/>
      <c r="H17" s="8"/>
    </row>
    <row r="18" spans="1:8">
      <c r="A18" s="2944"/>
      <c r="B18" s="8"/>
      <c r="C18" s="2947"/>
      <c r="D18" s="356"/>
      <c r="E18" s="356">
        <f t="shared" si="0"/>
        <v>0</v>
      </c>
      <c r="F18" s="356"/>
      <c r="G18" s="2950"/>
      <c r="H18" s="8"/>
    </row>
    <row r="19" spans="1:8">
      <c r="A19" s="2944"/>
      <c r="B19" s="8"/>
      <c r="C19" s="2947"/>
      <c r="D19" s="356"/>
      <c r="E19" s="356">
        <f t="shared" si="0"/>
        <v>0</v>
      </c>
      <c r="F19" s="356"/>
      <c r="G19" s="2950"/>
      <c r="H19" s="8"/>
    </row>
    <row r="20" spans="1:8">
      <c r="A20" s="2944"/>
      <c r="B20" s="8"/>
      <c r="C20" s="2947"/>
      <c r="D20" s="356"/>
      <c r="E20" s="356">
        <f t="shared" si="0"/>
        <v>0</v>
      </c>
      <c r="F20" s="356"/>
      <c r="G20" s="2950"/>
      <c r="H20" s="8"/>
    </row>
    <row r="21" spans="1:8">
      <c r="A21" s="2944"/>
      <c r="B21" s="8"/>
      <c r="C21" s="2947"/>
      <c r="D21" s="356"/>
      <c r="E21" s="356">
        <f t="shared" si="0"/>
        <v>0</v>
      </c>
      <c r="F21" s="356"/>
      <c r="G21" s="2950"/>
      <c r="H21" s="8"/>
    </row>
    <row r="22" spans="1:8">
      <c r="A22" s="2944"/>
      <c r="B22" s="8"/>
      <c r="C22" s="2947"/>
      <c r="D22" s="356"/>
      <c r="E22" s="356">
        <f t="shared" si="0"/>
        <v>0</v>
      </c>
      <c r="F22" s="356"/>
      <c r="G22" s="2950"/>
      <c r="H22" s="8"/>
    </row>
    <row r="23" spans="1:8">
      <c r="A23" s="2945"/>
      <c r="B23" s="8"/>
      <c r="C23" s="2948"/>
      <c r="D23" s="356"/>
      <c r="E23" s="356">
        <f t="shared" si="0"/>
        <v>0</v>
      </c>
      <c r="F23" s="356"/>
      <c r="G23" s="2951"/>
      <c r="H23" s="8"/>
    </row>
    <row r="24" spans="1:8">
      <c r="A24" s="8"/>
      <c r="B24" s="8"/>
      <c r="C24" s="357"/>
      <c r="D24" s="357"/>
      <c r="E24" s="357"/>
      <c r="F24" s="357"/>
      <c r="G24" s="357"/>
      <c r="H24" s="8"/>
    </row>
    <row r="25" spans="1:8">
      <c r="A25" s="8"/>
      <c r="B25" s="8"/>
      <c r="C25" s="357">
        <f>SUM(C15:C24)</f>
        <v>0</v>
      </c>
      <c r="D25" s="357"/>
      <c r="E25" s="357">
        <f>SUM(E15:E24)</f>
        <v>0</v>
      </c>
      <c r="F25" s="357"/>
      <c r="G25" s="357">
        <f>SUM(G15:G24)</f>
        <v>0</v>
      </c>
      <c r="H25" s="8"/>
    </row>
    <row r="26" spans="1:8">
      <c r="A26" s="8"/>
      <c r="B26" s="8"/>
      <c r="C26" s="356"/>
      <c r="D26" s="356"/>
      <c r="E26" s="356"/>
      <c r="F26" s="356"/>
      <c r="G26" s="356"/>
      <c r="H26" s="8"/>
    </row>
    <row r="27" spans="1:8">
      <c r="A27" s="8" t="s">
        <v>1097</v>
      </c>
      <c r="B27" s="8"/>
      <c r="C27" s="356"/>
      <c r="D27" s="356"/>
      <c r="E27" s="356"/>
      <c r="F27" s="356"/>
      <c r="G27" s="2952"/>
      <c r="H27" s="8"/>
    </row>
    <row r="28" spans="1:8">
      <c r="A28" s="8"/>
      <c r="B28" s="8"/>
      <c r="C28" s="356"/>
      <c r="D28" s="356"/>
      <c r="E28" s="356"/>
      <c r="F28" s="356"/>
      <c r="G28" s="356"/>
      <c r="H28" s="8"/>
    </row>
    <row r="29" spans="1:8">
      <c r="A29" s="8" t="s">
        <v>1098</v>
      </c>
      <c r="B29" s="8"/>
      <c r="C29" s="356"/>
      <c r="D29" s="356"/>
      <c r="E29" s="356"/>
      <c r="F29" s="356"/>
      <c r="G29" s="2952"/>
      <c r="H29" s="8"/>
    </row>
    <row r="30" spans="1:8">
      <c r="A30" s="8"/>
      <c r="B30" s="8"/>
      <c r="C30" s="8"/>
      <c r="D30" s="8"/>
      <c r="E30" s="8"/>
      <c r="F30" s="8"/>
      <c r="G30" s="8"/>
      <c r="H30" s="8"/>
    </row>
    <row r="31" spans="1:8">
      <c r="A31" s="8"/>
      <c r="B31" s="8"/>
      <c r="C31" s="54" t="s">
        <v>1262</v>
      </c>
      <c r="D31" s="71" t="s">
        <v>1109</v>
      </c>
      <c r="E31" s="71" t="s">
        <v>1099</v>
      </c>
      <c r="F31" s="71" t="s">
        <v>1100</v>
      </c>
      <c r="G31" s="8"/>
      <c r="H31" s="8"/>
    </row>
    <row r="32" spans="1:8">
      <c r="A32" s="8" t="s">
        <v>1233</v>
      </c>
      <c r="B32" s="8"/>
      <c r="C32" s="2953"/>
      <c r="D32" s="2954"/>
      <c r="E32" s="2954"/>
      <c r="F32" s="2954"/>
      <c r="G32" s="356">
        <f>D32+E32-F32</f>
        <v>0</v>
      </c>
      <c r="H32" s="8"/>
    </row>
    <row r="33" spans="1:8">
      <c r="A33" s="8"/>
      <c r="B33" s="8"/>
      <c r="C33" s="8"/>
      <c r="D33" s="354"/>
      <c r="E33" s="354"/>
      <c r="F33" s="354"/>
      <c r="G33" s="356"/>
      <c r="H33" s="8"/>
    </row>
    <row r="34" spans="1:8" ht="13.5" thickBot="1">
      <c r="A34" s="54" t="s">
        <v>1103</v>
      </c>
      <c r="B34" s="54"/>
      <c r="C34" s="56">
        <f>'WP Index'!G5</f>
        <v>45473</v>
      </c>
      <c r="D34" s="357"/>
      <c r="E34" s="357"/>
      <c r="F34" s="357"/>
      <c r="G34" s="358">
        <f>G25+G27-G29-G32</f>
        <v>0</v>
      </c>
      <c r="H34" s="8"/>
    </row>
    <row r="35" spans="1:8" ht="13.5" thickTop="1">
      <c r="A35" s="8"/>
      <c r="B35" s="8"/>
      <c r="C35" s="8"/>
      <c r="D35" s="355"/>
      <c r="E35" s="355"/>
      <c r="F35" s="355"/>
      <c r="G35" s="355"/>
      <c r="H35" s="8"/>
    </row>
    <row r="36" spans="1:8" ht="12.75" customHeight="1"/>
    <row r="37" spans="1:8" ht="15.75">
      <c r="A37" s="3970" t="s">
        <v>1101</v>
      </c>
      <c r="B37" s="3971"/>
      <c r="C37" s="3971"/>
      <c r="D37" s="3971"/>
      <c r="E37" s="3971"/>
      <c r="F37" s="3971"/>
      <c r="G37" s="3971"/>
      <c r="H37" s="3972"/>
    </row>
    <row r="38" spans="1:8">
      <c r="A38" s="8"/>
      <c r="B38" s="8"/>
      <c r="C38" s="8"/>
      <c r="D38" s="8"/>
      <c r="E38" s="8"/>
      <c r="F38" s="8"/>
      <c r="G38" s="8"/>
      <c r="H38" s="8"/>
    </row>
    <row r="39" spans="1:8">
      <c r="A39" s="54" t="s">
        <v>1113</v>
      </c>
      <c r="B39" s="55"/>
      <c r="C39" s="55"/>
      <c r="D39" s="8"/>
      <c r="E39" s="8"/>
      <c r="F39" s="8"/>
      <c r="G39" s="8"/>
      <c r="H39" s="8"/>
    </row>
    <row r="40" spans="1:8">
      <c r="A40" s="8"/>
      <c r="B40" s="8"/>
      <c r="C40" s="8"/>
      <c r="D40" s="8"/>
      <c r="E40" s="8"/>
      <c r="F40" s="8"/>
      <c r="G40" s="8"/>
      <c r="H40" s="8"/>
    </row>
    <row r="41" spans="1:8">
      <c r="A41" s="8"/>
      <c r="B41" s="8"/>
      <c r="C41" s="8"/>
      <c r="D41" s="8"/>
      <c r="E41" s="8"/>
      <c r="F41" s="8"/>
      <c r="G41" s="8"/>
      <c r="H41" s="8"/>
    </row>
    <row r="42" spans="1:8">
      <c r="A42" s="54" t="s">
        <v>1296</v>
      </c>
      <c r="B42" s="8"/>
      <c r="C42" s="56">
        <f>'WP Index'!E5</f>
        <v>45108</v>
      </c>
      <c r="D42" s="355"/>
      <c r="E42" s="355"/>
      <c r="F42" s="355"/>
      <c r="G42" s="355"/>
      <c r="H42" s="2952"/>
    </row>
    <row r="43" spans="1:8">
      <c r="A43" s="54"/>
      <c r="B43" s="8"/>
      <c r="C43" s="8"/>
      <c r="D43" s="355"/>
      <c r="E43" s="355"/>
      <c r="F43" s="355"/>
      <c r="G43" s="355"/>
      <c r="H43" s="356"/>
    </row>
    <row r="44" spans="1:8">
      <c r="A44" s="54" t="s">
        <v>1097</v>
      </c>
      <c r="B44" s="8"/>
      <c r="C44" s="8"/>
      <c r="D44" s="355"/>
      <c r="E44" s="355"/>
      <c r="F44" s="355"/>
      <c r="G44" s="355"/>
      <c r="H44" s="2952"/>
    </row>
    <row r="45" spans="1:8">
      <c r="A45" s="54"/>
      <c r="B45" s="8"/>
      <c r="C45" s="8"/>
      <c r="D45" s="355"/>
      <c r="E45" s="355"/>
      <c r="F45" s="355"/>
      <c r="G45" s="355"/>
      <c r="H45" s="355"/>
    </row>
    <row r="46" spans="1:8">
      <c r="A46" s="54" t="s">
        <v>1102</v>
      </c>
      <c r="B46" s="8"/>
      <c r="C46" s="54" t="s">
        <v>1262</v>
      </c>
      <c r="D46" s="359" t="s">
        <v>1109</v>
      </c>
      <c r="E46" s="359" t="s">
        <v>1099</v>
      </c>
      <c r="F46" s="359" t="s">
        <v>1100</v>
      </c>
      <c r="G46" s="360" t="s">
        <v>1111</v>
      </c>
      <c r="H46" s="355"/>
    </row>
    <row r="47" spans="1:8">
      <c r="A47" s="54"/>
      <c r="B47" s="8"/>
      <c r="C47" s="8" t="s">
        <v>1105</v>
      </c>
      <c r="D47" s="2946"/>
      <c r="E47" s="2946"/>
      <c r="F47" s="2946"/>
      <c r="G47" s="356">
        <f>D47+E47-F47</f>
        <v>0</v>
      </c>
      <c r="H47" s="356"/>
    </row>
    <row r="48" spans="1:8">
      <c r="A48" s="54"/>
      <c r="B48" s="8"/>
      <c r="C48" s="8" t="s">
        <v>1106</v>
      </c>
      <c r="D48" s="2947"/>
      <c r="E48" s="2947"/>
      <c r="F48" s="2947"/>
      <c r="G48" s="356">
        <f>D48+E48-F48</f>
        <v>0</v>
      </c>
      <c r="H48" s="356"/>
    </row>
    <row r="49" spans="1:8">
      <c r="A49" s="54"/>
      <c r="B49" s="8"/>
      <c r="C49" s="8" t="s">
        <v>1108</v>
      </c>
      <c r="D49" s="2947"/>
      <c r="E49" s="2947"/>
      <c r="F49" s="2947"/>
      <c r="G49" s="356">
        <f>D49+E49-F49</f>
        <v>0</v>
      </c>
      <c r="H49" s="356"/>
    </row>
    <row r="50" spans="1:8">
      <c r="A50" s="54"/>
      <c r="B50" s="8"/>
      <c r="C50" s="8" t="s">
        <v>1107</v>
      </c>
      <c r="D50" s="2948"/>
      <c r="E50" s="2948"/>
      <c r="F50" s="2948"/>
      <c r="G50" s="356">
        <f>D50+E50-F50</f>
        <v>0</v>
      </c>
      <c r="H50" s="356"/>
    </row>
    <row r="51" spans="1:8">
      <c r="A51" s="54" t="s">
        <v>1110</v>
      </c>
      <c r="B51" s="8"/>
      <c r="C51" s="8"/>
      <c r="D51" s="361">
        <f>SUM(D47:D50)</f>
        <v>0</v>
      </c>
      <c r="E51" s="361">
        <f>SUM(E47:E50)</f>
        <v>0</v>
      </c>
      <c r="F51" s="361">
        <f>SUM(F47:F50)</f>
        <v>0</v>
      </c>
      <c r="G51" s="361">
        <f>SUM(G47:G50)</f>
        <v>0</v>
      </c>
      <c r="H51" s="357">
        <f>G51</f>
        <v>0</v>
      </c>
    </row>
    <row r="52" spans="1:8">
      <c r="A52" s="54"/>
      <c r="B52" s="8"/>
      <c r="C52" s="8"/>
      <c r="D52" s="356"/>
      <c r="E52" s="356"/>
      <c r="F52" s="356"/>
      <c r="G52" s="356"/>
      <c r="H52" s="356"/>
    </row>
    <row r="53" spans="1:8" ht="13.5" thickBot="1">
      <c r="A53" s="54" t="s">
        <v>1103</v>
      </c>
      <c r="B53" s="8"/>
      <c r="C53" s="56">
        <f>'WP Index'!G5</f>
        <v>45473</v>
      </c>
      <c r="D53" s="356"/>
      <c r="E53" s="356"/>
      <c r="F53" s="356"/>
      <c r="G53" s="356"/>
      <c r="H53" s="358">
        <f>H42+H44-H51</f>
        <v>0</v>
      </c>
    </row>
    <row r="54" spans="1:8" ht="13.5" thickTop="1">
      <c r="A54" s="54"/>
      <c r="B54" s="8"/>
      <c r="C54" s="8"/>
      <c r="D54" s="1899"/>
      <c r="E54" s="1899"/>
      <c r="F54" s="1899"/>
      <c r="G54" s="356"/>
      <c r="H54" s="356"/>
    </row>
    <row r="55" spans="1:8">
      <c r="A55" s="54" t="s">
        <v>1104</v>
      </c>
      <c r="B55" s="8"/>
      <c r="C55" s="8"/>
      <c r="D55" s="2954"/>
      <c r="E55" s="2954"/>
      <c r="F55" s="2954"/>
      <c r="G55" s="356">
        <f>D55+E55-F55</f>
        <v>0</v>
      </c>
      <c r="H55" s="356"/>
    </row>
    <row r="56" spans="1:8">
      <c r="A56" s="8"/>
      <c r="B56" s="8"/>
      <c r="C56" s="8"/>
      <c r="D56" s="356"/>
      <c r="E56" s="356"/>
      <c r="F56" s="356"/>
      <c r="G56" s="356"/>
      <c r="H56" s="356"/>
    </row>
    <row r="57" spans="1:8" ht="13.5" thickBot="1">
      <c r="A57" s="54" t="s">
        <v>1110</v>
      </c>
      <c r="B57" s="8"/>
      <c r="C57" s="8"/>
      <c r="D57" s="358">
        <f>D51+D55</f>
        <v>0</v>
      </c>
      <c r="E57" s="358">
        <f>E51+E55</f>
        <v>0</v>
      </c>
      <c r="F57" s="358">
        <f>F51+F55</f>
        <v>0</v>
      </c>
      <c r="G57" s="358">
        <f>G51+G55</f>
        <v>0</v>
      </c>
      <c r="H57" s="356"/>
    </row>
    <row r="58" spans="1:8" ht="13.5" thickTop="1">
      <c r="A58" s="8"/>
      <c r="B58" s="8"/>
      <c r="C58" s="8"/>
      <c r="D58" s="355"/>
      <c r="E58" s="355"/>
      <c r="F58" s="355"/>
      <c r="G58" s="355"/>
      <c r="H58" s="355"/>
    </row>
    <row r="59" spans="1:8">
      <c r="A59" s="3" t="s">
        <v>172</v>
      </c>
    </row>
    <row r="60" spans="1:8" ht="51" customHeight="1">
      <c r="A60" s="3967"/>
      <c r="B60" s="3968"/>
      <c r="C60" s="3968"/>
      <c r="D60" s="3968"/>
      <c r="E60" s="3968"/>
      <c r="F60" s="3968"/>
      <c r="G60" s="3969"/>
    </row>
  </sheetData>
  <customSheetViews>
    <customSheetView guid="{BCBE45D4-3C45-4659-992E-5C5D3E9FD81C}" fitToPage="1" hiddenColumns="1" state="hidden">
      <selection activeCell="K49" sqref="K49"/>
      <pageMargins left="0.59055118110236227" right="0.43307086614173229" top="0.6692913385826772" bottom="0.94488188976377963" header="0.51181102362204722" footer="0.39370078740157483"/>
      <printOptions horizontalCentered="1"/>
      <pageSetup paperSize="9" scale="94" orientation="portrait" blackAndWhite="1" r:id="rId1"/>
      <headerFooter alignWithMargins="0">
        <oddFooter>&amp;L&amp;8Copyright Crowe Horwath (Aust) Ltd 2016.  All rights reserved.
&amp;Z&amp;F[&amp;A]&amp;R&amp;8&amp;P/&amp;N</oddFooter>
      </headerFooter>
    </customSheetView>
    <customSheetView guid="{C24F3A9E-A8AA-4925-82D2-3EFABA416C15}" fitToPage="1" hiddenColumns="1" state="hidden">
      <selection activeCell="K49" sqref="K49"/>
      <pageMargins left="0.59055118110236227" right="0.43307086614173229" top="0.6692913385826772" bottom="0.94488188976377963" header="0.51181102362204722" footer="0.39370078740157483"/>
      <printOptions horizontalCentered="1"/>
      <pageSetup paperSize="9" scale="94" orientation="portrait" blackAndWhite="1" r:id="rId2"/>
      <headerFooter alignWithMargins="0">
        <oddFooter>&amp;L&amp;8Copyright Crowe Horwath (Aust) Ltd 2016.  All rights reserved.
&amp;Z&amp;F[&amp;A]&amp;R&amp;8&amp;P/&amp;N</oddFooter>
      </headerFooter>
    </customSheetView>
  </customSheetViews>
  <mergeCells count="4">
    <mergeCell ref="A60:G60"/>
    <mergeCell ref="A8:H8"/>
    <mergeCell ref="A37:H37"/>
    <mergeCell ref="G9:H9"/>
  </mergeCells>
  <phoneticPr fontId="26" type="noConversion"/>
  <hyperlinks>
    <hyperlink ref="G9" location="'WP Index'!A1" display="Back to Workpaper Index" xr:uid="{00000000-0004-0000-2200-000000000000}"/>
    <hyperlink ref="G9:H9" location="WPIndex!A1" display="Back to WP Index" xr:uid="{00000000-0004-0000-2200-000001000000}"/>
  </hyperlinks>
  <printOptions horizontalCentered="1"/>
  <pageMargins left="0.59055118110236227" right="0.43307086614173229" top="0.6692913385826772" bottom="0.94488188976377963" header="0.51181102362204722" footer="0.39370078740157483"/>
  <pageSetup paperSize="9" scale="90" fitToHeight="999"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843" r:id="rId6" name="Button 3">
              <controlPr defaultSize="0" print="0" autoFill="0" autoPict="0" macro="[0]!Help_AWB_Loan">
                <anchor moveWithCells="1">
                  <from>
                    <xdr:col>10</xdr:col>
                    <xdr:colOff>0</xdr:colOff>
                    <xdr:row>5</xdr:row>
                    <xdr:rowOff>19050</xdr:rowOff>
                  </from>
                  <to>
                    <xdr:col>11</xdr:col>
                    <xdr:colOff>228600</xdr:colOff>
                    <xdr:row>8</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GST_Rec_Sheet">
    <tabColor theme="8" tint="0.79998168889431442"/>
    <pageSetUpPr fitToPage="1"/>
  </sheetPr>
  <dimension ref="A1:R111"/>
  <sheetViews>
    <sheetView showGridLines="0" topLeftCell="B1" zoomScaleNormal="100" workbookViewId="0">
      <selection sqref="A1:F1"/>
    </sheetView>
  </sheetViews>
  <sheetFormatPr defaultColWidth="9.140625" defaultRowHeight="12.75"/>
  <cols>
    <col min="1" max="1" width="7.140625" style="979" hidden="1" customWidth="1"/>
    <col min="2" max="2" width="11" style="979" customWidth="1"/>
    <col min="3" max="3" width="11.7109375" style="1150" customWidth="1"/>
    <col min="4" max="4" width="11.7109375" style="1304" customWidth="1"/>
    <col min="5" max="5" width="11.85546875" style="1304" hidden="1" customWidth="1"/>
    <col min="6" max="7" width="11.7109375" style="1150" customWidth="1"/>
    <col min="8" max="15" width="11.7109375" style="979" customWidth="1"/>
    <col min="16" max="16" width="8.5703125" style="979" hidden="1" customWidth="1"/>
    <col min="17" max="17" width="10.42578125" style="979" customWidth="1"/>
    <col min="18" max="18" width="8.28515625" style="979" hidden="1" customWidth="1"/>
    <col min="19" max="16384" width="9.140625" style="979"/>
  </cols>
  <sheetData>
    <row r="1" spans="1:18">
      <c r="L1" s="2613" t="s">
        <v>2425</v>
      </c>
      <c r="M1" s="3576" t="s">
        <v>2758</v>
      </c>
    </row>
    <row r="2" spans="1:18" ht="18.75" customHeight="1">
      <c r="A2" s="1281"/>
      <c r="B2" s="1281"/>
      <c r="C2" s="1281"/>
      <c r="D2" s="1281"/>
      <c r="E2" s="1281"/>
      <c r="F2" s="1281"/>
      <c r="G2" s="1302"/>
      <c r="L2" s="71" t="s">
        <v>2426</v>
      </c>
      <c r="M2" s="2621"/>
      <c r="N2" s="1286"/>
      <c r="O2" s="1286"/>
    </row>
    <row r="3" spans="1:18" ht="18.75" customHeight="1">
      <c r="A3" s="1281"/>
      <c r="B3" s="1281"/>
      <c r="C3" s="1281"/>
      <c r="D3" s="1281"/>
      <c r="E3" s="1281"/>
      <c r="F3" s="1281"/>
      <c r="G3" s="1302"/>
      <c r="L3" s="40"/>
      <c r="M3" s="1"/>
      <c r="N3" s="1286"/>
      <c r="O3" s="1286"/>
    </row>
    <row r="4" spans="1:18" s="1093" customFormat="1">
      <c r="B4" s="1094"/>
      <c r="K4" s="1135"/>
      <c r="L4" s="2612" t="s">
        <v>1163</v>
      </c>
      <c r="M4" s="709" t="s">
        <v>1262</v>
      </c>
      <c r="N4" s="1148"/>
      <c r="O4" s="1148"/>
    </row>
    <row r="5" spans="1:18" s="1093" customFormat="1" ht="17.25" customHeight="1">
      <c r="B5" s="1094"/>
      <c r="K5" s="1149" t="s">
        <v>332</v>
      </c>
      <c r="L5" s="2617" t="str">
        <f>IF(PreparedBy="","",PreparedBy)</f>
        <v/>
      </c>
      <c r="M5" s="2618" t="str">
        <f>IF(DatePrepared="","",DatePrepared)</f>
        <v/>
      </c>
      <c r="N5" s="1287"/>
      <c r="O5" s="1287"/>
    </row>
    <row r="6" spans="1:18" s="1093" customFormat="1" ht="17.25" customHeight="1">
      <c r="B6" s="1094"/>
      <c r="K6" s="1149" t="s">
        <v>333</v>
      </c>
      <c r="L6" s="2619"/>
      <c r="M6" s="2620"/>
      <c r="N6" s="1287"/>
      <c r="O6" s="1287"/>
    </row>
    <row r="7" spans="1:18" s="1093" customFormat="1" ht="15.75">
      <c r="B7" s="1094"/>
      <c r="C7" s="1113"/>
      <c r="D7" s="1113"/>
      <c r="E7" s="1113"/>
      <c r="F7" s="1113"/>
      <c r="P7" s="1093">
        <v>1</v>
      </c>
    </row>
    <row r="8" spans="1:18" ht="15.75">
      <c r="A8" s="3973" t="str">
        <f>CONCATENATE(WP_GST_Reconciliation,": Accrual / Cash Basis")</f>
        <v>GST Reconciliation: Accrual / Cash Basis</v>
      </c>
      <c r="B8" s="3974"/>
      <c r="C8" s="3974"/>
      <c r="D8" s="3974"/>
      <c r="E8" s="3974"/>
      <c r="F8" s="3974"/>
      <c r="G8" s="3974"/>
      <c r="H8" s="3974"/>
      <c r="I8" s="3974"/>
      <c r="J8" s="3974"/>
      <c r="K8" s="3974"/>
      <c r="L8" s="3974"/>
      <c r="M8" s="3975"/>
      <c r="N8" s="1288"/>
      <c r="O8" s="1288"/>
      <c r="P8" s="1303">
        <v>1</v>
      </c>
    </row>
    <row r="9" spans="1:18">
      <c r="L9" s="3892" t="s">
        <v>2526</v>
      </c>
      <c r="M9" s="3892"/>
      <c r="N9" s="1289"/>
      <c r="O9" s="1289"/>
      <c r="P9" s="1303">
        <v>1</v>
      </c>
    </row>
    <row r="10" spans="1:18">
      <c r="B10" s="1115" t="str">
        <f>"CLIENT NAME:   "&amp;'WP Index'!E3</f>
        <v>CLIENT NAME:   Example Trust</v>
      </c>
      <c r="G10" s="1305" t="s">
        <v>1327</v>
      </c>
      <c r="H10" s="1306"/>
      <c r="P10" s="1307" t="s">
        <v>1328</v>
      </c>
    </row>
    <row r="11" spans="1:18" ht="19.5" customHeight="1">
      <c r="B11" s="1115" t="str">
        <f>"CLIENT CODE:   "&amp;'WP Index'!E4</f>
        <v>CLIENT CODE:   99999</v>
      </c>
      <c r="G11" s="1305" t="s">
        <v>1855</v>
      </c>
      <c r="L11" s="871" t="s">
        <v>951</v>
      </c>
      <c r="M11" s="871">
        <f>'WP Index'!G5</f>
        <v>45473</v>
      </c>
      <c r="N11" s="871"/>
      <c r="O11" s="871"/>
      <c r="P11" s="1307" t="s">
        <v>1329</v>
      </c>
    </row>
    <row r="12" spans="1:18">
      <c r="P12" s="1679" t="s">
        <v>1856</v>
      </c>
    </row>
    <row r="13" spans="1:18" ht="15">
      <c r="B13" s="3978" t="s">
        <v>1025</v>
      </c>
      <c r="C13" s="3979"/>
      <c r="D13" s="3979"/>
      <c r="E13" s="3979"/>
      <c r="F13" s="3979"/>
      <c r="G13" s="3980"/>
      <c r="H13" s="1125"/>
      <c r="I13" s="1125"/>
      <c r="J13" s="1139"/>
      <c r="K13" s="1125"/>
      <c r="L13" s="1125"/>
      <c r="M13" s="1125"/>
      <c r="N13" s="1125"/>
      <c r="O13" s="1125"/>
      <c r="P13" s="1680" t="s">
        <v>1857</v>
      </c>
      <c r="R13" s="1116" t="s">
        <v>1286</v>
      </c>
    </row>
    <row r="14" spans="1:18" ht="8.1" customHeight="1">
      <c r="B14" s="1308"/>
      <c r="C14" s="1309"/>
      <c r="D14" s="1310"/>
      <c r="E14" s="1310"/>
      <c r="F14" s="1309"/>
      <c r="G14" s="1309"/>
      <c r="H14" s="1125"/>
      <c r="I14" s="1125"/>
      <c r="J14" s="1125"/>
      <c r="K14" s="1125"/>
      <c r="L14" s="1125"/>
      <c r="M14" s="1125"/>
      <c r="N14" s="1125"/>
      <c r="O14" s="1125"/>
    </row>
    <row r="15" spans="1:18">
      <c r="A15" s="1311"/>
      <c r="B15" s="1312" t="s">
        <v>1014</v>
      </c>
      <c r="C15" s="1290"/>
      <c r="D15" s="1290"/>
      <c r="E15" s="1290"/>
      <c r="F15" s="1290"/>
      <c r="G15" s="1290"/>
      <c r="H15" s="1290"/>
      <c r="I15" s="1290"/>
      <c r="J15" s="1290"/>
      <c r="K15" s="1290"/>
      <c r="L15" s="1290"/>
      <c r="M15" s="1290"/>
      <c r="N15" s="1290"/>
      <c r="O15" s="1290"/>
    </row>
    <row r="16" spans="1:18">
      <c r="A16" s="1313" t="s">
        <v>1082</v>
      </c>
      <c r="B16" s="1125" t="s">
        <v>1468</v>
      </c>
      <c r="C16" s="1291" t="s">
        <v>1099</v>
      </c>
      <c r="D16" s="1291" t="s">
        <v>1099</v>
      </c>
      <c r="E16" s="1291" t="s">
        <v>1099</v>
      </c>
      <c r="F16" s="1291" t="s">
        <v>1330</v>
      </c>
      <c r="G16" s="1291" t="s">
        <v>1016</v>
      </c>
      <c r="H16" s="1291" t="s">
        <v>1016</v>
      </c>
      <c r="I16" s="1291" t="s">
        <v>555</v>
      </c>
      <c r="J16" s="1291" t="s">
        <v>1292</v>
      </c>
      <c r="K16" s="1291" t="s">
        <v>1015</v>
      </c>
      <c r="L16" s="1291" t="s">
        <v>1046</v>
      </c>
      <c r="M16" s="1291" t="s">
        <v>1129</v>
      </c>
      <c r="N16" s="1291" t="s">
        <v>454</v>
      </c>
      <c r="O16" s="1291" t="s">
        <v>1588</v>
      </c>
    </row>
    <row r="17" spans="1:15">
      <c r="A17" s="1313" t="s">
        <v>1286</v>
      </c>
      <c r="B17" s="1125" t="s">
        <v>1468</v>
      </c>
      <c r="C17" s="1291" t="s">
        <v>1331</v>
      </c>
      <c r="D17" s="1291" t="s">
        <v>1008</v>
      </c>
      <c r="E17" s="1291" t="s">
        <v>1008</v>
      </c>
      <c r="F17" s="1291" t="s">
        <v>1322</v>
      </c>
      <c r="G17" s="1291" t="s">
        <v>1323</v>
      </c>
      <c r="H17" s="1291" t="s">
        <v>1324</v>
      </c>
      <c r="I17" s="1291" t="s">
        <v>1324</v>
      </c>
      <c r="J17" s="1291" t="s">
        <v>1455</v>
      </c>
      <c r="K17" s="1291" t="s">
        <v>1325</v>
      </c>
      <c r="L17" s="1291" t="s">
        <v>1326</v>
      </c>
      <c r="M17" s="1291" t="s">
        <v>471</v>
      </c>
      <c r="N17" s="1291" t="s">
        <v>1574</v>
      </c>
      <c r="O17" s="1291" t="s">
        <v>1574</v>
      </c>
    </row>
    <row r="18" spans="1:15">
      <c r="A18" s="1314"/>
      <c r="B18" s="1312"/>
      <c r="C18" s="1291" t="s">
        <v>976</v>
      </c>
      <c r="D18" s="1291" t="s">
        <v>976</v>
      </c>
      <c r="E18" s="1291" t="s">
        <v>1009</v>
      </c>
      <c r="F18" s="1291" t="s">
        <v>976</v>
      </c>
      <c r="G18" s="1291" t="s">
        <v>976</v>
      </c>
      <c r="H18" s="1291" t="s">
        <v>976</v>
      </c>
      <c r="I18" s="1291" t="s">
        <v>976</v>
      </c>
      <c r="J18" s="1291" t="s">
        <v>976</v>
      </c>
      <c r="K18" s="1291" t="s">
        <v>976</v>
      </c>
      <c r="L18" s="1291" t="s">
        <v>976</v>
      </c>
      <c r="M18" s="1291" t="s">
        <v>976</v>
      </c>
      <c r="N18" s="1291" t="s">
        <v>976</v>
      </c>
      <c r="O18" s="1291" t="s">
        <v>976</v>
      </c>
    </row>
    <row r="19" spans="1:15">
      <c r="A19" s="1314"/>
      <c r="B19" s="1315">
        <f>DATE(YEAR($M$11-1)-1,6,30)</f>
        <v>45107</v>
      </c>
      <c r="C19" s="2956"/>
      <c r="D19" s="2956"/>
      <c r="E19" s="2955"/>
      <c r="F19" s="1316">
        <f>C19-D19-E19</f>
        <v>0</v>
      </c>
      <c r="G19" s="2956"/>
      <c r="H19" s="2956"/>
      <c r="I19" s="2956"/>
      <c r="J19" s="2956"/>
      <c r="K19" s="1316">
        <f>SUM(F19:I19)-J19</f>
        <v>0</v>
      </c>
      <c r="L19" s="2956"/>
      <c r="M19" s="2956"/>
      <c r="N19" s="2956"/>
      <c r="O19" s="2956"/>
    </row>
    <row r="20" spans="1:15">
      <c r="A20" s="1314"/>
      <c r="B20" s="1312"/>
      <c r="C20" s="1291"/>
      <c r="D20" s="1291"/>
      <c r="E20" s="1291"/>
      <c r="F20" s="1291"/>
      <c r="G20" s="1291"/>
      <c r="H20" s="1291"/>
      <c r="I20" s="1291"/>
      <c r="J20" s="1291"/>
      <c r="K20" s="1291"/>
      <c r="L20" s="1291"/>
      <c r="M20" s="1291"/>
      <c r="N20" s="1291"/>
      <c r="O20" s="1291"/>
    </row>
    <row r="21" spans="1:15" hidden="1">
      <c r="A21" s="1314"/>
      <c r="B21" s="1315">
        <f>DATE(YEAR($M$11-1)-1,7,1)</f>
        <v>45108</v>
      </c>
      <c r="C21" s="2957"/>
      <c r="D21" s="2957"/>
      <c r="E21" s="1657"/>
      <c r="F21" s="1292">
        <f t="shared" ref="F21:F32" si="0">C21-D21-E21</f>
        <v>0</v>
      </c>
      <c r="G21" s="2957"/>
      <c r="H21" s="2957"/>
      <c r="I21" s="2957"/>
      <c r="J21" s="2957"/>
      <c r="K21" s="1292">
        <f t="shared" ref="K21:K32" si="1">SUM(F21:I21)-J21</f>
        <v>0</v>
      </c>
      <c r="L21" s="2957"/>
      <c r="M21" s="2957"/>
      <c r="N21" s="2957"/>
      <c r="O21" s="2957"/>
    </row>
    <row r="22" spans="1:15" hidden="1">
      <c r="A22" s="1314"/>
      <c r="B22" s="1315">
        <f>DATE(YEAR(B21+45),MONTH(B21+45),1)</f>
        <v>45139</v>
      </c>
      <c r="C22" s="2957"/>
      <c r="D22" s="2957"/>
      <c r="E22" s="1657"/>
      <c r="F22" s="1292">
        <f t="shared" si="0"/>
        <v>0</v>
      </c>
      <c r="G22" s="2957"/>
      <c r="H22" s="2957"/>
      <c r="I22" s="2957"/>
      <c r="J22" s="2957"/>
      <c r="K22" s="1292">
        <f t="shared" si="1"/>
        <v>0</v>
      </c>
      <c r="L22" s="2957"/>
      <c r="M22" s="2957"/>
      <c r="N22" s="2957"/>
      <c r="O22" s="2957"/>
    </row>
    <row r="23" spans="1:15">
      <c r="A23" s="1314"/>
      <c r="B23" s="1315">
        <f>DATE(YEAR(B22+45),MONTH(B22+45),1)</f>
        <v>45170</v>
      </c>
      <c r="C23" s="2649"/>
      <c r="D23" s="2649"/>
      <c r="E23" s="1657"/>
      <c r="F23" s="1292">
        <f t="shared" si="0"/>
        <v>0</v>
      </c>
      <c r="G23" s="2649"/>
      <c r="H23" s="2649"/>
      <c r="I23" s="2649"/>
      <c r="J23" s="2649"/>
      <c r="K23" s="1292">
        <f t="shared" si="1"/>
        <v>0</v>
      </c>
      <c r="L23" s="2649"/>
      <c r="M23" s="2649"/>
      <c r="N23" s="2649"/>
      <c r="O23" s="2649"/>
    </row>
    <row r="24" spans="1:15" hidden="1">
      <c r="A24" s="1314"/>
      <c r="B24" s="1315">
        <f t="shared" ref="B24:B32" si="2">DATE(YEAR(B23+45),MONTH(B23+45),1)</f>
        <v>45200</v>
      </c>
      <c r="C24" s="2649"/>
      <c r="D24" s="2649"/>
      <c r="E24" s="1657"/>
      <c r="F24" s="1292">
        <f t="shared" si="0"/>
        <v>0</v>
      </c>
      <c r="G24" s="2649"/>
      <c r="H24" s="2649"/>
      <c r="I24" s="2649"/>
      <c r="J24" s="2649"/>
      <c r="K24" s="1292">
        <f t="shared" si="1"/>
        <v>0</v>
      </c>
      <c r="L24" s="2649"/>
      <c r="M24" s="2649"/>
      <c r="N24" s="2649"/>
      <c r="O24" s="2649"/>
    </row>
    <row r="25" spans="1:15" hidden="1">
      <c r="A25" s="1314"/>
      <c r="B25" s="1315">
        <f t="shared" si="2"/>
        <v>45231</v>
      </c>
      <c r="C25" s="2649"/>
      <c r="D25" s="2649"/>
      <c r="E25" s="1657"/>
      <c r="F25" s="1292">
        <f t="shared" si="0"/>
        <v>0</v>
      </c>
      <c r="G25" s="2649"/>
      <c r="H25" s="2649"/>
      <c r="I25" s="2649"/>
      <c r="J25" s="2649"/>
      <c r="K25" s="1292">
        <f t="shared" si="1"/>
        <v>0</v>
      </c>
      <c r="L25" s="2649"/>
      <c r="M25" s="2649"/>
      <c r="N25" s="2649"/>
      <c r="O25" s="2649"/>
    </row>
    <row r="26" spans="1:15">
      <c r="A26" s="1314"/>
      <c r="B26" s="1315">
        <f t="shared" si="2"/>
        <v>45261</v>
      </c>
      <c r="C26" s="2649"/>
      <c r="D26" s="2649"/>
      <c r="E26" s="1657"/>
      <c r="F26" s="1292">
        <f t="shared" si="0"/>
        <v>0</v>
      </c>
      <c r="G26" s="2649"/>
      <c r="H26" s="2649"/>
      <c r="I26" s="2649"/>
      <c r="J26" s="2649"/>
      <c r="K26" s="1292">
        <f t="shared" si="1"/>
        <v>0</v>
      </c>
      <c r="L26" s="2649"/>
      <c r="M26" s="2649"/>
      <c r="N26" s="2649"/>
      <c r="O26" s="2649"/>
    </row>
    <row r="27" spans="1:15" hidden="1">
      <c r="A27" s="1314"/>
      <c r="B27" s="1315">
        <f t="shared" si="2"/>
        <v>45292</v>
      </c>
      <c r="C27" s="2649"/>
      <c r="D27" s="2649"/>
      <c r="E27" s="1657"/>
      <c r="F27" s="1292">
        <f t="shared" si="0"/>
        <v>0</v>
      </c>
      <c r="G27" s="2649"/>
      <c r="H27" s="2649"/>
      <c r="I27" s="2649"/>
      <c r="J27" s="2649"/>
      <c r="K27" s="1292">
        <f t="shared" si="1"/>
        <v>0</v>
      </c>
      <c r="L27" s="2649"/>
      <c r="M27" s="2649"/>
      <c r="N27" s="2649"/>
      <c r="O27" s="2649"/>
    </row>
    <row r="28" spans="1:15" hidden="1">
      <c r="A28" s="1314"/>
      <c r="B28" s="1315">
        <f t="shared" si="2"/>
        <v>45323</v>
      </c>
      <c r="C28" s="2649"/>
      <c r="D28" s="2649"/>
      <c r="E28" s="1657"/>
      <c r="F28" s="1292">
        <f t="shared" si="0"/>
        <v>0</v>
      </c>
      <c r="G28" s="2649"/>
      <c r="H28" s="2649"/>
      <c r="I28" s="2649"/>
      <c r="J28" s="2649"/>
      <c r="K28" s="1292">
        <f t="shared" si="1"/>
        <v>0</v>
      </c>
      <c r="L28" s="2649"/>
      <c r="M28" s="2649"/>
      <c r="N28" s="2649"/>
      <c r="O28" s="2649"/>
    </row>
    <row r="29" spans="1:15">
      <c r="A29" s="1314"/>
      <c r="B29" s="1315">
        <f t="shared" si="2"/>
        <v>45352</v>
      </c>
      <c r="C29" s="2649"/>
      <c r="D29" s="2649"/>
      <c r="E29" s="1657"/>
      <c r="F29" s="1292">
        <f t="shared" si="0"/>
        <v>0</v>
      </c>
      <c r="G29" s="2649"/>
      <c r="H29" s="2649"/>
      <c r="I29" s="2649"/>
      <c r="J29" s="2649"/>
      <c r="K29" s="1292">
        <f t="shared" si="1"/>
        <v>0</v>
      </c>
      <c r="L29" s="2649"/>
      <c r="M29" s="2649"/>
      <c r="N29" s="2649"/>
      <c r="O29" s="2649"/>
    </row>
    <row r="30" spans="1:15" hidden="1">
      <c r="A30" s="1314"/>
      <c r="B30" s="1315">
        <f t="shared" si="2"/>
        <v>45383</v>
      </c>
      <c r="C30" s="2649"/>
      <c r="D30" s="2649"/>
      <c r="E30" s="1657"/>
      <c r="F30" s="1292">
        <f t="shared" si="0"/>
        <v>0</v>
      </c>
      <c r="G30" s="2649"/>
      <c r="H30" s="2649"/>
      <c r="I30" s="2649"/>
      <c r="J30" s="2649"/>
      <c r="K30" s="1292">
        <f t="shared" si="1"/>
        <v>0</v>
      </c>
      <c r="L30" s="2649"/>
      <c r="M30" s="2649"/>
      <c r="N30" s="2649"/>
      <c r="O30" s="2649"/>
    </row>
    <row r="31" spans="1:15" hidden="1">
      <c r="A31" s="1314"/>
      <c r="B31" s="1315">
        <f t="shared" si="2"/>
        <v>45413</v>
      </c>
      <c r="C31" s="2649"/>
      <c r="D31" s="2649"/>
      <c r="E31" s="1657"/>
      <c r="F31" s="1292">
        <f t="shared" si="0"/>
        <v>0</v>
      </c>
      <c r="G31" s="2649"/>
      <c r="H31" s="2649"/>
      <c r="I31" s="2649"/>
      <c r="J31" s="2649"/>
      <c r="K31" s="1292">
        <f t="shared" si="1"/>
        <v>0</v>
      </c>
      <c r="L31" s="2649"/>
      <c r="M31" s="2649"/>
      <c r="N31" s="2649"/>
      <c r="O31" s="2649"/>
    </row>
    <row r="32" spans="1:15">
      <c r="A32" s="1314"/>
      <c r="B32" s="1315">
        <f t="shared" si="2"/>
        <v>45444</v>
      </c>
      <c r="C32" s="2649"/>
      <c r="D32" s="2649"/>
      <c r="E32" s="1657"/>
      <c r="F32" s="1292">
        <f t="shared" si="0"/>
        <v>0</v>
      </c>
      <c r="G32" s="2649"/>
      <c r="H32" s="2649"/>
      <c r="I32" s="2649"/>
      <c r="J32" s="2649"/>
      <c r="K32" s="1292">
        <f t="shared" si="1"/>
        <v>0</v>
      </c>
      <c r="L32" s="2649"/>
      <c r="M32" s="2649"/>
      <c r="N32" s="2649"/>
      <c r="O32" s="2649"/>
    </row>
    <row r="33" spans="1:15">
      <c r="A33" s="1314"/>
      <c r="B33" s="1125"/>
      <c r="C33" s="1293"/>
      <c r="D33" s="1293"/>
      <c r="E33" s="1293"/>
      <c r="F33" s="1293"/>
      <c r="G33" s="1293"/>
      <c r="H33" s="1293"/>
      <c r="I33" s="1293"/>
      <c r="J33" s="1293"/>
      <c r="K33" s="1293"/>
      <c r="L33" s="1293"/>
      <c r="M33" s="1293"/>
      <c r="N33" s="1293"/>
      <c r="O33" s="1293"/>
    </row>
    <row r="34" spans="1:15">
      <c r="A34" s="1314"/>
      <c r="B34" s="1317" t="s">
        <v>1050</v>
      </c>
      <c r="C34" s="1318">
        <f t="shared" ref="C34:M34" si="3">SUM(C21:C32)</f>
        <v>0</v>
      </c>
      <c r="D34" s="1318">
        <f t="shared" si="3"/>
        <v>0</v>
      </c>
      <c r="E34" s="1318">
        <f t="shared" si="3"/>
        <v>0</v>
      </c>
      <c r="F34" s="1318">
        <f t="shared" si="3"/>
        <v>0</v>
      </c>
      <c r="G34" s="1318">
        <f t="shared" si="3"/>
        <v>0</v>
      </c>
      <c r="H34" s="1318">
        <f t="shared" si="3"/>
        <v>0</v>
      </c>
      <c r="I34" s="1318">
        <f t="shared" si="3"/>
        <v>0</v>
      </c>
      <c r="J34" s="1318">
        <f t="shared" si="3"/>
        <v>0</v>
      </c>
      <c r="K34" s="1318">
        <f t="shared" si="3"/>
        <v>0</v>
      </c>
      <c r="L34" s="1318">
        <f t="shared" si="3"/>
        <v>0</v>
      </c>
      <c r="M34" s="1318">
        <f t="shared" si="3"/>
        <v>0</v>
      </c>
      <c r="N34" s="1318">
        <f>SUM(N21:N32)</f>
        <v>0</v>
      </c>
      <c r="O34" s="1318">
        <f>SUM(O21:O32)</f>
        <v>0</v>
      </c>
    </row>
    <row r="35" spans="1:15">
      <c r="A35" s="1314"/>
      <c r="B35" s="1319"/>
      <c r="C35" s="1320"/>
      <c r="D35" s="1320"/>
      <c r="E35" s="1320"/>
      <c r="F35" s="1320"/>
      <c r="G35" s="1320"/>
      <c r="H35" s="1320"/>
      <c r="I35" s="1320"/>
      <c r="J35" s="1320"/>
      <c r="K35" s="1320"/>
      <c r="L35" s="1320"/>
      <c r="M35" s="1320"/>
      <c r="N35" s="1320"/>
      <c r="O35" s="1320"/>
    </row>
    <row r="36" spans="1:15">
      <c r="A36" s="1314"/>
      <c r="B36" s="1321"/>
      <c r="C36" s="1322"/>
      <c r="D36" s="1322"/>
      <c r="E36" s="1322"/>
      <c r="F36" s="1322"/>
      <c r="G36" s="1322"/>
      <c r="H36" s="1322"/>
      <c r="I36" s="1322"/>
      <c r="J36" s="1322"/>
      <c r="K36" s="1322"/>
      <c r="L36" s="1322"/>
      <c r="M36" s="1322"/>
      <c r="N36" s="1322"/>
      <c r="O36" s="1322"/>
    </row>
    <row r="37" spans="1:15">
      <c r="A37" s="1314"/>
      <c r="B37" s="1312" t="s">
        <v>1218</v>
      </c>
      <c r="C37" s="1294"/>
      <c r="D37" s="1294"/>
      <c r="E37" s="1294"/>
      <c r="F37" s="1294"/>
      <c r="G37" s="1294"/>
      <c r="H37" s="1294"/>
      <c r="I37" s="1294"/>
      <c r="J37" s="1294"/>
      <c r="K37" s="1294"/>
      <c r="L37" s="1294"/>
      <c r="M37" s="1294"/>
      <c r="N37" s="1294"/>
      <c r="O37" s="1294"/>
    </row>
    <row r="38" spans="1:15">
      <c r="A38" s="1314"/>
      <c r="B38" s="1312"/>
      <c r="C38" s="1295" t="str">
        <f t="shared" ref="C38:M38" si="4">C16</f>
        <v>GST</v>
      </c>
      <c r="D38" s="1295" t="str">
        <f t="shared" si="4"/>
        <v>GST</v>
      </c>
      <c r="E38" s="1295" t="str">
        <f t="shared" si="4"/>
        <v>GST</v>
      </c>
      <c r="F38" s="1295" t="str">
        <f t="shared" si="4"/>
        <v>Net GST</v>
      </c>
      <c r="G38" s="1295" t="str">
        <f t="shared" si="4"/>
        <v>PAYG</v>
      </c>
      <c r="H38" s="1295" t="str">
        <f t="shared" si="4"/>
        <v>PAYG</v>
      </c>
      <c r="I38" s="1295" t="str">
        <f t="shared" si="4"/>
        <v>FBT</v>
      </c>
      <c r="J38" s="1295" t="str">
        <f t="shared" si="4"/>
        <v>Fuel</v>
      </c>
      <c r="K38" s="1295" t="str">
        <f t="shared" si="4"/>
        <v>Net</v>
      </c>
      <c r="L38" s="1295" t="str">
        <f t="shared" si="4"/>
        <v>Wages</v>
      </c>
      <c r="M38" s="1295" t="str">
        <f t="shared" si="4"/>
        <v>Total</v>
      </c>
      <c r="N38" s="1295" t="str">
        <f t="shared" ref="N38:O40" si="5">N16</f>
        <v>Capital</v>
      </c>
      <c r="O38" s="1295" t="str">
        <f t="shared" si="5"/>
        <v>Non-Capital</v>
      </c>
    </row>
    <row r="39" spans="1:15">
      <c r="A39" s="1314"/>
      <c r="B39" s="1312"/>
      <c r="C39" s="1295" t="str">
        <f t="shared" ref="C39:M39" si="6">C17</f>
        <v>at 1A</v>
      </c>
      <c r="D39" s="1295" t="str">
        <f t="shared" si="6"/>
        <v>at 1B</v>
      </c>
      <c r="E39" s="1295" t="str">
        <f t="shared" si="6"/>
        <v>at 1B</v>
      </c>
      <c r="F39" s="1295" t="str">
        <f t="shared" si="6"/>
        <v>Payable</v>
      </c>
      <c r="G39" s="1295" t="str">
        <f t="shared" si="6"/>
        <v>With.</v>
      </c>
      <c r="H39" s="1295" t="str">
        <f t="shared" si="6"/>
        <v>Instal.</v>
      </c>
      <c r="I39" s="1295" t="str">
        <f t="shared" si="6"/>
        <v>Instal.</v>
      </c>
      <c r="J39" s="1295" t="str">
        <f t="shared" si="6"/>
        <v>Rebate</v>
      </c>
      <c r="K39" s="1295" t="str">
        <f t="shared" si="6"/>
        <v>BAS</v>
      </c>
      <c r="L39" s="1295" t="str">
        <f t="shared" si="6"/>
        <v>W1</v>
      </c>
      <c r="M39" s="1295" t="str">
        <f t="shared" si="6"/>
        <v>Sales</v>
      </c>
      <c r="N39" s="1295" t="str">
        <f t="shared" si="5"/>
        <v>Purchases</v>
      </c>
      <c r="O39" s="1295" t="str">
        <f t="shared" si="5"/>
        <v>Purchases</v>
      </c>
    </row>
    <row r="40" spans="1:15">
      <c r="A40" s="1314"/>
      <c r="B40" s="1312"/>
      <c r="C40" s="1295" t="str">
        <f t="shared" ref="C40:M40" si="7">C18</f>
        <v>$</v>
      </c>
      <c r="D40" s="1295" t="str">
        <f t="shared" si="7"/>
        <v>$</v>
      </c>
      <c r="E40" s="1295" t="str">
        <f t="shared" si="7"/>
        <v>(Other)</v>
      </c>
      <c r="F40" s="1295" t="str">
        <f t="shared" si="7"/>
        <v>$</v>
      </c>
      <c r="G40" s="1295" t="str">
        <f t="shared" si="7"/>
        <v>$</v>
      </c>
      <c r="H40" s="1295" t="str">
        <f t="shared" si="7"/>
        <v>$</v>
      </c>
      <c r="I40" s="1295" t="str">
        <f t="shared" si="7"/>
        <v>$</v>
      </c>
      <c r="J40" s="1295" t="str">
        <f t="shared" si="7"/>
        <v>$</v>
      </c>
      <c r="K40" s="1295" t="str">
        <f t="shared" si="7"/>
        <v>$</v>
      </c>
      <c r="L40" s="1295" t="str">
        <f t="shared" si="7"/>
        <v>$</v>
      </c>
      <c r="M40" s="1295" t="str">
        <f t="shared" si="7"/>
        <v>$</v>
      </c>
      <c r="N40" s="1295" t="str">
        <f t="shared" si="5"/>
        <v>$</v>
      </c>
      <c r="O40" s="1295" t="str">
        <f t="shared" si="5"/>
        <v>$</v>
      </c>
    </row>
    <row r="41" spans="1:15" hidden="1">
      <c r="A41" s="1314"/>
      <c r="B41" s="1315">
        <f>+B21</f>
        <v>45108</v>
      </c>
      <c r="C41" s="2957"/>
      <c r="D41" s="2957"/>
      <c r="E41" s="1657"/>
      <c r="F41" s="1292">
        <f t="shared" ref="F41:F52" si="8">C41-D41-E41</f>
        <v>0</v>
      </c>
      <c r="G41" s="2957"/>
      <c r="H41" s="2957"/>
      <c r="I41" s="2957"/>
      <c r="J41" s="2957"/>
      <c r="K41" s="1292">
        <f t="shared" ref="K41:K52" si="9">SUM(F41:I41)-J41</f>
        <v>0</v>
      </c>
      <c r="L41" s="2957"/>
      <c r="M41" s="2957"/>
      <c r="N41" s="2957"/>
      <c r="O41" s="2957"/>
    </row>
    <row r="42" spans="1:15" hidden="1">
      <c r="A42" s="1314"/>
      <c r="B42" s="1315">
        <f t="shared" ref="B42:B52" si="10">+B22</f>
        <v>45139</v>
      </c>
      <c r="C42" s="2957"/>
      <c r="D42" s="2957"/>
      <c r="E42" s="1657"/>
      <c r="F42" s="1292">
        <f t="shared" si="8"/>
        <v>0</v>
      </c>
      <c r="G42" s="2957"/>
      <c r="H42" s="2957"/>
      <c r="I42" s="2957"/>
      <c r="J42" s="2957"/>
      <c r="K42" s="1292">
        <f t="shared" si="9"/>
        <v>0</v>
      </c>
      <c r="L42" s="2957"/>
      <c r="M42" s="2957"/>
      <c r="N42" s="2957"/>
      <c r="O42" s="2957"/>
    </row>
    <row r="43" spans="1:15">
      <c r="A43" s="1314"/>
      <c r="B43" s="1315">
        <f t="shared" si="10"/>
        <v>45170</v>
      </c>
      <c r="C43" s="2649"/>
      <c r="D43" s="2649"/>
      <c r="E43" s="1657"/>
      <c r="F43" s="1292">
        <f t="shared" si="8"/>
        <v>0</v>
      </c>
      <c r="G43" s="2649"/>
      <c r="H43" s="2649"/>
      <c r="I43" s="2649"/>
      <c r="J43" s="2649"/>
      <c r="K43" s="1292">
        <f t="shared" si="9"/>
        <v>0</v>
      </c>
      <c r="L43" s="2649"/>
      <c r="M43" s="2649"/>
      <c r="N43" s="2649"/>
      <c r="O43" s="2649"/>
    </row>
    <row r="44" spans="1:15" hidden="1">
      <c r="A44" s="1314"/>
      <c r="B44" s="1315">
        <f t="shared" si="10"/>
        <v>45200</v>
      </c>
      <c r="C44" s="2649"/>
      <c r="D44" s="2649"/>
      <c r="E44" s="1657"/>
      <c r="F44" s="1292">
        <f t="shared" si="8"/>
        <v>0</v>
      </c>
      <c r="G44" s="2649"/>
      <c r="H44" s="2649"/>
      <c r="I44" s="2649"/>
      <c r="J44" s="2649"/>
      <c r="K44" s="1292">
        <f t="shared" si="9"/>
        <v>0</v>
      </c>
      <c r="L44" s="2649"/>
      <c r="M44" s="2649"/>
      <c r="N44" s="2649"/>
      <c r="O44" s="2649"/>
    </row>
    <row r="45" spans="1:15" hidden="1">
      <c r="A45" s="1314"/>
      <c r="B45" s="1315">
        <f t="shared" si="10"/>
        <v>45231</v>
      </c>
      <c r="C45" s="2649"/>
      <c r="D45" s="2649"/>
      <c r="E45" s="1657"/>
      <c r="F45" s="1292">
        <f t="shared" si="8"/>
        <v>0</v>
      </c>
      <c r="G45" s="2649"/>
      <c r="H45" s="2649"/>
      <c r="I45" s="2649"/>
      <c r="J45" s="2649"/>
      <c r="K45" s="1292">
        <f t="shared" si="9"/>
        <v>0</v>
      </c>
      <c r="L45" s="2649"/>
      <c r="M45" s="2649"/>
      <c r="N45" s="2649"/>
      <c r="O45" s="2649"/>
    </row>
    <row r="46" spans="1:15">
      <c r="A46" s="1314"/>
      <c r="B46" s="1315">
        <f t="shared" si="10"/>
        <v>45261</v>
      </c>
      <c r="C46" s="2649"/>
      <c r="D46" s="2649"/>
      <c r="E46" s="1657"/>
      <c r="F46" s="1292">
        <f t="shared" si="8"/>
        <v>0</v>
      </c>
      <c r="G46" s="2649"/>
      <c r="H46" s="2649"/>
      <c r="I46" s="2649"/>
      <c r="J46" s="2649"/>
      <c r="K46" s="1292">
        <f t="shared" si="9"/>
        <v>0</v>
      </c>
      <c r="L46" s="2649"/>
      <c r="M46" s="2649"/>
      <c r="N46" s="2649"/>
      <c r="O46" s="2649"/>
    </row>
    <row r="47" spans="1:15" hidden="1">
      <c r="A47" s="1314"/>
      <c r="B47" s="1315">
        <f t="shared" si="10"/>
        <v>45292</v>
      </c>
      <c r="C47" s="2649"/>
      <c r="D47" s="2649"/>
      <c r="E47" s="1657"/>
      <c r="F47" s="1292">
        <f t="shared" si="8"/>
        <v>0</v>
      </c>
      <c r="G47" s="2649"/>
      <c r="H47" s="2649"/>
      <c r="I47" s="2649"/>
      <c r="J47" s="2649"/>
      <c r="K47" s="1292">
        <f t="shared" si="9"/>
        <v>0</v>
      </c>
      <c r="L47" s="2649"/>
      <c r="M47" s="2649"/>
      <c r="N47" s="2649"/>
      <c r="O47" s="2649"/>
    </row>
    <row r="48" spans="1:15" hidden="1">
      <c r="A48" s="1314"/>
      <c r="B48" s="1315">
        <f t="shared" si="10"/>
        <v>45323</v>
      </c>
      <c r="C48" s="2649"/>
      <c r="D48" s="2649"/>
      <c r="E48" s="1657"/>
      <c r="F48" s="1292">
        <f t="shared" si="8"/>
        <v>0</v>
      </c>
      <c r="G48" s="2649"/>
      <c r="H48" s="2649"/>
      <c r="I48" s="2649"/>
      <c r="J48" s="2649"/>
      <c r="K48" s="1292">
        <f t="shared" si="9"/>
        <v>0</v>
      </c>
      <c r="L48" s="2649"/>
      <c r="M48" s="2649"/>
      <c r="N48" s="2649"/>
      <c r="O48" s="2649"/>
    </row>
    <row r="49" spans="1:15">
      <c r="A49" s="1314"/>
      <c r="B49" s="1315">
        <f t="shared" si="10"/>
        <v>45352</v>
      </c>
      <c r="C49" s="2649"/>
      <c r="D49" s="2649"/>
      <c r="E49" s="1657"/>
      <c r="F49" s="1292">
        <f t="shared" si="8"/>
        <v>0</v>
      </c>
      <c r="G49" s="2649"/>
      <c r="H49" s="2649"/>
      <c r="I49" s="2649"/>
      <c r="J49" s="2649"/>
      <c r="K49" s="1292">
        <f t="shared" si="9"/>
        <v>0</v>
      </c>
      <c r="L49" s="2649"/>
      <c r="M49" s="2649"/>
      <c r="N49" s="2649"/>
      <c r="O49" s="2649"/>
    </row>
    <row r="50" spans="1:15" hidden="1">
      <c r="A50" s="1314"/>
      <c r="B50" s="1315">
        <f t="shared" si="10"/>
        <v>45383</v>
      </c>
      <c r="C50" s="2649"/>
      <c r="D50" s="2649"/>
      <c r="E50" s="1657"/>
      <c r="F50" s="1292">
        <f t="shared" si="8"/>
        <v>0</v>
      </c>
      <c r="G50" s="2649"/>
      <c r="H50" s="2649"/>
      <c r="I50" s="2649"/>
      <c r="J50" s="2649"/>
      <c r="K50" s="1292">
        <f t="shared" si="9"/>
        <v>0</v>
      </c>
      <c r="L50" s="2649"/>
      <c r="M50" s="2649"/>
      <c r="N50" s="2649"/>
      <c r="O50" s="2649"/>
    </row>
    <row r="51" spans="1:15" hidden="1">
      <c r="A51" s="1314"/>
      <c r="B51" s="1315">
        <f t="shared" si="10"/>
        <v>45413</v>
      </c>
      <c r="C51" s="2649"/>
      <c r="D51" s="2649"/>
      <c r="E51" s="1657"/>
      <c r="F51" s="1292">
        <f t="shared" si="8"/>
        <v>0</v>
      </c>
      <c r="G51" s="2649"/>
      <c r="H51" s="2649"/>
      <c r="I51" s="2649"/>
      <c r="J51" s="2649"/>
      <c r="K51" s="1292">
        <f t="shared" si="9"/>
        <v>0</v>
      </c>
      <c r="L51" s="2649"/>
      <c r="M51" s="2649"/>
      <c r="N51" s="2649"/>
      <c r="O51" s="2649"/>
    </row>
    <row r="52" spans="1:15">
      <c r="A52" s="1314"/>
      <c r="B52" s="1315">
        <f t="shared" si="10"/>
        <v>45444</v>
      </c>
      <c r="C52" s="2649"/>
      <c r="D52" s="2649"/>
      <c r="E52" s="1657"/>
      <c r="F52" s="1292">
        <f t="shared" si="8"/>
        <v>0</v>
      </c>
      <c r="G52" s="2649"/>
      <c r="H52" s="2649"/>
      <c r="I52" s="2649"/>
      <c r="J52" s="2649"/>
      <c r="K52" s="1292">
        <f t="shared" si="9"/>
        <v>0</v>
      </c>
      <c r="L52" s="2649"/>
      <c r="M52" s="2649"/>
      <c r="N52" s="2649"/>
      <c r="O52" s="2649"/>
    </row>
    <row r="53" spans="1:15">
      <c r="A53" s="1314"/>
      <c r="B53" s="1323" t="s">
        <v>1010</v>
      </c>
      <c r="C53" s="1296" t="s">
        <v>1010</v>
      </c>
      <c r="D53" s="1296" t="s">
        <v>1010</v>
      </c>
      <c r="E53" s="1296" t="s">
        <v>1010</v>
      </c>
      <c r="F53" s="1293"/>
      <c r="G53" s="1296" t="s">
        <v>1010</v>
      </c>
      <c r="H53" s="1296" t="s">
        <v>1010</v>
      </c>
      <c r="I53" s="1296" t="s">
        <v>1010</v>
      </c>
      <c r="J53" s="1296" t="s">
        <v>1010</v>
      </c>
      <c r="K53" s="1293"/>
      <c r="L53" s="1296" t="s">
        <v>1010</v>
      </c>
      <c r="M53" s="1296" t="s">
        <v>1010</v>
      </c>
      <c r="N53" s="1296" t="s">
        <v>1010</v>
      </c>
      <c r="O53" s="1296" t="s">
        <v>1010</v>
      </c>
    </row>
    <row r="54" spans="1:15">
      <c r="A54" s="1314"/>
      <c r="B54" s="1324" t="s">
        <v>1011</v>
      </c>
      <c r="C54" s="2649"/>
      <c r="D54" s="2649"/>
      <c r="E54" s="1657"/>
      <c r="F54" s="1292">
        <f>C54-D54-E54</f>
        <v>0</v>
      </c>
      <c r="G54" s="2649"/>
      <c r="H54" s="2649"/>
      <c r="I54" s="2649"/>
      <c r="J54" s="2649"/>
      <c r="K54" s="1292">
        <f>SUM(F54:I54)-J54</f>
        <v>0</v>
      </c>
      <c r="L54" s="2649"/>
      <c r="M54" s="2649"/>
      <c r="N54" s="2649"/>
      <c r="O54" s="2649"/>
    </row>
    <row r="55" spans="1:15">
      <c r="A55" s="1314"/>
      <c r="B55" s="1125"/>
      <c r="C55" s="1293"/>
      <c r="D55" s="1293"/>
      <c r="E55" s="1293"/>
      <c r="F55" s="1293"/>
      <c r="G55" s="1293"/>
      <c r="H55" s="1293"/>
      <c r="I55" s="1293"/>
      <c r="J55" s="1293"/>
      <c r="K55" s="1293"/>
      <c r="L55" s="1293"/>
      <c r="M55" s="1293"/>
      <c r="N55" s="1293"/>
      <c r="O55" s="1293"/>
    </row>
    <row r="56" spans="1:15">
      <c r="A56" s="1314"/>
      <c r="B56" s="1317" t="s">
        <v>1129</v>
      </c>
      <c r="C56" s="1318">
        <f t="shared" ref="C56:M56" si="11">IF(C54,C54,SUM(C41:C52))</f>
        <v>0</v>
      </c>
      <c r="D56" s="1318">
        <f t="shared" si="11"/>
        <v>0</v>
      </c>
      <c r="E56" s="1318">
        <f t="shared" si="11"/>
        <v>0</v>
      </c>
      <c r="F56" s="1318">
        <f t="shared" si="11"/>
        <v>0</v>
      </c>
      <c r="G56" s="1318">
        <f t="shared" si="11"/>
        <v>0</v>
      </c>
      <c r="H56" s="1318">
        <f t="shared" si="11"/>
        <v>0</v>
      </c>
      <c r="I56" s="1318">
        <f t="shared" si="11"/>
        <v>0</v>
      </c>
      <c r="J56" s="1318">
        <f t="shared" si="11"/>
        <v>0</v>
      </c>
      <c r="K56" s="1318">
        <f t="shared" si="11"/>
        <v>0</v>
      </c>
      <c r="L56" s="1318">
        <f t="shared" si="11"/>
        <v>0</v>
      </c>
      <c r="M56" s="1318">
        <f t="shared" si="11"/>
        <v>0</v>
      </c>
      <c r="N56" s="1318">
        <f>IF(N54,N54,SUM(N41:N52))</f>
        <v>0</v>
      </c>
      <c r="O56" s="1318">
        <f>IF(O54,O54,SUM(O41:O52))</f>
        <v>0</v>
      </c>
    </row>
    <row r="57" spans="1:15">
      <c r="A57" s="1314"/>
      <c r="B57" s="1319"/>
      <c r="C57" s="1320"/>
      <c r="D57" s="1320"/>
      <c r="E57" s="1320"/>
      <c r="F57" s="1320"/>
      <c r="G57" s="1320"/>
      <c r="H57" s="1320"/>
      <c r="I57" s="1320"/>
      <c r="J57" s="1320"/>
      <c r="K57" s="1320"/>
      <c r="L57" s="1320"/>
      <c r="M57" s="1320"/>
      <c r="N57" s="1320"/>
      <c r="O57" s="1320"/>
    </row>
    <row r="58" spans="1:15">
      <c r="A58" s="1314"/>
      <c r="B58" s="1321"/>
      <c r="C58" s="1322"/>
      <c r="D58" s="1322"/>
      <c r="E58" s="1322"/>
      <c r="F58" s="1322"/>
      <c r="G58" s="1322"/>
      <c r="H58" s="1322"/>
      <c r="I58" s="1322"/>
      <c r="J58" s="1322"/>
      <c r="K58" s="1322"/>
      <c r="L58" s="1322"/>
      <c r="M58" s="1322"/>
      <c r="N58" s="1322"/>
      <c r="O58" s="1322"/>
    </row>
    <row r="59" spans="1:15">
      <c r="A59" s="1314"/>
      <c r="B59" s="1312" t="s">
        <v>1219</v>
      </c>
      <c r="C59" s="1294"/>
      <c r="D59" s="1294"/>
      <c r="E59" s="1294"/>
      <c r="F59" s="1294"/>
      <c r="G59" s="1294"/>
      <c r="H59" s="1294"/>
      <c r="I59" s="1294"/>
      <c r="J59" s="1294"/>
      <c r="K59" s="1294"/>
      <c r="L59" s="1294"/>
      <c r="M59" s="1294"/>
      <c r="N59" s="1294"/>
      <c r="O59" s="1294"/>
    </row>
    <row r="60" spans="1:15">
      <c r="A60" s="1314"/>
      <c r="B60" s="1312"/>
      <c r="C60" s="1295" t="str">
        <f t="shared" ref="C60:M60" si="12">C38</f>
        <v>GST</v>
      </c>
      <c r="D60" s="1295" t="str">
        <f t="shared" si="12"/>
        <v>GST</v>
      </c>
      <c r="E60" s="1295" t="str">
        <f t="shared" si="12"/>
        <v>GST</v>
      </c>
      <c r="F60" s="1295" t="str">
        <f t="shared" si="12"/>
        <v>Net GST</v>
      </c>
      <c r="G60" s="1295" t="str">
        <f t="shared" si="12"/>
        <v>PAYG</v>
      </c>
      <c r="H60" s="1295" t="str">
        <f t="shared" si="12"/>
        <v>PAYG</v>
      </c>
      <c r="I60" s="1295" t="str">
        <f t="shared" si="12"/>
        <v>FBT</v>
      </c>
      <c r="J60" s="1295" t="str">
        <f t="shared" si="12"/>
        <v>Fuel</v>
      </c>
      <c r="K60" s="1295" t="str">
        <f t="shared" si="12"/>
        <v>Net</v>
      </c>
      <c r="L60" s="1295" t="str">
        <f t="shared" si="12"/>
        <v>Wages</v>
      </c>
      <c r="M60" s="1295" t="str">
        <f t="shared" si="12"/>
        <v>Total</v>
      </c>
      <c r="N60" s="1295" t="str">
        <f t="shared" ref="N60:O62" si="13">N38</f>
        <v>Capital</v>
      </c>
      <c r="O60" s="1295" t="str">
        <f t="shared" si="13"/>
        <v>Non-Capital</v>
      </c>
    </row>
    <row r="61" spans="1:15">
      <c r="A61" s="1314"/>
      <c r="B61" s="1312"/>
      <c r="C61" s="1295" t="str">
        <f t="shared" ref="C61:M61" si="14">C39</f>
        <v>at 1A</v>
      </c>
      <c r="D61" s="1295" t="str">
        <f t="shared" si="14"/>
        <v>at 1B</v>
      </c>
      <c r="E61" s="1295" t="str">
        <f t="shared" si="14"/>
        <v>at 1B</v>
      </c>
      <c r="F61" s="1295" t="str">
        <f t="shared" si="14"/>
        <v>Payable</v>
      </c>
      <c r="G61" s="1295" t="str">
        <f t="shared" si="14"/>
        <v>With.</v>
      </c>
      <c r="H61" s="1295" t="str">
        <f t="shared" si="14"/>
        <v>Instal.</v>
      </c>
      <c r="I61" s="1295" t="str">
        <f t="shared" si="14"/>
        <v>Instal.</v>
      </c>
      <c r="J61" s="1295" t="str">
        <f t="shared" si="14"/>
        <v>Rebate</v>
      </c>
      <c r="K61" s="1295" t="str">
        <f t="shared" si="14"/>
        <v>BAS</v>
      </c>
      <c r="L61" s="1295" t="str">
        <f t="shared" si="14"/>
        <v>W1</v>
      </c>
      <c r="M61" s="1295" t="str">
        <f t="shared" si="14"/>
        <v>Sales</v>
      </c>
      <c r="N61" s="1295" t="str">
        <f t="shared" si="13"/>
        <v>Purchases</v>
      </c>
      <c r="O61" s="1295" t="str">
        <f t="shared" si="13"/>
        <v>Purchases</v>
      </c>
    </row>
    <row r="62" spans="1:15">
      <c r="A62" s="1314"/>
      <c r="B62" s="1312"/>
      <c r="C62" s="1295" t="str">
        <f t="shared" ref="C62:M62" si="15">C40</f>
        <v>$</v>
      </c>
      <c r="D62" s="1295" t="str">
        <f t="shared" si="15"/>
        <v>$</v>
      </c>
      <c r="E62" s="1295" t="str">
        <f t="shared" si="15"/>
        <v>(Other)</v>
      </c>
      <c r="F62" s="1295" t="str">
        <f t="shared" si="15"/>
        <v>$</v>
      </c>
      <c r="G62" s="1295" t="str">
        <f t="shared" si="15"/>
        <v>$</v>
      </c>
      <c r="H62" s="1295" t="str">
        <f t="shared" si="15"/>
        <v>$</v>
      </c>
      <c r="I62" s="1295" t="str">
        <f t="shared" si="15"/>
        <v>$</v>
      </c>
      <c r="J62" s="1295" t="str">
        <f t="shared" si="15"/>
        <v>$</v>
      </c>
      <c r="K62" s="1295" t="str">
        <f t="shared" si="15"/>
        <v>$</v>
      </c>
      <c r="L62" s="1295" t="str">
        <f t="shared" si="15"/>
        <v>$</v>
      </c>
      <c r="M62" s="1295" t="str">
        <f t="shared" si="15"/>
        <v>$</v>
      </c>
      <c r="N62" s="1295" t="str">
        <f t="shared" si="13"/>
        <v>$</v>
      </c>
      <c r="O62" s="1295" t="str">
        <f t="shared" si="13"/>
        <v>$</v>
      </c>
    </row>
    <row r="63" spans="1:15" hidden="1">
      <c r="A63" s="1314"/>
      <c r="B63" s="1315">
        <f>+B21</f>
        <v>45108</v>
      </c>
      <c r="C63" s="1292">
        <f t="shared" ref="C63:E72" si="16">IF(C$54,0,C41-C21)</f>
        <v>0</v>
      </c>
      <c r="D63" s="1292">
        <f t="shared" si="16"/>
        <v>0</v>
      </c>
      <c r="E63" s="1292">
        <f t="shared" si="16"/>
        <v>0</v>
      </c>
      <c r="F63" s="1292">
        <f t="shared" ref="F63:F74" si="17">C63-D63-E63</f>
        <v>0</v>
      </c>
      <c r="G63" s="1292">
        <f t="shared" ref="G63:I74" si="18">IF(G$54,0,G21-G41)</f>
        <v>0</v>
      </c>
      <c r="H63" s="1292">
        <f t="shared" si="18"/>
        <v>0</v>
      </c>
      <c r="I63" s="1292">
        <f t="shared" si="18"/>
        <v>0</v>
      </c>
      <c r="J63" s="1292">
        <f t="shared" ref="J63:J74" si="19">J21-J41</f>
        <v>0</v>
      </c>
      <c r="K63" s="1292">
        <f t="shared" ref="K63:K74" si="20">SUM(F63:I63)-J63</f>
        <v>0</v>
      </c>
      <c r="L63" s="1292">
        <f t="shared" ref="L63:M74" si="21">IF(L$54,0,L21-L41)</f>
        <v>0</v>
      </c>
      <c r="M63" s="1292">
        <f t="shared" si="21"/>
        <v>0</v>
      </c>
      <c r="N63" s="1292">
        <f t="shared" ref="N63:O74" si="22">IF(N$54,0,N21-N41)</f>
        <v>0</v>
      </c>
      <c r="O63" s="1292">
        <f t="shared" si="22"/>
        <v>0</v>
      </c>
    </row>
    <row r="64" spans="1:15" hidden="1">
      <c r="A64" s="1314"/>
      <c r="B64" s="1315">
        <f t="shared" ref="B64:B74" si="23">+B22</f>
        <v>45139</v>
      </c>
      <c r="C64" s="1292">
        <f t="shared" si="16"/>
        <v>0</v>
      </c>
      <c r="D64" s="1292">
        <f t="shared" si="16"/>
        <v>0</v>
      </c>
      <c r="E64" s="1292">
        <f t="shared" si="16"/>
        <v>0</v>
      </c>
      <c r="F64" s="1292">
        <f t="shared" si="17"/>
        <v>0</v>
      </c>
      <c r="G64" s="1292">
        <f t="shared" si="18"/>
        <v>0</v>
      </c>
      <c r="H64" s="1292">
        <f t="shared" si="18"/>
        <v>0</v>
      </c>
      <c r="I64" s="1292">
        <f t="shared" si="18"/>
        <v>0</v>
      </c>
      <c r="J64" s="1292">
        <f t="shared" si="19"/>
        <v>0</v>
      </c>
      <c r="K64" s="1292">
        <f t="shared" si="20"/>
        <v>0</v>
      </c>
      <c r="L64" s="1292">
        <f t="shared" si="21"/>
        <v>0</v>
      </c>
      <c r="M64" s="1292">
        <f t="shared" si="21"/>
        <v>0</v>
      </c>
      <c r="N64" s="1292">
        <f t="shared" si="22"/>
        <v>0</v>
      </c>
      <c r="O64" s="1292">
        <f t="shared" si="22"/>
        <v>0</v>
      </c>
    </row>
    <row r="65" spans="1:18">
      <c r="A65" s="1314"/>
      <c r="B65" s="1315">
        <f t="shared" si="23"/>
        <v>45170</v>
      </c>
      <c r="C65" s="1292">
        <f t="shared" si="16"/>
        <v>0</v>
      </c>
      <c r="D65" s="1292">
        <f t="shared" si="16"/>
        <v>0</v>
      </c>
      <c r="E65" s="1292">
        <f t="shared" si="16"/>
        <v>0</v>
      </c>
      <c r="F65" s="1292">
        <f t="shared" si="17"/>
        <v>0</v>
      </c>
      <c r="G65" s="1292">
        <f t="shared" si="18"/>
        <v>0</v>
      </c>
      <c r="H65" s="1292">
        <f t="shared" si="18"/>
        <v>0</v>
      </c>
      <c r="I65" s="1292">
        <f t="shared" si="18"/>
        <v>0</v>
      </c>
      <c r="J65" s="1292">
        <f t="shared" si="19"/>
        <v>0</v>
      </c>
      <c r="K65" s="1292">
        <f t="shared" si="20"/>
        <v>0</v>
      </c>
      <c r="L65" s="1292">
        <f t="shared" si="21"/>
        <v>0</v>
      </c>
      <c r="M65" s="1292">
        <f t="shared" si="21"/>
        <v>0</v>
      </c>
      <c r="N65" s="1292">
        <f t="shared" si="22"/>
        <v>0</v>
      </c>
      <c r="O65" s="1292">
        <f t="shared" si="22"/>
        <v>0</v>
      </c>
    </row>
    <row r="66" spans="1:18" hidden="1">
      <c r="A66" s="1314"/>
      <c r="B66" s="1315">
        <f t="shared" si="23"/>
        <v>45200</v>
      </c>
      <c r="C66" s="1292">
        <f t="shared" si="16"/>
        <v>0</v>
      </c>
      <c r="D66" s="1292">
        <f t="shared" si="16"/>
        <v>0</v>
      </c>
      <c r="E66" s="1292">
        <f t="shared" si="16"/>
        <v>0</v>
      </c>
      <c r="F66" s="1292">
        <f t="shared" si="17"/>
        <v>0</v>
      </c>
      <c r="G66" s="1292">
        <f t="shared" si="18"/>
        <v>0</v>
      </c>
      <c r="H66" s="1292">
        <f t="shared" si="18"/>
        <v>0</v>
      </c>
      <c r="I66" s="1292">
        <f t="shared" si="18"/>
        <v>0</v>
      </c>
      <c r="J66" s="1292">
        <f t="shared" si="19"/>
        <v>0</v>
      </c>
      <c r="K66" s="1292">
        <f t="shared" si="20"/>
        <v>0</v>
      </c>
      <c r="L66" s="1292">
        <f t="shared" si="21"/>
        <v>0</v>
      </c>
      <c r="M66" s="1292">
        <f t="shared" si="21"/>
        <v>0</v>
      </c>
      <c r="N66" s="1292">
        <f t="shared" si="22"/>
        <v>0</v>
      </c>
      <c r="O66" s="1292">
        <f t="shared" si="22"/>
        <v>0</v>
      </c>
    </row>
    <row r="67" spans="1:18" hidden="1">
      <c r="A67" s="1314"/>
      <c r="B67" s="1315">
        <f t="shared" si="23"/>
        <v>45231</v>
      </c>
      <c r="C67" s="1292">
        <f t="shared" si="16"/>
        <v>0</v>
      </c>
      <c r="D67" s="1292">
        <f t="shared" si="16"/>
        <v>0</v>
      </c>
      <c r="E67" s="1292">
        <f t="shared" si="16"/>
        <v>0</v>
      </c>
      <c r="F67" s="1292">
        <f t="shared" si="17"/>
        <v>0</v>
      </c>
      <c r="G67" s="1292">
        <f t="shared" si="18"/>
        <v>0</v>
      </c>
      <c r="H67" s="1292">
        <f t="shared" si="18"/>
        <v>0</v>
      </c>
      <c r="I67" s="1292">
        <f t="shared" si="18"/>
        <v>0</v>
      </c>
      <c r="J67" s="1292">
        <f t="shared" si="19"/>
        <v>0</v>
      </c>
      <c r="K67" s="1292">
        <f t="shared" si="20"/>
        <v>0</v>
      </c>
      <c r="L67" s="1292">
        <f t="shared" si="21"/>
        <v>0</v>
      </c>
      <c r="M67" s="1292">
        <f t="shared" si="21"/>
        <v>0</v>
      </c>
      <c r="N67" s="1292">
        <f t="shared" si="22"/>
        <v>0</v>
      </c>
      <c r="O67" s="1292">
        <f t="shared" si="22"/>
        <v>0</v>
      </c>
    </row>
    <row r="68" spans="1:18">
      <c r="A68" s="1314"/>
      <c r="B68" s="1315">
        <f t="shared" si="23"/>
        <v>45261</v>
      </c>
      <c r="C68" s="1292">
        <f t="shared" si="16"/>
        <v>0</v>
      </c>
      <c r="D68" s="1292">
        <f t="shared" si="16"/>
        <v>0</v>
      </c>
      <c r="E68" s="1292">
        <f t="shared" si="16"/>
        <v>0</v>
      </c>
      <c r="F68" s="1292">
        <f t="shared" si="17"/>
        <v>0</v>
      </c>
      <c r="G68" s="1292">
        <f t="shared" si="18"/>
        <v>0</v>
      </c>
      <c r="H68" s="1292">
        <f t="shared" si="18"/>
        <v>0</v>
      </c>
      <c r="I68" s="1292">
        <f t="shared" si="18"/>
        <v>0</v>
      </c>
      <c r="J68" s="1292">
        <f t="shared" si="19"/>
        <v>0</v>
      </c>
      <c r="K68" s="1292">
        <f t="shared" si="20"/>
        <v>0</v>
      </c>
      <c r="L68" s="1292">
        <f t="shared" si="21"/>
        <v>0</v>
      </c>
      <c r="M68" s="1292">
        <f t="shared" si="21"/>
        <v>0</v>
      </c>
      <c r="N68" s="1292">
        <f t="shared" si="22"/>
        <v>0</v>
      </c>
      <c r="O68" s="1292">
        <f t="shared" si="22"/>
        <v>0</v>
      </c>
    </row>
    <row r="69" spans="1:18" hidden="1">
      <c r="A69" s="1314"/>
      <c r="B69" s="1315">
        <f t="shared" si="23"/>
        <v>45292</v>
      </c>
      <c r="C69" s="1292">
        <f t="shared" si="16"/>
        <v>0</v>
      </c>
      <c r="D69" s="1292">
        <f t="shared" si="16"/>
        <v>0</v>
      </c>
      <c r="E69" s="1292">
        <f t="shared" si="16"/>
        <v>0</v>
      </c>
      <c r="F69" s="1292">
        <f t="shared" si="17"/>
        <v>0</v>
      </c>
      <c r="G69" s="1292">
        <f t="shared" si="18"/>
        <v>0</v>
      </c>
      <c r="H69" s="1292">
        <f t="shared" si="18"/>
        <v>0</v>
      </c>
      <c r="I69" s="1292">
        <f t="shared" si="18"/>
        <v>0</v>
      </c>
      <c r="J69" s="1292">
        <f t="shared" si="19"/>
        <v>0</v>
      </c>
      <c r="K69" s="1292">
        <f t="shared" si="20"/>
        <v>0</v>
      </c>
      <c r="L69" s="1292">
        <f t="shared" si="21"/>
        <v>0</v>
      </c>
      <c r="M69" s="1292">
        <f t="shared" si="21"/>
        <v>0</v>
      </c>
      <c r="N69" s="1292">
        <f t="shared" si="22"/>
        <v>0</v>
      </c>
      <c r="O69" s="1292">
        <f t="shared" si="22"/>
        <v>0</v>
      </c>
    </row>
    <row r="70" spans="1:18" hidden="1">
      <c r="A70" s="1314"/>
      <c r="B70" s="1315">
        <f t="shared" si="23"/>
        <v>45323</v>
      </c>
      <c r="C70" s="1292">
        <f t="shared" si="16"/>
        <v>0</v>
      </c>
      <c r="D70" s="1292">
        <f t="shared" si="16"/>
        <v>0</v>
      </c>
      <c r="E70" s="1292">
        <f t="shared" si="16"/>
        <v>0</v>
      </c>
      <c r="F70" s="1292">
        <f t="shared" si="17"/>
        <v>0</v>
      </c>
      <c r="G70" s="1292">
        <f t="shared" si="18"/>
        <v>0</v>
      </c>
      <c r="H70" s="1292">
        <f t="shared" si="18"/>
        <v>0</v>
      </c>
      <c r="I70" s="1292">
        <f t="shared" si="18"/>
        <v>0</v>
      </c>
      <c r="J70" s="1292">
        <f t="shared" si="19"/>
        <v>0</v>
      </c>
      <c r="K70" s="1292">
        <f t="shared" si="20"/>
        <v>0</v>
      </c>
      <c r="L70" s="1292">
        <f t="shared" si="21"/>
        <v>0</v>
      </c>
      <c r="M70" s="1292">
        <f t="shared" si="21"/>
        <v>0</v>
      </c>
      <c r="N70" s="1292">
        <f t="shared" si="22"/>
        <v>0</v>
      </c>
      <c r="O70" s="1292">
        <f t="shared" si="22"/>
        <v>0</v>
      </c>
    </row>
    <row r="71" spans="1:18">
      <c r="A71" s="1314"/>
      <c r="B71" s="1315">
        <f t="shared" si="23"/>
        <v>45352</v>
      </c>
      <c r="C71" s="1292">
        <f t="shared" si="16"/>
        <v>0</v>
      </c>
      <c r="D71" s="1292">
        <f t="shared" si="16"/>
        <v>0</v>
      </c>
      <c r="E71" s="1292">
        <f t="shared" si="16"/>
        <v>0</v>
      </c>
      <c r="F71" s="1292">
        <f t="shared" si="17"/>
        <v>0</v>
      </c>
      <c r="G71" s="1292">
        <f t="shared" si="18"/>
        <v>0</v>
      </c>
      <c r="H71" s="1292">
        <f t="shared" si="18"/>
        <v>0</v>
      </c>
      <c r="I71" s="1292">
        <f t="shared" si="18"/>
        <v>0</v>
      </c>
      <c r="J71" s="1292">
        <f t="shared" si="19"/>
        <v>0</v>
      </c>
      <c r="K71" s="1292">
        <f t="shared" si="20"/>
        <v>0</v>
      </c>
      <c r="L71" s="1292">
        <f t="shared" si="21"/>
        <v>0</v>
      </c>
      <c r="M71" s="1292">
        <f t="shared" si="21"/>
        <v>0</v>
      </c>
      <c r="N71" s="1292">
        <f t="shared" si="22"/>
        <v>0</v>
      </c>
      <c r="O71" s="1292">
        <f t="shared" si="22"/>
        <v>0</v>
      </c>
    </row>
    <row r="72" spans="1:18" hidden="1">
      <c r="A72" s="1314"/>
      <c r="B72" s="1315">
        <f t="shared" si="23"/>
        <v>45383</v>
      </c>
      <c r="C72" s="1292">
        <f t="shared" si="16"/>
        <v>0</v>
      </c>
      <c r="D72" s="1292">
        <f t="shared" si="16"/>
        <v>0</v>
      </c>
      <c r="E72" s="1292">
        <f t="shared" si="16"/>
        <v>0</v>
      </c>
      <c r="F72" s="1292">
        <f t="shared" si="17"/>
        <v>0</v>
      </c>
      <c r="G72" s="1292">
        <f t="shared" si="18"/>
        <v>0</v>
      </c>
      <c r="H72" s="1292">
        <f t="shared" si="18"/>
        <v>0</v>
      </c>
      <c r="I72" s="1292">
        <f t="shared" si="18"/>
        <v>0</v>
      </c>
      <c r="J72" s="1292">
        <f t="shared" si="19"/>
        <v>0</v>
      </c>
      <c r="K72" s="1292">
        <f t="shared" si="20"/>
        <v>0</v>
      </c>
      <c r="L72" s="1292">
        <f t="shared" si="21"/>
        <v>0</v>
      </c>
      <c r="M72" s="1292">
        <f t="shared" si="21"/>
        <v>0</v>
      </c>
      <c r="N72" s="1292">
        <f t="shared" si="22"/>
        <v>0</v>
      </c>
      <c r="O72" s="1292">
        <f t="shared" si="22"/>
        <v>0</v>
      </c>
    </row>
    <row r="73" spans="1:18" hidden="1">
      <c r="A73" s="1314"/>
      <c r="B73" s="1315">
        <f t="shared" si="23"/>
        <v>45413</v>
      </c>
      <c r="C73" s="1292">
        <f t="shared" ref="C73:E74" si="24">IF(C$54,0,C51-C31)</f>
        <v>0</v>
      </c>
      <c r="D73" s="1292">
        <f t="shared" si="24"/>
        <v>0</v>
      </c>
      <c r="E73" s="1292">
        <f t="shared" si="24"/>
        <v>0</v>
      </c>
      <c r="F73" s="1292">
        <f t="shared" si="17"/>
        <v>0</v>
      </c>
      <c r="G73" s="1292">
        <f t="shared" si="18"/>
        <v>0</v>
      </c>
      <c r="H73" s="1292">
        <f t="shared" si="18"/>
        <v>0</v>
      </c>
      <c r="I73" s="1292">
        <f t="shared" si="18"/>
        <v>0</v>
      </c>
      <c r="J73" s="1292">
        <f t="shared" si="19"/>
        <v>0</v>
      </c>
      <c r="K73" s="1292">
        <f t="shared" si="20"/>
        <v>0</v>
      </c>
      <c r="L73" s="1292">
        <f t="shared" si="21"/>
        <v>0</v>
      </c>
      <c r="M73" s="1292">
        <f t="shared" si="21"/>
        <v>0</v>
      </c>
      <c r="N73" s="1292">
        <f t="shared" si="22"/>
        <v>0</v>
      </c>
      <c r="O73" s="1292">
        <f t="shared" si="22"/>
        <v>0</v>
      </c>
    </row>
    <row r="74" spans="1:18">
      <c r="A74" s="1314"/>
      <c r="B74" s="1315">
        <f t="shared" si="23"/>
        <v>45444</v>
      </c>
      <c r="C74" s="1292">
        <f t="shared" si="24"/>
        <v>0</v>
      </c>
      <c r="D74" s="1292">
        <f t="shared" si="24"/>
        <v>0</v>
      </c>
      <c r="E74" s="1292">
        <f t="shared" si="24"/>
        <v>0</v>
      </c>
      <c r="F74" s="1292">
        <f t="shared" si="17"/>
        <v>0</v>
      </c>
      <c r="G74" s="1292">
        <f t="shared" si="18"/>
        <v>0</v>
      </c>
      <c r="H74" s="1292">
        <f t="shared" si="18"/>
        <v>0</v>
      </c>
      <c r="I74" s="1292">
        <f t="shared" si="18"/>
        <v>0</v>
      </c>
      <c r="J74" s="1292">
        <f t="shared" si="19"/>
        <v>0</v>
      </c>
      <c r="K74" s="1292">
        <f t="shared" si="20"/>
        <v>0</v>
      </c>
      <c r="L74" s="1292">
        <f t="shared" si="21"/>
        <v>0</v>
      </c>
      <c r="M74" s="1292">
        <f t="shared" si="21"/>
        <v>0</v>
      </c>
      <c r="N74" s="1292">
        <f t="shared" si="22"/>
        <v>0</v>
      </c>
      <c r="O74" s="1292">
        <f t="shared" si="22"/>
        <v>0</v>
      </c>
    </row>
    <row r="75" spans="1:18">
      <c r="A75" s="1314"/>
      <c r="B75" s="1125"/>
      <c r="C75" s="1293"/>
      <c r="D75" s="1293"/>
      <c r="E75" s="1293"/>
      <c r="F75" s="1293"/>
      <c r="G75" s="1293"/>
      <c r="H75" s="1293"/>
      <c r="I75" s="1293"/>
      <c r="J75" s="1293"/>
      <c r="K75" s="1293"/>
      <c r="L75" s="1293"/>
      <c r="M75" s="1293"/>
      <c r="N75" s="1293"/>
      <c r="O75" s="1293"/>
    </row>
    <row r="76" spans="1:18">
      <c r="A76" s="1314"/>
      <c r="B76" s="1317" t="s">
        <v>1129</v>
      </c>
      <c r="C76" s="1318">
        <f>C56-C34</f>
        <v>0</v>
      </c>
      <c r="D76" s="1318">
        <f>D56-D34</f>
        <v>0</v>
      </c>
      <c r="E76" s="1318">
        <f>E56-E34</f>
        <v>0</v>
      </c>
      <c r="F76" s="1318">
        <f>F56-F34</f>
        <v>0</v>
      </c>
      <c r="G76" s="1318">
        <f t="shared" ref="G76:M76" si="25">G34-G56</f>
        <v>0</v>
      </c>
      <c r="H76" s="1318">
        <f t="shared" si="25"/>
        <v>0</v>
      </c>
      <c r="I76" s="1318">
        <f t="shared" si="25"/>
        <v>0</v>
      </c>
      <c r="J76" s="1318">
        <f t="shared" si="25"/>
        <v>0</v>
      </c>
      <c r="K76" s="1318">
        <f t="shared" si="25"/>
        <v>0</v>
      </c>
      <c r="L76" s="1318">
        <f t="shared" si="25"/>
        <v>0</v>
      </c>
      <c r="M76" s="1318">
        <f t="shared" si="25"/>
        <v>0</v>
      </c>
      <c r="N76" s="1318">
        <f>N34-N56</f>
        <v>0</v>
      </c>
      <c r="O76" s="1318">
        <f>O34-O56</f>
        <v>0</v>
      </c>
    </row>
    <row r="77" spans="1:18" s="1125" customFormat="1">
      <c r="B77" s="1325"/>
      <c r="C77" s="1290"/>
      <c r="D77" s="1290"/>
      <c r="E77" s="1290"/>
      <c r="F77" s="1290"/>
      <c r="G77" s="1290"/>
      <c r="H77" s="1290"/>
      <c r="I77" s="1290"/>
      <c r="J77" s="1290"/>
      <c r="K77" s="1290"/>
      <c r="L77" s="1290"/>
      <c r="M77" s="1290"/>
      <c r="N77" s="1290"/>
      <c r="O77" s="1290"/>
      <c r="R77" s="979"/>
    </row>
    <row r="78" spans="1:18" s="1125" customFormat="1">
      <c r="B78" s="1326" t="s">
        <v>1026</v>
      </c>
      <c r="C78" s="1290"/>
      <c r="D78" s="1290"/>
      <c r="E78" s="1290"/>
      <c r="F78" s="1290"/>
      <c r="G78" s="1290"/>
      <c r="H78" s="1290"/>
      <c r="I78" s="1290"/>
      <c r="J78" s="1290"/>
      <c r="K78" s="1290"/>
      <c r="L78" s="1290"/>
      <c r="M78" s="1290"/>
      <c r="N78" s="1290"/>
      <c r="O78" s="1290"/>
      <c r="R78" s="979"/>
    </row>
    <row r="79" spans="1:18" s="1125" customFormat="1">
      <c r="B79" s="1327" t="s">
        <v>1027</v>
      </c>
      <c r="C79" s="1328" t="s">
        <v>1012</v>
      </c>
      <c r="D79" s="1290"/>
      <c r="E79" s="1290"/>
      <c r="F79" s="1290"/>
      <c r="G79" s="1290"/>
      <c r="H79" s="1290"/>
      <c r="I79" s="1290"/>
      <c r="J79" s="1290"/>
      <c r="K79" s="1290"/>
      <c r="L79" s="1290"/>
      <c r="M79" s="1290"/>
      <c r="N79" s="1290"/>
      <c r="O79" s="1290"/>
      <c r="R79" s="979"/>
    </row>
    <row r="80" spans="1:18" s="1125" customFormat="1">
      <c r="B80" s="2958"/>
      <c r="C80" s="3977"/>
      <c r="D80" s="3977"/>
      <c r="E80" s="3977"/>
      <c r="F80" s="3977"/>
      <c r="G80" s="3977"/>
      <c r="H80" s="3977"/>
      <c r="I80" s="3977"/>
      <c r="J80" s="3977"/>
      <c r="K80" s="3977"/>
      <c r="L80" s="3977"/>
      <c r="M80" s="3977"/>
      <c r="N80" s="1297"/>
      <c r="O80" s="1297"/>
      <c r="R80" s="979"/>
    </row>
    <row r="81" spans="2:18" s="1125" customFormat="1">
      <c r="B81" s="2958"/>
      <c r="C81" s="3977"/>
      <c r="D81" s="3977"/>
      <c r="E81" s="3977"/>
      <c r="F81" s="3977"/>
      <c r="G81" s="3977"/>
      <c r="H81" s="3977"/>
      <c r="I81" s="3977"/>
      <c r="J81" s="3977"/>
      <c r="K81" s="3977"/>
      <c r="L81" s="3977"/>
      <c r="M81" s="3977"/>
      <c r="N81" s="1297"/>
      <c r="O81" s="1297"/>
      <c r="R81" s="979"/>
    </row>
    <row r="82" spans="2:18" s="1125" customFormat="1">
      <c r="B82" s="2958"/>
      <c r="C82" s="3977"/>
      <c r="D82" s="3977"/>
      <c r="E82" s="3977"/>
      <c r="F82" s="3977"/>
      <c r="G82" s="3977"/>
      <c r="H82" s="3977"/>
      <c r="I82" s="3977"/>
      <c r="J82" s="3977"/>
      <c r="K82" s="3977"/>
      <c r="L82" s="3977"/>
      <c r="M82" s="3977"/>
      <c r="N82" s="1297"/>
      <c r="O82" s="1297"/>
      <c r="R82" s="979"/>
    </row>
    <row r="83" spans="2:18" s="1125" customFormat="1">
      <c r="B83" s="2958"/>
      <c r="C83" s="3977"/>
      <c r="D83" s="3977"/>
      <c r="E83" s="3977"/>
      <c r="F83" s="3977"/>
      <c r="G83" s="3977"/>
      <c r="H83" s="3977"/>
      <c r="I83" s="3977"/>
      <c r="J83" s="3977"/>
      <c r="K83" s="3977"/>
      <c r="L83" s="3977"/>
      <c r="M83" s="3977"/>
      <c r="N83" s="1297"/>
      <c r="O83" s="1297"/>
      <c r="R83" s="979"/>
    </row>
    <row r="84" spans="2:18" s="1125" customFormat="1">
      <c r="B84" s="2958"/>
      <c r="C84" s="3977"/>
      <c r="D84" s="3977"/>
      <c r="E84" s="3977"/>
      <c r="F84" s="3977"/>
      <c r="G84" s="3977"/>
      <c r="H84" s="3977"/>
      <c r="I84" s="3977"/>
      <c r="J84" s="3977"/>
      <c r="K84" s="3977"/>
      <c r="L84" s="3977"/>
      <c r="M84" s="3977"/>
      <c r="N84" s="1297"/>
      <c r="O84" s="1297"/>
      <c r="R84" s="979"/>
    </row>
    <row r="85" spans="2:18">
      <c r="B85" s="1329"/>
      <c r="C85" s="1151"/>
      <c r="D85" s="1151"/>
      <c r="E85" s="1151"/>
      <c r="F85" s="1151"/>
      <c r="G85" s="1151"/>
      <c r="H85" s="1151"/>
      <c r="I85" s="1151"/>
      <c r="J85" s="1151"/>
      <c r="K85" s="1151"/>
    </row>
    <row r="86" spans="2:18" ht="15">
      <c r="B86" s="1330" t="s">
        <v>1028</v>
      </c>
      <c r="C86" s="1331"/>
      <c r="D86" s="1331"/>
      <c r="E86" s="1332"/>
      <c r="F86" s="1331"/>
      <c r="G86" s="1332"/>
      <c r="H86" s="1151"/>
      <c r="I86" s="1151"/>
      <c r="J86" s="1151"/>
      <c r="K86" s="1151"/>
    </row>
    <row r="87" spans="2:18" ht="8.1" customHeight="1">
      <c r="B87" s="1329"/>
      <c r="C87" s="1151"/>
      <c r="D87" s="1151"/>
      <c r="E87" s="1151"/>
      <c r="F87" s="1151"/>
      <c r="G87" s="1151"/>
      <c r="H87" s="1151"/>
      <c r="I87" s="1151"/>
      <c r="J87" s="1151"/>
      <c r="K87" s="1151"/>
      <c r="L87" s="1151"/>
      <c r="M87" s="1151"/>
      <c r="N87" s="1151"/>
      <c r="O87" s="1151"/>
    </row>
    <row r="88" spans="2:18">
      <c r="B88" s="1333" t="str">
        <f>"Net GST Payable/(Refundable) from "&amp;TEXT(B74,"mmm yyyy")&amp;" BAS:"</f>
        <v>Net GST Payable/(Refundable) from Jun 2024 BAS:</v>
      </c>
      <c r="C88" s="1334"/>
      <c r="D88" s="1334"/>
      <c r="E88" s="1334"/>
      <c r="H88" s="1335">
        <f>F32</f>
        <v>0</v>
      </c>
      <c r="I88" s="1151" t="s">
        <v>1220</v>
      </c>
      <c r="J88" s="1336" t="s">
        <v>1352</v>
      </c>
      <c r="K88" s="1151"/>
      <c r="M88" s="1292">
        <f>C32</f>
        <v>0</v>
      </c>
      <c r="N88" s="1292"/>
      <c r="O88" s="1292"/>
    </row>
    <row r="89" spans="2:18">
      <c r="B89" s="1329"/>
      <c r="C89" s="1329"/>
      <c r="D89" s="1329"/>
      <c r="E89" s="1329"/>
      <c r="F89" s="1337"/>
      <c r="G89" s="1337"/>
      <c r="H89" s="1338"/>
      <c r="I89" s="1151"/>
      <c r="J89" s="1151" t="s">
        <v>1353</v>
      </c>
      <c r="K89" s="1336"/>
      <c r="M89" s="1292">
        <f>H91</f>
        <v>0</v>
      </c>
      <c r="N89" s="1292"/>
      <c r="O89" s="1292"/>
    </row>
    <row r="90" spans="2:18">
      <c r="B90" s="1339" t="s">
        <v>1013</v>
      </c>
      <c r="C90" s="1340"/>
      <c r="D90" s="1340"/>
      <c r="E90" s="1340"/>
      <c r="H90" s="1341"/>
      <c r="I90" s="1150"/>
      <c r="J90" s="1151" t="s">
        <v>1354</v>
      </c>
      <c r="K90" s="1336"/>
      <c r="M90" s="1342">
        <f>C76</f>
        <v>0</v>
      </c>
      <c r="N90" s="1292"/>
      <c r="O90" s="1292"/>
    </row>
    <row r="91" spans="2:18" ht="12.75" customHeight="1">
      <c r="B91" s="1343">
        <v>1</v>
      </c>
      <c r="C91" s="3976" t="s">
        <v>1029</v>
      </c>
      <c r="D91" s="3976"/>
      <c r="E91" s="3976"/>
      <c r="F91" s="3976"/>
      <c r="G91" s="3976"/>
      <c r="H91" s="2959">
        <f>IF(P9=1, IF(Debtors!C66=0,0,Debtors!C66), 0)</f>
        <v>0</v>
      </c>
      <c r="I91" s="1150"/>
      <c r="J91" s="1151" t="s">
        <v>1355</v>
      </c>
      <c r="K91" s="1336"/>
      <c r="M91" s="2960"/>
      <c r="N91" s="1292"/>
      <c r="O91" s="1292"/>
    </row>
    <row r="92" spans="2:18" ht="13.5" customHeight="1" thickBot="1">
      <c r="B92" s="1343">
        <v>2</v>
      </c>
      <c r="C92" s="3976" t="s">
        <v>1030</v>
      </c>
      <c r="D92" s="3976"/>
      <c r="E92" s="3976"/>
      <c r="F92" s="3976"/>
      <c r="G92" s="3976"/>
      <c r="H92" s="2959">
        <f>IF(P9=1, IF(Creditors!F43=0,0,-Creditors!F43), 0)</f>
        <v>0</v>
      </c>
      <c r="I92" s="1150"/>
      <c r="J92" s="1336" t="s">
        <v>1356</v>
      </c>
      <c r="K92" s="1336"/>
      <c r="M92" s="1344">
        <f>SUM(M88:M91)</f>
        <v>0</v>
      </c>
      <c r="N92" s="1298"/>
      <c r="O92" s="1298"/>
    </row>
    <row r="93" spans="2:18" ht="13.5" customHeight="1" thickTop="1">
      <c r="B93" s="1343">
        <v>3</v>
      </c>
      <c r="C93" s="3976" t="s">
        <v>1360</v>
      </c>
      <c r="D93" s="3976"/>
      <c r="E93" s="3976"/>
      <c r="F93" s="3976"/>
      <c r="G93" s="3976"/>
      <c r="H93" s="2959">
        <f>M90</f>
        <v>0</v>
      </c>
      <c r="I93" s="1150"/>
      <c r="J93" s="1336"/>
      <c r="K93" s="1336"/>
      <c r="M93" s="1299"/>
      <c r="N93" s="1299"/>
      <c r="O93" s="1299"/>
    </row>
    <row r="94" spans="2:18" ht="12.75" customHeight="1">
      <c r="B94" s="1343">
        <v>4</v>
      </c>
      <c r="C94" s="3976" t="s">
        <v>1361</v>
      </c>
      <c r="D94" s="3976"/>
      <c r="E94" s="3976"/>
      <c r="F94" s="3976"/>
      <c r="G94" s="3976"/>
      <c r="H94" s="2959">
        <f>-M96</f>
        <v>0</v>
      </c>
      <c r="I94" s="1150"/>
      <c r="J94" s="1336" t="s">
        <v>1357</v>
      </c>
      <c r="K94" s="1336"/>
      <c r="M94" s="1292">
        <f>D32+E32</f>
        <v>0</v>
      </c>
      <c r="N94" s="1292"/>
      <c r="O94" s="1292"/>
    </row>
    <row r="95" spans="2:18">
      <c r="B95" s="1343">
        <v>5</v>
      </c>
      <c r="C95" s="3976"/>
      <c r="D95" s="3976"/>
      <c r="E95" s="3976"/>
      <c r="F95" s="3976"/>
      <c r="G95" s="3976"/>
      <c r="H95" s="2959"/>
      <c r="I95" s="1150"/>
      <c r="J95" s="1151" t="s">
        <v>1358</v>
      </c>
      <c r="K95" s="1336"/>
      <c r="L95" s="1336"/>
      <c r="M95" s="1292">
        <f>H92*-1</f>
        <v>0</v>
      </c>
      <c r="N95" s="1292"/>
      <c r="O95" s="1292"/>
    </row>
    <row r="96" spans="2:18">
      <c r="B96" s="1343">
        <v>6</v>
      </c>
      <c r="C96" s="3976"/>
      <c r="D96" s="3976"/>
      <c r="E96" s="3976"/>
      <c r="F96" s="3976"/>
      <c r="G96" s="3976"/>
      <c r="H96" s="2959"/>
      <c r="I96" s="1150"/>
      <c r="J96" s="1151" t="s">
        <v>1354</v>
      </c>
      <c r="K96" s="1336"/>
      <c r="L96" s="1336"/>
      <c r="M96" s="1342">
        <f>+E76+D76</f>
        <v>0</v>
      </c>
      <c r="N96" s="1292"/>
      <c r="O96" s="1292"/>
    </row>
    <row r="97" spans="2:15">
      <c r="B97" s="1343">
        <v>7</v>
      </c>
      <c r="C97" s="3976"/>
      <c r="D97" s="3976"/>
      <c r="E97" s="3976"/>
      <c r="F97" s="3976"/>
      <c r="G97" s="3976"/>
      <c r="H97" s="2959"/>
      <c r="I97" s="1150"/>
      <c r="J97" s="1151" t="s">
        <v>1355</v>
      </c>
      <c r="K97" s="1336"/>
      <c r="L97" s="1336"/>
      <c r="M97" s="2960"/>
      <c r="N97" s="1292"/>
      <c r="O97" s="1292"/>
    </row>
    <row r="98" spans="2:15" ht="13.5" thickBot="1">
      <c r="B98" s="1343">
        <v>8</v>
      </c>
      <c r="C98" s="3976"/>
      <c r="D98" s="3976"/>
      <c r="E98" s="3976"/>
      <c r="F98" s="3976"/>
      <c r="G98" s="3976"/>
      <c r="H98" s="2959"/>
      <c r="I98" s="1150"/>
      <c r="J98" s="1336" t="s">
        <v>1359</v>
      </c>
      <c r="K98" s="1336"/>
      <c r="L98" s="1336"/>
      <c r="M98" s="1344">
        <f>SUM(M94:M97)</f>
        <v>0</v>
      </c>
      <c r="N98" s="1298"/>
      <c r="O98" s="1298"/>
    </row>
    <row r="99" spans="2:15" ht="13.5" thickTop="1">
      <c r="B99" s="1345"/>
      <c r="C99" s="1346"/>
      <c r="D99" s="1346"/>
      <c r="E99" s="1346"/>
      <c r="F99" s="1337"/>
      <c r="G99" s="1337"/>
      <c r="H99" s="1656">
        <f>SUM(H90,H93:H98)+ABS(H91)-ABS(H92)</f>
        <v>0</v>
      </c>
      <c r="I99" s="1150"/>
      <c r="M99" s="1300"/>
      <c r="N99" s="1300"/>
      <c r="O99" s="1300"/>
    </row>
    <row r="100" spans="2:15" ht="12.75" customHeight="1">
      <c r="B100" s="1333"/>
      <c r="C100" s="1336"/>
      <c r="D100" s="1347"/>
      <c r="E100" s="1347"/>
      <c r="H100" s="1348"/>
      <c r="I100" s="1347"/>
      <c r="J100" s="1298"/>
      <c r="K100" s="1336"/>
      <c r="L100" s="1336"/>
      <c r="M100" s="1299"/>
      <c r="N100" s="1299"/>
      <c r="O100" s="1299"/>
    </row>
    <row r="101" spans="2:15" ht="12.75" customHeight="1">
      <c r="B101" s="1333" t="s">
        <v>169</v>
      </c>
      <c r="C101" s="1336"/>
      <c r="D101" s="1347"/>
      <c r="E101" s="1347"/>
      <c r="H101" s="1335">
        <f>H88+H99</f>
        <v>0</v>
      </c>
      <c r="I101" s="1151" t="s">
        <v>1220</v>
      </c>
      <c r="J101" s="1349" t="s">
        <v>1031</v>
      </c>
      <c r="M101" s="1335">
        <f>M92-M98</f>
        <v>0</v>
      </c>
      <c r="N101" s="1298"/>
      <c r="O101" s="1298"/>
    </row>
    <row r="102" spans="2:15">
      <c r="B102" s="1333"/>
      <c r="C102" s="1336"/>
      <c r="D102" s="1336"/>
      <c r="E102" s="1336"/>
      <c r="F102" s="1350"/>
      <c r="G102" s="1336"/>
      <c r="H102" s="1336"/>
      <c r="I102" s="1336"/>
      <c r="J102" s="1336"/>
      <c r="K102" s="1336"/>
    </row>
    <row r="103" spans="2:15" ht="15">
      <c r="B103" s="1330" t="s">
        <v>196</v>
      </c>
      <c r="C103" s="1351"/>
      <c r="D103" s="1351"/>
      <c r="E103" s="1351"/>
      <c r="F103" s="1352"/>
      <c r="G103" s="1351"/>
      <c r="H103" s="1351"/>
      <c r="I103" s="1351"/>
      <c r="J103" s="1353"/>
      <c r="K103" s="1336"/>
    </row>
    <row r="104" spans="2:15" ht="8.1" customHeight="1">
      <c r="B104" s="1333"/>
      <c r="C104" s="1336"/>
      <c r="D104" s="1336"/>
      <c r="E104" s="1336"/>
      <c r="F104" s="1350"/>
      <c r="G104" s="1336"/>
      <c r="H104" s="1336"/>
      <c r="I104" s="1336"/>
      <c r="J104" s="1336"/>
      <c r="K104" s="1336"/>
    </row>
    <row r="105" spans="2:15">
      <c r="B105" s="1333" t="s">
        <v>28</v>
      </c>
      <c r="C105" s="1336"/>
      <c r="D105" s="1336"/>
      <c r="E105" s="1336"/>
      <c r="F105" s="1350"/>
      <c r="G105" s="1336"/>
      <c r="H105" s="1299">
        <f>M34-C34</f>
        <v>0</v>
      </c>
      <c r="I105" s="1336"/>
      <c r="J105" s="1336"/>
      <c r="K105" s="1336"/>
      <c r="L105" s="1354" t="s">
        <v>1587</v>
      </c>
      <c r="M105" s="2960"/>
      <c r="N105" s="1292"/>
      <c r="O105" s="1292"/>
    </row>
    <row r="106" spans="2:15" ht="13.5" thickBot="1">
      <c r="B106" s="1329" t="str">
        <f>CONCATENATE("Less: Net debtors ",YEAR('WP Index'!G5)-1)</f>
        <v>Less: Net debtors 2023</v>
      </c>
      <c r="C106" s="1336"/>
      <c r="D106" s="1336"/>
      <c r="E106" s="1336"/>
      <c r="F106" s="1350"/>
      <c r="G106" s="1336"/>
      <c r="H106" s="2961"/>
      <c r="I106" s="1336"/>
      <c r="J106" s="1336"/>
      <c r="K106" s="1336"/>
      <c r="L106" s="1354" t="s">
        <v>1339</v>
      </c>
      <c r="M106" s="1355">
        <f>+M101-M105</f>
        <v>0</v>
      </c>
      <c r="N106" s="1293"/>
      <c r="O106" s="1293"/>
    </row>
    <row r="107" spans="2:15" ht="13.5" thickTop="1">
      <c r="B107" s="1329" t="str">
        <f>CONCATENATE("Plus: Net debtors ",YEAR('WP Index'!G5))</f>
        <v>Plus: Net debtors 2024</v>
      </c>
      <c r="C107" s="1336"/>
      <c r="D107" s="1336"/>
      <c r="E107" s="1336"/>
      <c r="F107" s="1350"/>
      <c r="G107" s="1336"/>
      <c r="H107" s="2962">
        <f>+IF(P9 = 1, Debtors!D66, 0)</f>
        <v>0</v>
      </c>
      <c r="I107" s="1336"/>
      <c r="J107" s="1336"/>
      <c r="K107" s="1336"/>
    </row>
    <row r="108" spans="2:15" ht="13.5" thickBot="1">
      <c r="B108" s="1333" t="s">
        <v>197</v>
      </c>
      <c r="C108" s="1336"/>
      <c r="D108" s="1336"/>
      <c r="E108" s="1336"/>
      <c r="F108" s="1350"/>
      <c r="G108" s="1336"/>
      <c r="H108" s="1344">
        <f>SUM(H105:H107)</f>
        <v>0</v>
      </c>
      <c r="I108" s="1336"/>
      <c r="J108" s="1336"/>
      <c r="K108" s="1336"/>
    </row>
    <row r="109" spans="2:15" ht="13.5" thickTop="1">
      <c r="B109" s="1333"/>
      <c r="C109" s="1336"/>
      <c r="D109" s="1336"/>
      <c r="E109" s="1336"/>
      <c r="F109" s="1350"/>
      <c r="G109" s="1336"/>
      <c r="H109" s="1336"/>
      <c r="I109" s="1336"/>
      <c r="J109" s="1336"/>
      <c r="K109" s="1336"/>
    </row>
    <row r="110" spans="2:15">
      <c r="B110" s="1334" t="s">
        <v>1155</v>
      </c>
      <c r="C110" s="1151"/>
      <c r="D110" s="1151"/>
      <c r="E110" s="1151"/>
      <c r="F110" s="1151"/>
      <c r="G110" s="1151"/>
      <c r="H110" s="1151"/>
      <c r="I110" s="1151"/>
      <c r="J110" s="1151"/>
      <c r="K110" s="1151"/>
      <c r="L110" s="1151"/>
      <c r="M110" s="1151"/>
      <c r="N110" s="1151"/>
      <c r="O110" s="1151"/>
    </row>
    <row r="111" spans="2:15" ht="45" customHeight="1">
      <c r="B111" s="3981"/>
      <c r="C111" s="3982"/>
      <c r="D111" s="3982"/>
      <c r="E111" s="3982"/>
      <c r="F111" s="3982"/>
      <c r="G111" s="3982"/>
      <c r="H111" s="3982"/>
      <c r="I111" s="3982"/>
      <c r="J111" s="3982"/>
      <c r="K111" s="3982"/>
      <c r="L111" s="3982"/>
      <c r="M111" s="3983"/>
      <c r="N111" s="1301"/>
      <c r="O111" s="1301"/>
    </row>
  </sheetData>
  <customSheetViews>
    <customSheetView guid="{BCBE45D4-3C45-4659-992E-5C5D3E9FD81C}" showPageBreaks="1" showGridLines="0" fitToPage="1" hiddenRows="1" hiddenColumns="1" topLeftCell="B69">
      <selection activeCell="T51" sqref="T51"/>
      <pageMargins left="0.59055118110236227" right="0.43307086614173229" top="0.6692913385826772" bottom="0.94488188976377963" header="0.51181102362204722" footer="0.39370078740157483"/>
      <printOptions horizontalCentered="1"/>
      <pageSetup paperSize="9" scale="5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showGridLines="0" fitToPage="1" hiddenColumns="1" topLeftCell="B1">
      <selection activeCell="H26" sqref="H26"/>
      <pageMargins left="0.59055118110236227" right="0.43307086614173229" top="0.6692913385826772" bottom="0.94488188976377963" header="0.51181102362204722" footer="0.39370078740157483"/>
      <printOptions horizontalCentered="1"/>
      <pageSetup paperSize="9" scale="54" fitToHeight="999" orientation="portrait" blackAndWhite="1" r:id="rId2"/>
      <headerFooter alignWithMargins="0">
        <oddFooter>&amp;L&amp;8Copyright Crowe Horwath (Aust) Pty Ltd 2016.  All rights reserved.
&amp;Z&amp;F[&amp;A]&amp;R&amp;8&amp;P/&amp;N</oddFooter>
      </headerFooter>
    </customSheetView>
  </customSheetViews>
  <mergeCells count="17">
    <mergeCell ref="B111:M111"/>
    <mergeCell ref="C97:G97"/>
    <mergeCell ref="C96:G96"/>
    <mergeCell ref="C82:M82"/>
    <mergeCell ref="C98:G98"/>
    <mergeCell ref="C92:G92"/>
    <mergeCell ref="C95:G95"/>
    <mergeCell ref="A8:M8"/>
    <mergeCell ref="C91:G91"/>
    <mergeCell ref="C93:G93"/>
    <mergeCell ref="C94:G94"/>
    <mergeCell ref="C83:M83"/>
    <mergeCell ref="B13:G13"/>
    <mergeCell ref="C84:M84"/>
    <mergeCell ref="L9:M9"/>
    <mergeCell ref="C80:M80"/>
    <mergeCell ref="C81:M81"/>
  </mergeCells>
  <phoneticPr fontId="26" type="noConversion"/>
  <conditionalFormatting sqref="L100 M100:O101 L97:O98 J101">
    <cfRule type="cellIs" dxfId="28" priority="2" stopIfTrue="1" operator="equal">
      <formula>"Does Not Agree"</formula>
    </cfRule>
  </conditionalFormatting>
  <conditionalFormatting sqref="M105:O105">
    <cfRule type="cellIs" dxfId="27" priority="1" stopIfTrue="1" operator="equal">
      <formula>"Does Not Agree"</formula>
    </cfRule>
  </conditionalFormatting>
  <dataValidations count="2">
    <dataValidation type="custom" errorStyle="warning" allowBlank="1" showErrorMessage="1" errorTitle="GST on creditors" error="GST on creditors should be a negative value." sqref="H92" xr:uid="{00000000-0002-0000-2300-000000000000}">
      <formula1>H92&lt;=0</formula1>
    </dataValidation>
    <dataValidation type="custom" errorStyle="warning" allowBlank="1" showErrorMessage="1" errorTitle="GST on Debtors" error="GST on debtors should be a positive value." sqref="H91" xr:uid="{00000000-0002-0000-2300-000001000000}">
      <formula1>H91&gt;=0</formula1>
    </dataValidation>
  </dataValidations>
  <hyperlinks>
    <hyperlink ref="L9" location="'WP Index'!A1" display="Back to Workpaper Index" xr:uid="{00000000-0004-0000-2300-000000000000}"/>
    <hyperlink ref="L9:M9" location="WPIndex!A1" display="Back to WP Index" xr:uid="{00000000-0004-0000-2300-000001000000}"/>
  </hyperlinks>
  <printOptions horizontalCentered="1"/>
  <pageMargins left="0.59055118110236227" right="0.43307086614173229" top="0.6692913385826772" bottom="0.94488188976377963" header="0.51181102362204722" footer="0.39370078740157483"/>
  <pageSetup paperSize="9" scale="54" orientation="portrait" r:id="rId3"/>
  <headerFooter alignWithMargins="0">
    <oddFooter>&amp;L&amp;8© Findex (Aust) Pty Ltd.  All rights reserved.&amp;R&amp;8&amp;P/&amp;N</oddFooter>
  </headerFooter>
  <drawing r:id="rId4"/>
  <legacyDrawing r:id="rId5"/>
  <controls>
    <mc:AlternateContent xmlns:mc="http://schemas.openxmlformats.org/markup-compatibility/2006">
      <mc:Choice Requires="x14">
        <control shapeId="89185" r:id="rId6" name="CapitalRecToggleButton">
          <controlPr defaultSize="0" print="0" autoLine="0" r:id="rId7">
            <anchor moveWithCells="1">
              <from>
                <xdr:col>19</xdr:col>
                <xdr:colOff>0</xdr:colOff>
                <xdr:row>9</xdr:row>
                <xdr:rowOff>0</xdr:rowOff>
              </from>
              <to>
                <xdr:col>20</xdr:col>
                <xdr:colOff>228600</xdr:colOff>
                <xdr:row>11</xdr:row>
                <xdr:rowOff>47625</xdr:rowOff>
              </to>
            </anchor>
          </controlPr>
        </control>
      </mc:Choice>
      <mc:Fallback>
        <control shapeId="89185" r:id="rId6" name="CapitalRecToggleButton"/>
      </mc:Fallback>
    </mc:AlternateContent>
    <mc:AlternateContent xmlns:mc="http://schemas.openxmlformats.org/markup-compatibility/2006">
      <mc:Choice Requires="x14">
        <control shapeId="89089" r:id="rId8" name="Drop Down 1">
          <controlPr defaultSize="0" autoLine="0" autoPict="0" macro="[0]!GSTRec">
            <anchor moveWithCells="1">
              <from>
                <xdr:col>7</xdr:col>
                <xdr:colOff>57150</xdr:colOff>
                <xdr:row>8</xdr:row>
                <xdr:rowOff>142875</xdr:rowOff>
              </from>
              <to>
                <xdr:col>8</xdr:col>
                <xdr:colOff>76200</xdr:colOff>
                <xdr:row>10</xdr:row>
                <xdr:rowOff>19050</xdr:rowOff>
              </to>
            </anchor>
          </controlPr>
        </control>
      </mc:Choice>
    </mc:AlternateContent>
    <mc:AlternateContent xmlns:mc="http://schemas.openxmlformats.org/markup-compatibility/2006">
      <mc:Choice Requires="x14">
        <control shapeId="89100" r:id="rId9" name="Button 12">
          <controlPr defaultSize="0" print="0" autoFill="0" autoPict="0" macro="[0]!GSTRecWPRefToggle">
            <anchor moveWithCells="1" sizeWithCells="1">
              <from>
                <xdr:col>0</xdr:col>
                <xdr:colOff>0</xdr:colOff>
                <xdr:row>16</xdr:row>
                <xdr:rowOff>0</xdr:rowOff>
              </from>
              <to>
                <xdr:col>2</xdr:col>
                <xdr:colOff>0</xdr:colOff>
                <xdr:row>17</xdr:row>
                <xdr:rowOff>0</xdr:rowOff>
              </to>
            </anchor>
          </controlPr>
        </control>
      </mc:Choice>
    </mc:AlternateContent>
    <mc:AlternateContent xmlns:mc="http://schemas.openxmlformats.org/markup-compatibility/2006">
      <mc:Choice Requires="x14">
        <control shapeId="89186" r:id="rId10" name="Drop Down 98">
          <controlPr defaultSize="0" autoLine="0" autoPict="0" macro="[0]!GSTRec">
            <anchor moveWithCells="1">
              <from>
                <xdr:col>7</xdr:col>
                <xdr:colOff>57150</xdr:colOff>
                <xdr:row>10</xdr:row>
                <xdr:rowOff>57150</xdr:rowOff>
              </from>
              <to>
                <xdr:col>8</xdr:col>
                <xdr:colOff>76200</xdr:colOff>
                <xdr:row>11</xdr:row>
                <xdr:rowOff>9525</xdr:rowOff>
              </to>
            </anchor>
          </controlPr>
        </control>
      </mc:Choice>
    </mc:AlternateContent>
  </control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tabColor theme="8" tint="0.79998168889431442"/>
  </sheetPr>
  <dimension ref="A1:BK194"/>
  <sheetViews>
    <sheetView zoomScaleNormal="100" workbookViewId="0">
      <selection sqref="A1:F1"/>
    </sheetView>
  </sheetViews>
  <sheetFormatPr defaultColWidth="9.140625" defaultRowHeight="15"/>
  <cols>
    <col min="1" max="1" width="11.5703125" style="1682" customWidth="1"/>
    <col min="2" max="3" width="20.7109375" style="1682" customWidth="1"/>
    <col min="4" max="4" width="13.5703125" style="1682" bestFit="1" customWidth="1"/>
    <col min="5" max="5" width="12.85546875" style="1682" bestFit="1" customWidth="1"/>
    <col min="6" max="6" width="13.42578125" style="1682" customWidth="1"/>
    <col min="7" max="8" width="12.5703125" style="1766" customWidth="1"/>
    <col min="9" max="63" width="9.140625" style="1766"/>
    <col min="64" max="16384" width="9.140625" style="1682"/>
  </cols>
  <sheetData>
    <row r="1" spans="1:8" ht="15.75">
      <c r="A1" s="1613"/>
      <c r="B1" s="1613"/>
      <c r="C1" s="1613"/>
      <c r="D1" s="1613"/>
      <c r="E1" s="2613" t="s">
        <v>2425</v>
      </c>
      <c r="F1" s="3576" t="s">
        <v>2758</v>
      </c>
    </row>
    <row r="2" spans="1:8" ht="15.75">
      <c r="A2" s="1612"/>
      <c r="B2" s="1613"/>
      <c r="C2" s="1613"/>
      <c r="D2" s="1613"/>
      <c r="E2" s="71" t="s">
        <v>2426</v>
      </c>
      <c r="F2" s="2621"/>
    </row>
    <row r="3" spans="1:8" ht="15.75">
      <c r="A3" s="1612"/>
      <c r="B3" s="1613"/>
      <c r="C3" s="1613"/>
      <c r="D3" s="1613"/>
      <c r="E3" s="40"/>
      <c r="F3" s="1"/>
    </row>
    <row r="4" spans="1:8">
      <c r="A4" s="1612"/>
      <c r="B4" s="1768"/>
      <c r="C4" s="1768"/>
      <c r="D4" s="1616"/>
      <c r="E4" s="2612" t="s">
        <v>1163</v>
      </c>
      <c r="F4" s="709" t="s">
        <v>1262</v>
      </c>
    </row>
    <row r="5" spans="1:8">
      <c r="A5" s="1612"/>
      <c r="B5" s="1768"/>
      <c r="C5" s="1768"/>
      <c r="D5" s="1617" t="s">
        <v>332</v>
      </c>
      <c r="E5" s="2617" t="str">
        <f>IF(PreparedBy="","",PreparedBy)</f>
        <v/>
      </c>
      <c r="F5" s="2618" t="str">
        <f>IF(DatePrepared="","",DatePrepared)</f>
        <v/>
      </c>
    </row>
    <row r="6" spans="1:8">
      <c r="A6" s="1612"/>
      <c r="B6" s="1768"/>
      <c r="C6" s="1768"/>
      <c r="D6" s="1617" t="s">
        <v>333</v>
      </c>
      <c r="E6" s="2619"/>
      <c r="F6" s="2620"/>
    </row>
    <row r="7" spans="1:8" ht="15.75">
      <c r="A7" s="1612"/>
      <c r="B7" s="1613"/>
      <c r="C7" s="1613"/>
      <c r="D7" s="1613"/>
      <c r="E7" s="1613"/>
      <c r="F7" s="1613"/>
    </row>
    <row r="8" spans="1:8" ht="15.75">
      <c r="A8" s="3849" t="s">
        <v>1872</v>
      </c>
      <c r="B8" s="3850"/>
      <c r="C8" s="3850"/>
      <c r="D8" s="3850"/>
      <c r="E8" s="3850"/>
      <c r="F8" s="3851"/>
    </row>
    <row r="9" spans="1:8">
      <c r="A9" s="1768"/>
      <c r="B9" s="1769"/>
      <c r="C9" s="1769"/>
      <c r="D9" s="1770"/>
      <c r="E9" s="1769"/>
      <c r="F9" s="3248" t="s">
        <v>2526</v>
      </c>
    </row>
    <row r="10" spans="1:8" ht="15.75">
      <c r="A10" s="1771" t="str">
        <f>"CLIENT NAME:   "&amp;IF(ClientName="[ENTER CLIENT NAME]","",ClientName)</f>
        <v>CLIENT NAME:   Example Trust</v>
      </c>
      <c r="B10" s="1769"/>
      <c r="C10" s="1769"/>
      <c r="D10" s="1770"/>
      <c r="E10" s="1769"/>
      <c r="F10" s="1769"/>
    </row>
    <row r="11" spans="1:8">
      <c r="A11" s="1772" t="str">
        <f>"CLIENT CODE:   "&amp;'WP Index'!E4</f>
        <v>CLIENT CODE:   99999</v>
      </c>
      <c r="B11" s="1769"/>
      <c r="C11" s="1769"/>
      <c r="D11" s="1770"/>
      <c r="E11" s="1622" t="s">
        <v>951</v>
      </c>
      <c r="F11" s="1773">
        <f>'Input Info'!F8</f>
        <v>45473</v>
      </c>
    </row>
    <row r="12" spans="1:8">
      <c r="A12" s="1766"/>
      <c r="B12" s="1766"/>
      <c r="C12" s="1766"/>
      <c r="D12" s="1766"/>
      <c r="E12" s="1766"/>
      <c r="F12" s="1766"/>
    </row>
    <row r="13" spans="1:8">
      <c r="A13" s="1774"/>
      <c r="B13" s="1774" t="s">
        <v>1858</v>
      </c>
      <c r="C13" s="1775">
        <f>F11-365</f>
        <v>45108</v>
      </c>
      <c r="D13" s="1774"/>
      <c r="E13" s="1776"/>
      <c r="F13" s="2917">
        <v>0</v>
      </c>
      <c r="G13" s="1767"/>
      <c r="H13" s="1767"/>
    </row>
    <row r="14" spans="1:8">
      <c r="A14" s="1777" t="s">
        <v>1859</v>
      </c>
      <c r="B14" s="1774" t="s">
        <v>1860</v>
      </c>
      <c r="C14" s="1774"/>
      <c r="D14" s="1777"/>
      <c r="E14" s="1776"/>
      <c r="F14" s="2963">
        <v>0</v>
      </c>
      <c r="G14" s="1767"/>
      <c r="H14" s="1767"/>
    </row>
    <row r="15" spans="1:8">
      <c r="A15" s="1774"/>
      <c r="B15" s="1774"/>
      <c r="C15" s="1774"/>
      <c r="D15" s="1774"/>
      <c r="E15" s="1776"/>
      <c r="F15" s="1778">
        <f>F13+F14</f>
        <v>0</v>
      </c>
      <c r="G15" s="1767"/>
      <c r="H15" s="1767"/>
    </row>
    <row r="16" spans="1:8">
      <c r="A16" s="1767"/>
      <c r="B16" s="1767"/>
      <c r="C16" s="1767"/>
      <c r="D16" s="1767"/>
      <c r="E16" s="1767"/>
      <c r="F16" s="1767"/>
      <c r="G16" s="1767"/>
      <c r="H16" s="1767"/>
    </row>
    <row r="17" spans="1:8">
      <c r="A17" s="1777" t="s">
        <v>1861</v>
      </c>
      <c r="B17" s="1774" t="s">
        <v>1862</v>
      </c>
      <c r="C17" s="1774"/>
      <c r="D17" s="1777"/>
      <c r="E17" s="1776"/>
      <c r="F17" s="1778"/>
      <c r="G17" s="1767"/>
      <c r="H17" s="1767"/>
    </row>
    <row r="18" spans="1:8">
      <c r="A18" s="1767"/>
      <c r="B18" s="1767"/>
      <c r="C18" s="1767"/>
      <c r="D18" s="1767"/>
      <c r="E18" s="1767"/>
      <c r="F18" s="1767"/>
      <c r="G18" s="1767"/>
      <c r="H18" s="1767"/>
    </row>
    <row r="19" spans="1:8" ht="26.25">
      <c r="A19" s="1683" t="s">
        <v>1863</v>
      </c>
      <c r="B19" s="3984" t="s">
        <v>1864</v>
      </c>
      <c r="C19" s="3984"/>
      <c r="D19" s="1684" t="s">
        <v>1079</v>
      </c>
      <c r="E19" s="1685" t="s">
        <v>1865</v>
      </c>
      <c r="F19" s="1685" t="s">
        <v>1866</v>
      </c>
      <c r="G19" s="1767"/>
      <c r="H19" s="1767"/>
    </row>
    <row r="20" spans="1:8">
      <c r="A20" s="1686" t="s">
        <v>1867</v>
      </c>
      <c r="B20" s="3985" t="s">
        <v>1868</v>
      </c>
      <c r="C20" s="3985"/>
      <c r="D20" s="2917"/>
      <c r="E20" s="1687"/>
      <c r="F20" s="2964"/>
      <c r="G20" s="1767"/>
      <c r="H20" s="1767"/>
    </row>
    <row r="21" spans="1:8">
      <c r="A21" s="1687" t="str">
        <f>IF(F21&lt;=E21,"ON TIME","LATE")</f>
        <v>ON TIME</v>
      </c>
      <c r="B21" s="1688">
        <f>C21-90</f>
        <v>45018</v>
      </c>
      <c r="C21" s="1689">
        <f>C13</f>
        <v>45108</v>
      </c>
      <c r="D21" s="2917"/>
      <c r="E21" s="1688">
        <f>C21+28</f>
        <v>45136</v>
      </c>
      <c r="F21" s="2965"/>
      <c r="G21" s="1767"/>
      <c r="H21" s="1767"/>
    </row>
    <row r="22" spans="1:8">
      <c r="A22" s="1687" t="str">
        <f>IF(F22&lt;=E22,"ON TIME","LATE")</f>
        <v>ON TIME</v>
      </c>
      <c r="B22" s="1688">
        <f>C22-91</f>
        <v>45109</v>
      </c>
      <c r="C22" s="1689">
        <f>C21+92</f>
        <v>45200</v>
      </c>
      <c r="D22" s="2917"/>
      <c r="E22" s="1688">
        <f>C22+28</f>
        <v>45228</v>
      </c>
      <c r="F22" s="2917"/>
      <c r="G22" s="1767"/>
      <c r="H22" s="1767"/>
    </row>
    <row r="23" spans="1:8">
      <c r="A23" s="1687" t="str">
        <f>IF(F23&lt;=E23,"ON TIME","LATE")</f>
        <v>ON TIME</v>
      </c>
      <c r="B23" s="1688">
        <f>C23-91</f>
        <v>45201</v>
      </c>
      <c r="C23" s="1689">
        <f>C22+92</f>
        <v>45292</v>
      </c>
      <c r="D23" s="2917"/>
      <c r="E23" s="1688">
        <f>C23+28</f>
        <v>45320</v>
      </c>
      <c r="F23" s="2965"/>
      <c r="G23" s="1767"/>
      <c r="H23" s="1767"/>
    </row>
    <row r="24" spans="1:8">
      <c r="A24" s="1687" t="str">
        <f>IF(F24&lt;=E24,"ON TIME","LATE")</f>
        <v>ON TIME</v>
      </c>
      <c r="B24" s="1688">
        <f>C24-90</f>
        <v>45292</v>
      </c>
      <c r="C24" s="1689">
        <f>C23+90</f>
        <v>45382</v>
      </c>
      <c r="D24" s="2917"/>
      <c r="E24" s="1688">
        <f>C24+28</f>
        <v>45410</v>
      </c>
      <c r="F24" s="2965"/>
      <c r="G24" s="1767"/>
      <c r="H24" s="1767"/>
    </row>
    <row r="25" spans="1:8">
      <c r="A25" s="1687" t="str">
        <f>IF(F25&lt;=E25,"ON TIME","LATE")</f>
        <v>ON TIME</v>
      </c>
      <c r="B25" s="1688">
        <f>C25-90</f>
        <v>45383</v>
      </c>
      <c r="C25" s="1689">
        <f>C24+91</f>
        <v>45473</v>
      </c>
      <c r="D25" s="2917"/>
      <c r="E25" s="1688">
        <f>C25+28</f>
        <v>45501</v>
      </c>
      <c r="F25" s="2965"/>
      <c r="G25" s="1767"/>
      <c r="H25" s="1767"/>
    </row>
    <row r="26" spans="1:8">
      <c r="A26" s="1767"/>
      <c r="B26" s="1767"/>
      <c r="C26" s="1767"/>
      <c r="D26" s="1767"/>
      <c r="E26" s="1767"/>
      <c r="F26" s="1767"/>
      <c r="G26" s="1767"/>
      <c r="H26" s="1767"/>
    </row>
    <row r="27" spans="1:8">
      <c r="A27" s="1767"/>
      <c r="B27" s="1767"/>
      <c r="C27" s="1767"/>
      <c r="D27" s="1767"/>
      <c r="E27" s="1767"/>
      <c r="F27" s="1767"/>
      <c r="G27" s="1767"/>
      <c r="H27" s="1767"/>
    </row>
    <row r="28" spans="1:8">
      <c r="A28" s="1767"/>
      <c r="B28" s="1767"/>
      <c r="C28" s="1767"/>
      <c r="D28" s="1767"/>
      <c r="E28" s="1779"/>
      <c r="F28" s="1780">
        <f>SUM(D20:D24)</f>
        <v>0</v>
      </c>
      <c r="G28" s="1767"/>
      <c r="H28" s="1767"/>
    </row>
    <row r="29" spans="1:8">
      <c r="A29" s="1767"/>
      <c r="B29" s="1767"/>
      <c r="C29" s="1767"/>
      <c r="D29" s="1767"/>
      <c r="E29" s="1767"/>
      <c r="F29" s="1778"/>
      <c r="G29" s="1767"/>
      <c r="H29" s="1767"/>
    </row>
    <row r="30" spans="1:8" ht="15.75" thickBot="1">
      <c r="A30" s="1767"/>
      <c r="B30" s="1781" t="s">
        <v>1869</v>
      </c>
      <c r="C30" s="1781"/>
      <c r="D30" s="1782">
        <f>+F11</f>
        <v>45473</v>
      </c>
      <c r="E30" s="1767"/>
      <c r="F30" s="1783">
        <f>F15-F28</f>
        <v>0</v>
      </c>
      <c r="G30" s="1767"/>
      <c r="H30" s="1767"/>
    </row>
    <row r="31" spans="1:8" ht="15.75" thickTop="1">
      <c r="A31" s="1767"/>
      <c r="B31" s="1767"/>
      <c r="C31" s="1767"/>
      <c r="D31" s="1767"/>
      <c r="E31" s="1767"/>
      <c r="F31" s="1778"/>
      <c r="G31" s="1767"/>
      <c r="H31" s="1767"/>
    </row>
    <row r="32" spans="1:8">
      <c r="A32" s="1784" t="s">
        <v>1870</v>
      </c>
      <c r="B32" s="1767"/>
      <c r="C32" s="1767"/>
      <c r="D32" s="1767"/>
      <c r="E32" s="1767"/>
      <c r="F32" s="1778"/>
      <c r="G32" s="1767"/>
      <c r="H32" s="1767"/>
    </row>
    <row r="33" spans="1:8">
      <c r="A33" s="1784" t="s">
        <v>1867</v>
      </c>
      <c r="B33" s="1785">
        <f>(IF(A20=A33,D20,0))+(IF(A21=A33,D21,0))+(IF(A22=A33,D22,0))+(IF(A23=A33,D23,0))+(IF(A24=A33,D24,0))+(IF(A25=A33,D25,0))</f>
        <v>0</v>
      </c>
      <c r="C33" s="1786" t="s">
        <v>1871</v>
      </c>
      <c r="D33" s="1767"/>
      <c r="E33" s="1767"/>
      <c r="F33" s="1778"/>
      <c r="G33" s="1767"/>
      <c r="H33" s="1767"/>
    </row>
    <row r="34" spans="1:8">
      <c r="A34" s="1767"/>
      <c r="B34" s="1787"/>
      <c r="C34" s="1787"/>
      <c r="D34" s="1767"/>
      <c r="E34" s="1788"/>
      <c r="F34" s="1778"/>
      <c r="G34" s="1767"/>
      <c r="H34" s="1767"/>
    </row>
    <row r="35" spans="1:8">
      <c r="A35" s="1767" t="s">
        <v>172</v>
      </c>
      <c r="B35" s="1767"/>
      <c r="C35" s="1767"/>
      <c r="D35" s="1767"/>
      <c r="E35" s="1767"/>
      <c r="F35" s="1778"/>
      <c r="G35" s="1767"/>
      <c r="H35" s="1767"/>
    </row>
    <row r="36" spans="1:8" ht="45.75" customHeight="1">
      <c r="A36" s="3986"/>
      <c r="B36" s="3987"/>
      <c r="C36" s="3987"/>
      <c r="D36" s="3987"/>
      <c r="E36" s="3987"/>
      <c r="F36" s="3988"/>
      <c r="G36" s="1767"/>
      <c r="H36" s="1767"/>
    </row>
    <row r="37" spans="1:8" s="1766" customFormat="1"/>
    <row r="38" spans="1:8" s="1766" customFormat="1"/>
    <row r="39" spans="1:8" s="1766" customFormat="1"/>
    <row r="40" spans="1:8" s="1766" customFormat="1"/>
    <row r="41" spans="1:8" s="1766" customFormat="1"/>
    <row r="42" spans="1:8" s="1766" customFormat="1"/>
    <row r="43" spans="1:8" s="1766" customFormat="1"/>
    <row r="44" spans="1:8" s="1766" customFormat="1"/>
    <row r="45" spans="1:8" s="1766" customFormat="1"/>
    <row r="46" spans="1:8" s="1766" customFormat="1"/>
    <row r="47" spans="1:8" s="1766" customFormat="1"/>
    <row r="48" spans="1:8" s="1766" customFormat="1"/>
    <row r="49" s="1766" customFormat="1"/>
    <row r="50" s="1766" customFormat="1"/>
    <row r="51" s="1766" customFormat="1"/>
    <row r="52" s="1766" customFormat="1"/>
    <row r="53" s="1766" customFormat="1"/>
    <row r="54" s="1766" customFormat="1"/>
    <row r="55" s="1766" customFormat="1"/>
    <row r="56" s="1766" customFormat="1"/>
    <row r="57" s="1766" customFormat="1"/>
    <row r="58" s="1766" customFormat="1"/>
    <row r="59" s="1766" customFormat="1"/>
    <row r="60" s="1766" customFormat="1"/>
    <row r="61" s="1766" customFormat="1"/>
    <row r="62" s="1766" customFormat="1"/>
    <row r="63" s="1766" customFormat="1"/>
    <row r="64" s="1766" customFormat="1"/>
    <row r="65" s="1766" customFormat="1"/>
    <row r="66" s="1766" customFormat="1"/>
    <row r="67" s="1766" customFormat="1"/>
    <row r="68" s="1766" customFormat="1"/>
    <row r="69" s="1766" customFormat="1"/>
    <row r="70" s="1766" customFormat="1"/>
    <row r="71" s="1766" customFormat="1"/>
    <row r="72" s="1766" customFormat="1"/>
    <row r="73" s="1766" customFormat="1"/>
    <row r="74" s="1766" customFormat="1"/>
    <row r="75" s="1766" customFormat="1"/>
    <row r="76" s="1766" customFormat="1"/>
    <row r="77" s="1766" customFormat="1"/>
    <row r="78" s="1766" customFormat="1"/>
    <row r="79" s="1766" customFormat="1"/>
    <row r="80" s="1766" customFormat="1"/>
    <row r="81" s="1766" customFormat="1"/>
    <row r="82" s="1766" customFormat="1"/>
    <row r="83" s="1766" customFormat="1"/>
    <row r="84" s="1766" customFormat="1"/>
    <row r="85" s="1766" customFormat="1"/>
    <row r="86" s="1766" customFormat="1"/>
    <row r="87" s="1766" customFormat="1"/>
    <row r="88" s="1766" customFormat="1"/>
    <row r="89" s="1766" customFormat="1"/>
    <row r="90" s="1766" customFormat="1"/>
    <row r="91" s="1766" customFormat="1"/>
    <row r="92" s="1766" customFormat="1"/>
    <row r="93" s="1766" customFormat="1"/>
    <row r="94" s="1766" customFormat="1"/>
    <row r="95" s="1766" customFormat="1"/>
    <row r="96" s="1766" customFormat="1"/>
    <row r="97" s="1766" customFormat="1"/>
    <row r="98" s="1766" customFormat="1"/>
    <row r="99" s="1766" customFormat="1"/>
    <row r="100" s="1766" customFormat="1"/>
    <row r="101" s="1766" customFormat="1"/>
    <row r="102" s="1766" customFormat="1"/>
    <row r="103" s="1766" customFormat="1"/>
    <row r="104" s="1766" customFormat="1"/>
    <row r="105" s="1766" customFormat="1"/>
    <row r="106" s="1766" customFormat="1"/>
    <row r="107" s="1766" customFormat="1"/>
    <row r="108" s="1766" customFormat="1"/>
    <row r="109" s="1766" customFormat="1"/>
    <row r="110" s="1766" customFormat="1"/>
    <row r="111" s="1766" customFormat="1"/>
    <row r="112" s="1766" customFormat="1"/>
    <row r="113" s="1766" customFormat="1"/>
    <row r="114" s="1766" customFormat="1"/>
    <row r="115" s="1766" customFormat="1"/>
    <row r="116" s="1766" customFormat="1"/>
    <row r="117" s="1766" customFormat="1"/>
    <row r="118" s="1766" customFormat="1"/>
    <row r="119" s="1766" customFormat="1"/>
    <row r="120" s="1766" customFormat="1"/>
    <row r="121" s="1766" customFormat="1"/>
    <row r="122" s="1766" customFormat="1"/>
    <row r="123" s="1766" customFormat="1"/>
    <row r="124" s="1766" customFormat="1"/>
    <row r="125" s="1766" customFormat="1"/>
    <row r="126" s="1766" customFormat="1"/>
    <row r="127" s="1766" customFormat="1"/>
    <row r="128" s="1766" customFormat="1"/>
    <row r="129" s="1766" customFormat="1"/>
    <row r="130" s="1766" customFormat="1"/>
    <row r="131" s="1766" customFormat="1"/>
    <row r="132" s="1766" customFormat="1"/>
    <row r="133" s="1766" customFormat="1"/>
    <row r="134" s="1766" customFormat="1"/>
    <row r="135" s="1766" customFormat="1"/>
    <row r="136" s="1766" customFormat="1"/>
    <row r="137" s="1766" customFormat="1"/>
    <row r="138" s="1766" customFormat="1"/>
    <row r="139" s="1766" customFormat="1"/>
    <row r="140" s="1766" customFormat="1"/>
    <row r="141" s="1766" customFormat="1"/>
    <row r="142" s="1766" customFormat="1"/>
    <row r="143" s="1766" customFormat="1"/>
    <row r="144" s="1766" customFormat="1"/>
    <row r="145" s="1766" customFormat="1"/>
    <row r="146" s="1766" customFormat="1"/>
    <row r="147" s="1766" customFormat="1"/>
    <row r="148" s="1766" customFormat="1"/>
    <row r="149" s="1766" customFormat="1"/>
    <row r="150" s="1766" customFormat="1"/>
    <row r="151" s="1766" customFormat="1"/>
    <row r="152" s="1766" customFormat="1"/>
    <row r="153" s="1766" customFormat="1"/>
    <row r="154" s="1766" customFormat="1"/>
    <row r="155" s="1766" customFormat="1"/>
    <row r="156" s="1766" customFormat="1"/>
    <row r="157" s="1766" customFormat="1"/>
    <row r="158" s="1766" customFormat="1"/>
    <row r="159" s="1766" customFormat="1"/>
    <row r="160" s="1766" customFormat="1"/>
    <row r="161" s="1766" customFormat="1"/>
    <row r="162" s="1766" customFormat="1"/>
    <row r="163" s="1766" customFormat="1"/>
    <row r="164" s="1766" customFormat="1"/>
    <row r="165" s="1766" customFormat="1"/>
    <row r="166" s="1766" customFormat="1"/>
    <row r="167" s="1766" customFormat="1"/>
    <row r="168" s="1766" customFormat="1"/>
    <row r="169" s="1766" customFormat="1"/>
    <row r="170" s="1766" customFormat="1"/>
    <row r="171" s="1766" customFormat="1"/>
    <row r="172" s="1766" customFormat="1"/>
    <row r="173" s="1766" customFormat="1"/>
    <row r="174" s="1766" customFormat="1"/>
    <row r="175" s="1766" customFormat="1"/>
    <row r="176" s="1766" customFormat="1"/>
    <row r="177" s="1766" customFormat="1"/>
    <row r="178" s="1766" customFormat="1"/>
    <row r="179" s="1766" customFormat="1"/>
    <row r="180" s="1766" customFormat="1"/>
    <row r="181" s="1766" customFormat="1"/>
    <row r="182" s="1766" customFormat="1"/>
    <row r="183" s="1766" customFormat="1"/>
    <row r="184" s="1766" customFormat="1"/>
    <row r="185" s="1766" customFormat="1"/>
    <row r="186" s="1766" customFormat="1"/>
    <row r="187" s="1766" customFormat="1"/>
    <row r="188" s="1766" customFormat="1"/>
    <row r="189" s="1766" customFormat="1"/>
    <row r="190" s="1766" customFormat="1"/>
    <row r="191" s="1766" customFormat="1"/>
    <row r="192" s="1766" customFormat="1"/>
    <row r="193" s="1766" customFormat="1"/>
    <row r="194" s="1766" customFormat="1"/>
  </sheetData>
  <customSheetViews>
    <customSheetView guid="{BCBE45D4-3C45-4659-992E-5C5D3E9FD81C}" fitToPage="1" topLeftCell="A13">
      <selection activeCell="J25" sqref="J25"/>
      <pageMargins left="0.59055118110236227" right="0.43307086614173229" top="0.6692913385826772" bottom="0.94488188976377963" header="0.51181102362204722" footer="0.39370078740157483"/>
      <printOptions horizontalCentered="1"/>
      <pageSetup paperSize="9" scale="7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selection activeCell="A22" sqref="A22"/>
      <pageMargins left="0.59055118110236227" right="0.43307086614173229" top="0.6692913385826772" bottom="0.94488188976377963" header="0.51181102362204722" footer="0.39370078740157483"/>
      <printOptions horizontalCentered="1"/>
      <pageSetup paperSize="9" scale="79" fitToHeight="999" orientation="portrait" blackAndWhite="1" r:id="rId2"/>
      <headerFooter alignWithMargins="0">
        <oddFooter>&amp;L&amp;8Copyright Crowe Horwath (Aust) Pty Ltd 2016.  All rights reserved.
&amp;Z&amp;F[&amp;A]&amp;R&amp;8&amp;P/&amp;N</oddFooter>
      </headerFooter>
    </customSheetView>
  </customSheetViews>
  <mergeCells count="4">
    <mergeCell ref="B19:C19"/>
    <mergeCell ref="B20:C20"/>
    <mergeCell ref="A8:F8"/>
    <mergeCell ref="A36:F36"/>
  </mergeCells>
  <hyperlinks>
    <hyperlink ref="A10" location="ClientName" display="ClientName" xr:uid="{00000000-0004-0000-2400-000001000000}"/>
    <hyperlink ref="F9" location="'WPIndex'!A1" display="Back to Workpaper Index" xr:uid="{65AE9F62-6465-4E98-9CA2-45AB22C0E6B5}"/>
  </hyperlinks>
  <printOptions horizontalCentered="1"/>
  <pageMargins left="0.59055118110236227" right="0.43307086614173229" top="0.6692913385826772" bottom="0.94488188976377963" header="0.51181102362204722" footer="0.39370078740157483"/>
  <pageSetup paperSize="9" fitToHeight="999" orientation="portrait" r:id="rId3"/>
  <headerFooter alignWithMargins="0">
    <oddFooter>&amp;L&amp;8© Findex (Aust) Pty Ltd.  All rights reserved.&amp;R&amp;8&amp;P/&amp;N</oddFooter>
  </headerFooter>
  <drawing r:id="rId4"/>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Interest_Calc_Sheet">
    <tabColor theme="8" tint="0.79998168889431442"/>
  </sheetPr>
  <dimension ref="A1:L36"/>
  <sheetViews>
    <sheetView zoomScaleNormal="100" workbookViewId="0">
      <selection sqref="A1:F1"/>
    </sheetView>
  </sheetViews>
  <sheetFormatPr defaultColWidth="9.140625" defaultRowHeight="12.75"/>
  <cols>
    <col min="1" max="1" width="12.28515625" style="1" customWidth="1"/>
    <col min="2" max="2" width="3.5703125" style="1" customWidth="1"/>
    <col min="3" max="3" width="10.7109375" style="1" customWidth="1"/>
    <col min="4" max="4" width="3.28515625" style="1" customWidth="1"/>
    <col min="5" max="5" width="17.140625" style="1" customWidth="1"/>
    <col min="6" max="6" width="3.42578125" style="1" customWidth="1"/>
    <col min="7" max="7" width="17.140625" style="1" customWidth="1"/>
    <col min="8" max="8" width="2.7109375" style="1" customWidth="1"/>
    <col min="9" max="9" width="17.140625" style="1" customWidth="1"/>
    <col min="10" max="10" width="11.42578125" style="1" customWidth="1"/>
    <col min="11" max="11" width="14.7109375" style="1" customWidth="1"/>
    <col min="12" max="12" width="8.28515625" style="1" hidden="1" customWidth="1"/>
    <col min="13" max="16384" width="9.140625" style="1"/>
  </cols>
  <sheetData>
    <row r="1" spans="1:12">
      <c r="J1" s="2613" t="s">
        <v>2425</v>
      </c>
      <c r="K1" s="3576" t="s">
        <v>2758</v>
      </c>
    </row>
    <row r="2" spans="1:12" ht="15.75">
      <c r="A2" s="740"/>
      <c r="B2" s="740"/>
      <c r="C2" s="740"/>
      <c r="D2" s="40"/>
      <c r="E2" s="40"/>
      <c r="F2" s="40"/>
      <c r="G2" s="40"/>
      <c r="H2" s="40"/>
      <c r="I2" s="40"/>
      <c r="J2" s="71" t="s">
        <v>2426</v>
      </c>
      <c r="K2" s="2621"/>
    </row>
    <row r="3" spans="1:12" ht="15.75">
      <c r="A3" s="740"/>
      <c r="B3" s="740"/>
      <c r="C3" s="740"/>
      <c r="D3" s="40"/>
      <c r="E3" s="40"/>
      <c r="F3" s="40"/>
      <c r="G3" s="40"/>
      <c r="H3" s="40"/>
      <c r="I3" s="40"/>
      <c r="J3" s="40"/>
    </row>
    <row r="4" spans="1:12" s="32" customFormat="1">
      <c r="A4" s="206"/>
      <c r="I4" s="11"/>
      <c r="J4" s="2612" t="s">
        <v>1163</v>
      </c>
      <c r="K4" s="709" t="s">
        <v>1262</v>
      </c>
    </row>
    <row r="5" spans="1:12" s="32" customFormat="1" ht="17.25" customHeight="1">
      <c r="A5" s="206"/>
      <c r="I5" s="71" t="s">
        <v>332</v>
      </c>
      <c r="J5" s="2617" t="str">
        <f>IF(PreparedBy="","",PreparedBy)</f>
        <v/>
      </c>
      <c r="K5" s="2618" t="str">
        <f>IF(DatePrepared="","",DatePrepared)</f>
        <v/>
      </c>
    </row>
    <row r="6" spans="1:12" s="32" customFormat="1" ht="17.25" customHeight="1">
      <c r="A6" s="206"/>
      <c r="I6" s="71" t="s">
        <v>333</v>
      </c>
      <c r="J6" s="2619"/>
      <c r="K6" s="2620"/>
    </row>
    <row r="7" spans="1:12" s="32" customFormat="1" ht="15.75">
      <c r="A7" s="206"/>
      <c r="B7" s="43"/>
      <c r="C7" s="43"/>
      <c r="D7" s="43"/>
      <c r="E7" s="43"/>
    </row>
    <row r="8" spans="1:12" ht="15.75">
      <c r="A8" s="3704" t="str">
        <f>WP_Interest_Calculation_Irregular_Payments</f>
        <v>Interest Calculation - Irregular Payments</v>
      </c>
      <c r="B8" s="3705"/>
      <c r="C8" s="3705"/>
      <c r="D8" s="3705"/>
      <c r="E8" s="3705"/>
      <c r="F8" s="3705"/>
      <c r="G8" s="3705"/>
      <c r="H8" s="3705"/>
      <c r="I8" s="3705"/>
      <c r="J8" s="3705"/>
      <c r="K8" s="3706"/>
    </row>
    <row r="9" spans="1:12">
      <c r="I9" s="3832" t="s">
        <v>2526</v>
      </c>
      <c r="J9" s="3832"/>
      <c r="K9" s="3991"/>
    </row>
    <row r="10" spans="1:12" ht="15.75">
      <c r="A10" s="222" t="str">
        <f>"CLIENT NAME:   "&amp;'WP Index'!E3</f>
        <v>CLIENT NAME:   Example Trust</v>
      </c>
      <c r="J10" s="47" t="s">
        <v>951</v>
      </c>
      <c r="K10" s="47">
        <f>'WP Index'!G5</f>
        <v>45473</v>
      </c>
    </row>
    <row r="11" spans="1:12">
      <c r="A11" s="9" t="str">
        <f>"CLIENT CODE:   "&amp;'WP Index'!E4</f>
        <v>CLIENT CODE:   99999</v>
      </c>
    </row>
    <row r="12" spans="1:12">
      <c r="L12" s="6" t="s">
        <v>1286</v>
      </c>
    </row>
    <row r="13" spans="1:12" ht="12.75" customHeight="1">
      <c r="A13" s="3" t="s">
        <v>1261</v>
      </c>
      <c r="D13" s="3989"/>
      <c r="E13" s="3794"/>
      <c r="F13" s="3794"/>
      <c r="G13" s="3794"/>
      <c r="H13" s="3794"/>
      <c r="I13" s="3794"/>
      <c r="J13" s="3794"/>
      <c r="K13" s="3990"/>
    </row>
    <row r="14" spans="1:12" ht="12.75" customHeight="1">
      <c r="A14" s="22"/>
    </row>
    <row r="15" spans="1:12" ht="12.75" customHeight="1">
      <c r="A15" s="3" t="s">
        <v>1087</v>
      </c>
    </row>
    <row r="16" spans="1:12" ht="12.75" customHeight="1">
      <c r="A16" s="1" t="s">
        <v>466</v>
      </c>
      <c r="E16" s="2966"/>
    </row>
    <row r="17" spans="1:12" ht="12.75" customHeight="1">
      <c r="A17" s="1" t="s">
        <v>467</v>
      </c>
      <c r="E17" s="2967"/>
    </row>
    <row r="18" spans="1:12" ht="12.75" customHeight="1">
      <c r="A18" s="22"/>
    </row>
    <row r="19" spans="1:12" ht="12.75" customHeight="1">
      <c r="A19" s="22"/>
    </row>
    <row r="20" spans="1:12" s="10" customFormat="1" ht="12.75" customHeight="1">
      <c r="A20" s="9" t="s">
        <v>1076</v>
      </c>
      <c r="B20" s="6"/>
      <c r="C20" s="5" t="s">
        <v>1077</v>
      </c>
      <c r="D20" s="5"/>
      <c r="E20" s="5" t="s">
        <v>957</v>
      </c>
      <c r="F20" s="5"/>
      <c r="G20" s="5" t="s">
        <v>1078</v>
      </c>
      <c r="H20" s="5"/>
      <c r="I20" s="5" t="s">
        <v>957</v>
      </c>
      <c r="J20" s="180"/>
      <c r="K20" s="5" t="s">
        <v>957</v>
      </c>
      <c r="L20" s="1"/>
    </row>
    <row r="21" spans="1:12" s="10" customFormat="1" ht="12.75" customHeight="1">
      <c r="A21" s="167" t="s">
        <v>1077</v>
      </c>
      <c r="B21" s="168"/>
      <c r="C21" s="77" t="s">
        <v>1079</v>
      </c>
      <c r="D21" s="77"/>
      <c r="E21" s="77" t="s">
        <v>1080</v>
      </c>
      <c r="F21" s="77"/>
      <c r="G21" s="77" t="s">
        <v>1081</v>
      </c>
      <c r="H21" s="77"/>
      <c r="I21" s="77" t="s">
        <v>1085</v>
      </c>
      <c r="J21" s="154"/>
      <c r="K21" s="77" t="s">
        <v>958</v>
      </c>
      <c r="L21" s="1"/>
    </row>
    <row r="22" spans="1:12" ht="12.75" customHeight="1">
      <c r="D22" s="61"/>
    </row>
    <row r="23" spans="1:12" ht="12.75" customHeight="1">
      <c r="A23" s="2677">
        <f>'Input Info'!C8</f>
        <v>45108</v>
      </c>
      <c r="C23" s="2678"/>
      <c r="D23" s="332"/>
      <c r="E23" s="332">
        <f>E16</f>
        <v>0</v>
      </c>
      <c r="F23" s="332"/>
      <c r="G23" s="332"/>
      <c r="H23" s="332"/>
      <c r="I23" s="332">
        <f t="shared" ref="I23:I31" si="0">C23-G23-D23</f>
        <v>0</v>
      </c>
      <c r="J23" s="332"/>
      <c r="K23" s="332">
        <f t="shared" ref="K23:K31" si="1">E23-I23</f>
        <v>0</v>
      </c>
    </row>
    <row r="24" spans="1:12" ht="12.75" customHeight="1">
      <c r="A24" s="2679"/>
      <c r="C24" s="2680"/>
      <c r="D24" s="332"/>
      <c r="E24" s="332">
        <f t="shared" ref="E24:E31" si="2">K23</f>
        <v>0</v>
      </c>
      <c r="F24" s="332"/>
      <c r="G24" s="332">
        <f>IF(OR(A23="",A24=""),0,-FV($E$17/('Input Info'!$F$8-'Input Info'!$C$8),A24-A23,0,E24)-E24)</f>
        <v>0</v>
      </c>
      <c r="H24" s="332"/>
      <c r="I24" s="332">
        <f t="shared" si="0"/>
        <v>0</v>
      </c>
      <c r="J24" s="332"/>
      <c r="K24" s="332">
        <f t="shared" si="1"/>
        <v>0</v>
      </c>
    </row>
    <row r="25" spans="1:12" ht="12.75" customHeight="1">
      <c r="A25" s="2679"/>
      <c r="C25" s="2680"/>
      <c r="D25" s="332"/>
      <c r="E25" s="332">
        <f t="shared" si="2"/>
        <v>0</v>
      </c>
      <c r="F25" s="332"/>
      <c r="G25" s="332">
        <f>IF(OR(A24="",A25=""),0,-FV($E$17/('Input Info'!$F$8-'Input Info'!$C$8),A25-A24,0,E25)-E25)</f>
        <v>0</v>
      </c>
      <c r="H25" s="332"/>
      <c r="I25" s="332">
        <f t="shared" si="0"/>
        <v>0</v>
      </c>
      <c r="J25" s="332"/>
      <c r="K25" s="332">
        <f t="shared" si="1"/>
        <v>0</v>
      </c>
    </row>
    <row r="26" spans="1:12" ht="12.75" customHeight="1">
      <c r="A26" s="2679"/>
      <c r="C26" s="2680"/>
      <c r="D26" s="332"/>
      <c r="E26" s="332">
        <f t="shared" si="2"/>
        <v>0</v>
      </c>
      <c r="F26" s="332"/>
      <c r="G26" s="332">
        <f>IF(OR(A25="",A26=""),0,-FV($E$17/('Input Info'!$F$8-'Input Info'!$C$8),A26-A25,0,E26)-E26)</f>
        <v>0</v>
      </c>
      <c r="H26" s="332"/>
      <c r="I26" s="332">
        <f t="shared" si="0"/>
        <v>0</v>
      </c>
      <c r="J26" s="332"/>
      <c r="K26" s="332">
        <f t="shared" si="1"/>
        <v>0</v>
      </c>
    </row>
    <row r="27" spans="1:12" ht="12.75" customHeight="1">
      <c r="A27" s="2679"/>
      <c r="C27" s="2680"/>
      <c r="D27" s="332"/>
      <c r="E27" s="332">
        <f t="shared" si="2"/>
        <v>0</v>
      </c>
      <c r="F27" s="332"/>
      <c r="G27" s="332">
        <f>IF(OR(A26="",A27=""),0,-FV($E$17/('Input Info'!$F$8-'Input Info'!$C$8),A27-A26,0,E27)-E27)</f>
        <v>0</v>
      </c>
      <c r="H27" s="332"/>
      <c r="I27" s="332">
        <f t="shared" si="0"/>
        <v>0</v>
      </c>
      <c r="J27" s="332"/>
      <c r="K27" s="332">
        <f t="shared" si="1"/>
        <v>0</v>
      </c>
    </row>
    <row r="28" spans="1:12" ht="12.75" customHeight="1">
      <c r="A28" s="2679"/>
      <c r="C28" s="2680"/>
      <c r="D28" s="332"/>
      <c r="E28" s="332">
        <f t="shared" si="2"/>
        <v>0</v>
      </c>
      <c r="F28" s="332"/>
      <c r="G28" s="332">
        <f>IF(OR(A27="",A28=""),0,-FV($E$17/('Input Info'!$F$8-'Input Info'!$C$8),A28-A27,0,E28)-E28)</f>
        <v>0</v>
      </c>
      <c r="H28" s="332"/>
      <c r="I28" s="332">
        <f t="shared" si="0"/>
        <v>0</v>
      </c>
      <c r="J28" s="332"/>
      <c r="K28" s="332">
        <f t="shared" si="1"/>
        <v>0</v>
      </c>
    </row>
    <row r="29" spans="1:12" ht="12.75" customHeight="1">
      <c r="A29" s="2679"/>
      <c r="C29" s="2680"/>
      <c r="D29" s="332"/>
      <c r="E29" s="332">
        <f t="shared" si="2"/>
        <v>0</v>
      </c>
      <c r="F29" s="332"/>
      <c r="G29" s="332">
        <f>IF(OR(A28="",A29=""),0,-FV($E$17/('Input Info'!$F$8-'Input Info'!$C$8),A29-A28,0,E29)-E29)</f>
        <v>0</v>
      </c>
      <c r="H29" s="332"/>
      <c r="I29" s="332">
        <f t="shared" si="0"/>
        <v>0</v>
      </c>
      <c r="J29" s="332"/>
      <c r="K29" s="332">
        <f t="shared" si="1"/>
        <v>0</v>
      </c>
    </row>
    <row r="30" spans="1:12" ht="12.75" customHeight="1">
      <c r="A30" s="2679"/>
      <c r="C30" s="2680"/>
      <c r="D30" s="332"/>
      <c r="E30" s="332">
        <f t="shared" si="2"/>
        <v>0</v>
      </c>
      <c r="F30" s="332"/>
      <c r="G30" s="332">
        <f>IF(OR(A29="",A30=""),0,-FV($E$17/('Input Info'!$F$8-'Input Info'!$C$8),A30-A29,0,E30)-E30)</f>
        <v>0</v>
      </c>
      <c r="H30" s="332"/>
      <c r="I30" s="332">
        <f t="shared" si="0"/>
        <v>0</v>
      </c>
      <c r="J30" s="332"/>
      <c r="K30" s="332">
        <f t="shared" si="1"/>
        <v>0</v>
      </c>
    </row>
    <row r="31" spans="1:12" ht="12.75" customHeight="1">
      <c r="A31" s="2681"/>
      <c r="C31" s="2682"/>
      <c r="D31" s="332"/>
      <c r="E31" s="332">
        <f t="shared" si="2"/>
        <v>0</v>
      </c>
      <c r="F31" s="332"/>
      <c r="G31" s="332">
        <f>IF(OR(A30="",A31=""),0,-FV($E$17/('Input Info'!$F$8-'Input Info'!$C$8),A31-A30,0,E31)-E31)</f>
        <v>0</v>
      </c>
      <c r="H31" s="332"/>
      <c r="I31" s="332">
        <f t="shared" si="0"/>
        <v>0</v>
      </c>
      <c r="J31" s="332"/>
      <c r="K31" s="332">
        <f t="shared" si="1"/>
        <v>0</v>
      </c>
    </row>
    <row r="32" spans="1:12" ht="12.75" customHeight="1">
      <c r="A32" s="49"/>
      <c r="C32" s="332"/>
      <c r="D32" s="332"/>
      <c r="E32" s="332"/>
      <c r="F32" s="332"/>
      <c r="G32" s="332"/>
      <c r="H32" s="332"/>
      <c r="I32" s="332"/>
      <c r="J32" s="332"/>
      <c r="K32" s="332"/>
    </row>
    <row r="33" spans="1:11" ht="13.5" customHeight="1" thickBot="1">
      <c r="A33" s="3" t="s">
        <v>1086</v>
      </c>
      <c r="C33" s="344">
        <f>SUM(C22:C32)</f>
        <v>0</v>
      </c>
      <c r="D33" s="874"/>
      <c r="E33" s="332"/>
      <c r="F33" s="332"/>
      <c r="G33" s="344">
        <f>SUM(G23:G31)</f>
        <v>0</v>
      </c>
      <c r="H33" s="332"/>
      <c r="I33" s="344">
        <f>SUM(I23:I31)</f>
        <v>0</v>
      </c>
      <c r="J33" s="332"/>
      <c r="K33" s="332"/>
    </row>
    <row r="34" spans="1:11" ht="13.5" customHeight="1" thickTop="1">
      <c r="C34" s="314"/>
      <c r="D34" s="314"/>
      <c r="E34" s="314"/>
      <c r="F34" s="314"/>
      <c r="G34" s="314"/>
      <c r="H34" s="314"/>
      <c r="I34" s="314"/>
      <c r="J34" s="314"/>
      <c r="K34" s="314"/>
    </row>
    <row r="35" spans="1:11" ht="12.75" customHeight="1">
      <c r="A35" s="3" t="s">
        <v>172</v>
      </c>
    </row>
    <row r="36" spans="1:11" ht="57.75" customHeight="1">
      <c r="A36" s="3742"/>
      <c r="B36" s="3743"/>
      <c r="C36" s="3743"/>
      <c r="D36" s="3743"/>
      <c r="E36" s="3743"/>
      <c r="F36" s="3743"/>
      <c r="G36" s="3743"/>
      <c r="H36" s="3743"/>
      <c r="I36" s="3743"/>
      <c r="J36" s="3743"/>
      <c r="K36" s="3744"/>
    </row>
  </sheetData>
  <customSheetViews>
    <customSheetView guid="{BCBE45D4-3C45-4659-992E-5C5D3E9FD81C}" fitToPage="1" hiddenColumns="1">
      <selection activeCell="U34" sqref="U34"/>
      <pageMargins left="0.59055118110236227" right="0.43307086614173229" top="0.6692913385826772" bottom="0.94488188976377963" header="0.51181102362204722" footer="0.39370078740157483"/>
      <printOptions horizontalCentered="1"/>
      <pageSetup paperSize="9" scale="82"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E43" sqref="E43"/>
      <pageMargins left="0.59055118110236227" right="0.43307086614173229" top="0.6692913385826772" bottom="0.94488188976377963" header="0.51181102362204722" footer="0.39370078740157483"/>
      <printOptions horizontalCentered="1"/>
      <pageSetup paperSize="9" scale="82" fitToHeight="999" orientation="portrait" blackAndWhite="1" r:id="rId2"/>
      <headerFooter alignWithMargins="0">
        <oddFooter>&amp;L&amp;8Copyright Crowe Horwath (Aust) Pty Ltd 2016.  All rights reserved.
&amp;Z&amp;F[&amp;A]&amp;R&amp;8&amp;P/&amp;N</oddFooter>
      </headerFooter>
    </customSheetView>
  </customSheetViews>
  <mergeCells count="4">
    <mergeCell ref="A36:K36"/>
    <mergeCell ref="A8:K8"/>
    <mergeCell ref="D13:K13"/>
    <mergeCell ref="I9:K9"/>
  </mergeCells>
  <phoneticPr fontId="26" type="noConversion"/>
  <conditionalFormatting sqref="L154">
    <cfRule type="expression" dxfId="26" priority="1" stopIfTrue="1">
      <formula>SUM($154:$154)=0</formula>
    </cfRule>
  </conditionalFormatting>
  <hyperlinks>
    <hyperlink ref="I9" location="WP_Interest_Calculation_Irregular_Payments" display="Back to Workpaper Index" xr:uid="{00000000-0004-0000-2500-000000000000}"/>
    <hyperlink ref="I9:K9" location="WPIndex!A1" display="Back to WP Index" xr:uid="{00000000-0004-0000-2500-000001000000}"/>
  </hyperlinks>
  <printOptions horizontalCentered="1"/>
  <pageMargins left="0.59055118110236227" right="0.43307086614173229" top="0.6692913385826772" bottom="0.94488188976377963" header="0.51181102362204722" footer="0.39370078740157483"/>
  <pageSetup paperSize="9" scale="83" fitToHeight="999" orientation="portrait" r:id="rId3"/>
  <headerFooter alignWithMargins="0">
    <oddFooter>&amp;L&amp;8© Findex (Aust) Pty Ltd.  All rights reserved.&amp;R&amp;8&amp;P/&amp;N</oddFooter>
  </headerFooter>
  <drawing r:id="rId4"/>
  <legacyDrawing r:id="rId5"/>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Loan_Schedule_Sheet">
    <tabColor theme="8" tint="0.79998168889431442"/>
  </sheetPr>
  <dimension ref="A1:P402"/>
  <sheetViews>
    <sheetView zoomScaleNormal="100" workbookViewId="0">
      <selection sqref="A1:F1"/>
    </sheetView>
  </sheetViews>
  <sheetFormatPr defaultColWidth="9.140625" defaultRowHeight="12.75"/>
  <cols>
    <col min="1" max="1" width="11.28515625" style="249" customWidth="1"/>
    <col min="2" max="2" width="8.85546875" style="250" customWidth="1"/>
    <col min="3" max="3" width="14.42578125" style="249" customWidth="1"/>
    <col min="4" max="4" width="14.140625" style="249" customWidth="1"/>
    <col min="5" max="5" width="14" style="249" customWidth="1"/>
    <col min="6" max="7" width="13.7109375" style="249" customWidth="1"/>
    <col min="8" max="8" width="13.42578125" style="249" customWidth="1"/>
    <col min="9" max="9" width="14" style="249" customWidth="1"/>
    <col min="10" max="10" width="15.28515625" style="249" hidden="1" customWidth="1"/>
    <col min="11" max="11" width="14.7109375" style="249" hidden="1" customWidth="1"/>
    <col min="12" max="12" width="13.42578125" style="278" hidden="1" customWidth="1"/>
    <col min="13" max="13" width="20.85546875" style="249" hidden="1" customWidth="1"/>
    <col min="14" max="14" width="25.85546875" style="249" hidden="1" customWidth="1"/>
    <col min="15" max="15" width="8.28515625" style="1" hidden="1" customWidth="1"/>
    <col min="16" max="16" width="9.140625" style="249" hidden="1" customWidth="1"/>
    <col min="17" max="16384" width="9.140625" style="249"/>
  </cols>
  <sheetData>
    <row r="1" spans="1:15">
      <c r="H1" s="2613" t="s">
        <v>2425</v>
      </c>
      <c r="I1" s="3576" t="s">
        <v>2758</v>
      </c>
    </row>
    <row r="2" spans="1:15" s="234" customFormat="1" ht="15.75">
      <c r="A2" s="1198"/>
      <c r="B2" s="1198"/>
      <c r="C2" s="1198"/>
      <c r="D2" s="233"/>
      <c r="E2" s="233"/>
      <c r="F2" s="233"/>
      <c r="G2" s="233"/>
      <c r="H2" s="71" t="s">
        <v>2426</v>
      </c>
      <c r="I2" s="2621"/>
      <c r="J2" s="233"/>
      <c r="L2" s="276" t="s">
        <v>1386</v>
      </c>
      <c r="O2" s="1"/>
    </row>
    <row r="3" spans="1:15" s="234" customFormat="1" ht="15.75">
      <c r="A3" s="1198"/>
      <c r="B3" s="1198"/>
      <c r="C3" s="1198"/>
      <c r="D3" s="233"/>
      <c r="E3" s="233"/>
      <c r="F3" s="233"/>
      <c r="G3" s="233"/>
      <c r="H3" s="40"/>
      <c r="I3" s="1"/>
      <c r="J3" s="233"/>
      <c r="L3" s="276"/>
      <c r="O3" s="1"/>
    </row>
    <row r="4" spans="1:15" s="32" customFormat="1">
      <c r="A4" s="206"/>
      <c r="G4" s="11"/>
      <c r="H4" s="2612" t="s">
        <v>1163</v>
      </c>
      <c r="I4" s="709" t="s">
        <v>1262</v>
      </c>
      <c r="L4" s="277" t="s">
        <v>1387</v>
      </c>
    </row>
    <row r="5" spans="1:15" s="32" customFormat="1" ht="17.25" customHeight="1">
      <c r="A5" s="206"/>
      <c r="G5" s="71" t="s">
        <v>332</v>
      </c>
      <c r="H5" s="2617" t="str">
        <f>IF(PreparedBy="","",PreparedBy)</f>
        <v/>
      </c>
      <c r="I5" s="2618" t="str">
        <f>IF(DatePrepared="","",DatePrepared)</f>
        <v/>
      </c>
      <c r="L5" s="277" t="s">
        <v>1388</v>
      </c>
    </row>
    <row r="6" spans="1:15" s="32" customFormat="1" ht="17.25" customHeight="1">
      <c r="A6" s="206"/>
      <c r="G6" s="71" t="s">
        <v>333</v>
      </c>
      <c r="H6" s="2619"/>
      <c r="I6" s="2620"/>
    </row>
    <row r="7" spans="1:15" s="32" customFormat="1" ht="3.95" customHeight="1">
      <c r="A7" s="206"/>
      <c r="B7" s="43"/>
      <c r="C7" s="43"/>
      <c r="D7" s="43"/>
      <c r="E7" s="43"/>
    </row>
    <row r="8" spans="1:15" s="234" customFormat="1" ht="15.75">
      <c r="A8" s="3704" t="str">
        <f>WP_Loan_Chattel_Schedule</f>
        <v>HP / Loan / Chattel Schedule</v>
      </c>
      <c r="B8" s="3705"/>
      <c r="C8" s="3705"/>
      <c r="D8" s="3705"/>
      <c r="E8" s="3705"/>
      <c r="F8" s="3705"/>
      <c r="G8" s="3705"/>
      <c r="H8" s="3705"/>
      <c r="I8" s="3706"/>
      <c r="J8" s="640"/>
      <c r="O8" s="1"/>
    </row>
    <row r="9" spans="1:15" s="234" customFormat="1">
      <c r="A9" s="943" t="s">
        <v>1074</v>
      </c>
      <c r="B9" s="231"/>
      <c r="C9" s="232"/>
      <c r="D9" s="233"/>
      <c r="E9" s="233"/>
      <c r="F9" s="233"/>
      <c r="G9" s="233"/>
      <c r="H9" s="3832" t="s">
        <v>2526</v>
      </c>
      <c r="I9" s="3832"/>
      <c r="J9" s="3991"/>
      <c r="O9" s="1"/>
    </row>
    <row r="10" spans="1:15" s="234" customFormat="1" ht="15.75">
      <c r="A10" s="222" t="str">
        <f>"CLIENT NAME:   "&amp;'WP Index'!E3</f>
        <v>CLIENT NAME:   Example Trust</v>
      </c>
      <c r="B10" s="231"/>
      <c r="C10" s="256"/>
      <c r="D10" s="256"/>
      <c r="E10" s="256"/>
      <c r="F10" s="256"/>
      <c r="H10" s="235" t="s">
        <v>952</v>
      </c>
      <c r="I10" s="257">
        <f>'WP Index'!E5</f>
        <v>45108</v>
      </c>
      <c r="J10" s="256"/>
      <c r="L10" s="276"/>
      <c r="O10" s="1"/>
    </row>
    <row r="11" spans="1:15" s="234" customFormat="1">
      <c r="A11" s="9" t="str">
        <f>"CLIENT CODE:   "&amp;'WP Index'!E4</f>
        <v>CLIENT CODE:   99999</v>
      </c>
      <c r="B11" s="231"/>
      <c r="C11" s="256"/>
      <c r="D11" s="256"/>
      <c r="E11" s="256"/>
      <c r="F11" s="256"/>
      <c r="H11" s="236" t="s">
        <v>951</v>
      </c>
      <c r="I11" s="257">
        <f>'WP Index'!G5</f>
        <v>45473</v>
      </c>
      <c r="J11" s="256"/>
      <c r="L11" s="276" t="s">
        <v>1451</v>
      </c>
      <c r="N11" s="234" t="s">
        <v>178</v>
      </c>
      <c r="O11" s="1"/>
    </row>
    <row r="12" spans="1:15" s="234" customFormat="1">
      <c r="B12" s="237"/>
      <c r="L12" s="276" t="s">
        <v>1452</v>
      </c>
      <c r="N12" s="234" t="s">
        <v>179</v>
      </c>
      <c r="O12" s="6" t="s">
        <v>1286</v>
      </c>
    </row>
    <row r="13" spans="1:15" s="234" customFormat="1">
      <c r="A13" s="238" t="s">
        <v>1336</v>
      </c>
      <c r="B13" s="239"/>
      <c r="C13" s="3989"/>
      <c r="D13" s="3794"/>
      <c r="E13" s="3794"/>
      <c r="F13" s="3990"/>
      <c r="G13" s="240"/>
      <c r="H13" s="4017" t="s">
        <v>1393</v>
      </c>
      <c r="I13" s="4018"/>
      <c r="J13" s="642"/>
      <c r="L13" s="276"/>
      <c r="O13" s="1"/>
    </row>
    <row r="14" spans="1:15" s="234" customFormat="1">
      <c r="A14" s="641"/>
      <c r="B14" s="239"/>
      <c r="C14" s="240"/>
      <c r="D14" s="240"/>
      <c r="E14" s="241"/>
      <c r="F14" s="240"/>
      <c r="G14" s="240"/>
      <c r="H14" s="268" t="s">
        <v>1394</v>
      </c>
      <c r="I14" s="19">
        <f>SUMIF(N:N,1,D:D)</f>
        <v>0</v>
      </c>
      <c r="J14" s="241"/>
      <c r="L14" s="276">
        <v>1</v>
      </c>
      <c r="O14" s="1"/>
    </row>
    <row r="15" spans="1:15" s="234" customFormat="1">
      <c r="A15" s="240"/>
      <c r="B15" s="239"/>
      <c r="C15" s="240"/>
      <c r="D15" s="240"/>
      <c r="E15" s="241"/>
      <c r="F15" s="240"/>
      <c r="G15" s="240"/>
      <c r="H15" s="268" t="s">
        <v>1272</v>
      </c>
      <c r="I15" s="19">
        <f>SUMIF(N:N,1,F:F)</f>
        <v>0</v>
      </c>
      <c r="J15" s="241"/>
      <c r="L15" s="276">
        <v>3</v>
      </c>
      <c r="M15" s="234" t="s">
        <v>173</v>
      </c>
      <c r="N15" s="234">
        <v>52</v>
      </c>
      <c r="O15" s="1"/>
    </row>
    <row r="16" spans="1:15" s="234" customFormat="1">
      <c r="A16" s="4016" t="s">
        <v>1395</v>
      </c>
      <c r="B16" s="4016"/>
      <c r="C16" s="4016"/>
      <c r="D16" s="4016"/>
      <c r="E16" s="241"/>
      <c r="F16" s="240"/>
      <c r="G16" s="240"/>
      <c r="H16" s="280" t="s">
        <v>180</v>
      </c>
      <c r="I16" s="2968" t="s">
        <v>1329</v>
      </c>
      <c r="J16" s="241"/>
      <c r="L16" s="276">
        <v>3</v>
      </c>
      <c r="M16" s="234" t="s">
        <v>1421</v>
      </c>
      <c r="N16" s="234">
        <v>26</v>
      </c>
      <c r="O16" s="1"/>
    </row>
    <row r="17" spans="1:14" ht="17.25" customHeight="1" thickBot="1">
      <c r="A17" s="242"/>
      <c r="B17" s="243"/>
      <c r="C17" s="244"/>
      <c r="D17" s="244"/>
      <c r="E17" s="245"/>
      <c r="F17" s="244"/>
      <c r="G17" s="244"/>
      <c r="H17" s="244"/>
      <c r="I17" s="244"/>
      <c r="L17" s="278">
        <v>1</v>
      </c>
      <c r="M17" s="258" t="s">
        <v>1329</v>
      </c>
      <c r="N17" s="249">
        <v>12</v>
      </c>
    </row>
    <row r="18" spans="1:14" ht="16.5" hidden="1" thickTop="1">
      <c r="A18" s="4007" t="s">
        <v>1390</v>
      </c>
      <c r="B18" s="4008"/>
      <c r="C18" s="4008"/>
      <c r="D18" s="4008"/>
      <c r="E18" s="4009"/>
      <c r="F18" s="4013" t="s">
        <v>1373</v>
      </c>
      <c r="G18" s="4014"/>
      <c r="H18" s="4014"/>
      <c r="I18" s="4015"/>
      <c r="J18" s="643" t="s">
        <v>181</v>
      </c>
      <c r="L18" s="278">
        <v>1</v>
      </c>
      <c r="M18" s="258" t="s">
        <v>182</v>
      </c>
      <c r="N18" s="255">
        <v>2</v>
      </c>
    </row>
    <row r="19" spans="1:14" hidden="1">
      <c r="A19" s="3996" t="s">
        <v>1374</v>
      </c>
      <c r="B19" s="3997"/>
      <c r="C19" s="3997"/>
      <c r="D19" s="3998"/>
      <c r="E19" s="1907"/>
      <c r="F19" s="4019" t="str">
        <f>"Term ("&amp;I16&amp;")"</f>
        <v>Term (Monthly)</v>
      </c>
      <c r="G19" s="4020"/>
      <c r="H19" s="4020"/>
      <c r="I19" s="281">
        <f>IF(Pay_at=1,IF(E20=0,0,(ROUND(NPER(E20/SUMIF($M$15:$M$19,$I$16,$N$15:$N$19),E21,-E19,,0),0))),IF(E20=0,0,(ROUND(NPER(E20/SUMIF($M$15:$M$19,$I$16,$N$15:$N$19),E21,-E19,,1),0))))</f>
        <v>0</v>
      </c>
      <c r="J19" s="1906"/>
      <c r="M19" s="258" t="s">
        <v>174</v>
      </c>
      <c r="N19" s="255">
        <v>1</v>
      </c>
    </row>
    <row r="20" spans="1:14" hidden="1">
      <c r="A20" s="3999" t="s">
        <v>1376</v>
      </c>
      <c r="B20" s="3993"/>
      <c r="C20" s="3993"/>
      <c r="D20" s="4000"/>
      <c r="E20" s="1908"/>
      <c r="F20" s="3992" t="s">
        <v>1377</v>
      </c>
      <c r="G20" s="3993"/>
      <c r="H20" s="3993"/>
      <c r="I20" s="246">
        <f>+E21*SUMIF($M$15:$M$19,$I$16,$N$15:$N$19)</f>
        <v>0</v>
      </c>
      <c r="J20" s="643" t="s">
        <v>1099</v>
      </c>
      <c r="N20" s="255"/>
    </row>
    <row r="21" spans="1:14" hidden="1">
      <c r="A21" s="4004" t="s">
        <v>1378</v>
      </c>
      <c r="B21" s="4005"/>
      <c r="C21" s="4005"/>
      <c r="D21" s="4006"/>
      <c r="E21" s="1907"/>
      <c r="F21" s="3992" t="s">
        <v>1379</v>
      </c>
      <c r="G21" s="3993"/>
      <c r="H21" s="3993"/>
      <c r="I21" s="247">
        <f>+F399</f>
        <v>0</v>
      </c>
      <c r="J21" s="644"/>
      <c r="N21" s="255"/>
    </row>
    <row r="22" spans="1:14" ht="13.5" hidden="1" thickBot="1">
      <c r="A22" s="4001" t="s">
        <v>1380</v>
      </c>
      <c r="B22" s="4002"/>
      <c r="C22" s="4002"/>
      <c r="D22" s="4003"/>
      <c r="E22" s="1909"/>
      <c r="F22" s="3994" t="s">
        <v>1381</v>
      </c>
      <c r="G22" s="3995"/>
      <c r="H22" s="3995"/>
      <c r="I22" s="248">
        <f>+D399</f>
        <v>0</v>
      </c>
      <c r="N22" s="255"/>
    </row>
    <row r="23" spans="1:14" ht="14.25" hidden="1" thickTop="1" thickBot="1">
      <c r="N23" s="255"/>
    </row>
    <row r="24" spans="1:14" ht="16.5" hidden="1" thickTop="1">
      <c r="A24" s="4007" t="s">
        <v>1391</v>
      </c>
      <c r="B24" s="4008"/>
      <c r="C24" s="4008"/>
      <c r="D24" s="4008"/>
      <c r="E24" s="4009"/>
      <c r="F24" s="4013" t="s">
        <v>1373</v>
      </c>
      <c r="G24" s="4014"/>
      <c r="H24" s="4014"/>
      <c r="I24" s="4015"/>
      <c r="J24" s="643" t="s">
        <v>181</v>
      </c>
      <c r="N24" s="255"/>
    </row>
    <row r="25" spans="1:14" hidden="1">
      <c r="A25" s="645" t="s">
        <v>1374</v>
      </c>
      <c r="B25" s="646"/>
      <c r="C25" s="647"/>
      <c r="D25" s="648"/>
      <c r="E25" s="1910">
        <v>100000</v>
      </c>
      <c r="F25" s="264" t="s">
        <v>1378</v>
      </c>
      <c r="G25" s="648"/>
      <c r="H25" s="648"/>
      <c r="I25" s="246">
        <f>IF(Pay_at=1,PMT(E26/SUMIF($M$15:$M$19,$I$16,$N$15:$N$19),E27,-E25,,0),PMT(E26/SUMIF($M$15:$M$19,$I$16,$N$15:$N$19),E27,-E25,,1))</f>
        <v>3597.8918413828028</v>
      </c>
      <c r="J25" s="1906"/>
      <c r="N25" s="255"/>
    </row>
    <row r="26" spans="1:14" hidden="1">
      <c r="A26" s="645" t="s">
        <v>1376</v>
      </c>
      <c r="B26" s="646"/>
      <c r="C26" s="648"/>
      <c r="D26" s="648"/>
      <c r="E26" s="1911">
        <v>0.06</v>
      </c>
      <c r="F26" s="263" t="s">
        <v>1377</v>
      </c>
      <c r="G26" s="648"/>
      <c r="H26" s="648"/>
      <c r="I26" s="246">
        <f>+I25*SUMIF($M$15:$M$19,$I$16,$N$15:$N$19)</f>
        <v>43174.702096593632</v>
      </c>
      <c r="J26" s="643" t="s">
        <v>1099</v>
      </c>
      <c r="N26" s="255"/>
    </row>
    <row r="27" spans="1:14" hidden="1">
      <c r="A27" s="649" t="s">
        <v>1375</v>
      </c>
      <c r="B27" s="648"/>
      <c r="C27" s="648"/>
      <c r="D27" s="648"/>
      <c r="E27" s="1912">
        <v>30</v>
      </c>
      <c r="F27" s="263" t="s">
        <v>1379</v>
      </c>
      <c r="G27" s="648"/>
      <c r="H27" s="648"/>
      <c r="I27" s="247">
        <f>+F399</f>
        <v>0</v>
      </c>
      <c r="J27" s="644"/>
      <c r="N27" s="255"/>
    </row>
    <row r="28" spans="1:14" ht="13.5" hidden="1" thickBot="1">
      <c r="A28" s="265" t="s">
        <v>1380</v>
      </c>
      <c r="B28" s="243"/>
      <c r="C28" s="244"/>
      <c r="D28" s="244"/>
      <c r="E28" s="1913">
        <v>39814</v>
      </c>
      <c r="F28" s="650" t="s">
        <v>1381</v>
      </c>
      <c r="G28" s="244"/>
      <c r="H28" s="244"/>
      <c r="I28" s="248">
        <f>+D399</f>
        <v>0</v>
      </c>
      <c r="N28" s="255"/>
    </row>
    <row r="29" spans="1:14" ht="14.25" hidden="1" thickTop="1" thickBot="1">
      <c r="N29" s="255"/>
    </row>
    <row r="30" spans="1:14" ht="16.5" thickTop="1">
      <c r="A30" s="4007" t="s">
        <v>1392</v>
      </c>
      <c r="B30" s="4008"/>
      <c r="C30" s="4008"/>
      <c r="D30" s="4008"/>
      <c r="E30" s="4009"/>
      <c r="F30" s="4013" t="s">
        <v>1373</v>
      </c>
      <c r="G30" s="4014"/>
      <c r="H30" s="4014"/>
      <c r="I30" s="4015"/>
      <c r="J30" s="643" t="s">
        <v>181</v>
      </c>
      <c r="N30" s="255"/>
    </row>
    <row r="31" spans="1:14">
      <c r="A31" s="266" t="s">
        <v>1374</v>
      </c>
      <c r="B31" s="239"/>
      <c r="C31" s="267"/>
      <c r="D31" s="240"/>
      <c r="E31" s="2969"/>
      <c r="F31" s="268" t="s">
        <v>250</v>
      </c>
      <c r="G31" s="240"/>
      <c r="H31" s="240"/>
      <c r="I31" s="269" t="e">
        <f>IF(Pay_at=1,RATE(E33,E32,-E31,,0)*SUMIF($M$15:$M$19,$I$16,$N$15:$N$19),RATE(E33,E32,-E31,,1)*SUMIF($M$15:$M$19,$I$16,$N$15:$N$19))</f>
        <v>#NUM!</v>
      </c>
      <c r="J31" s="2972"/>
      <c r="N31" s="255"/>
    </row>
    <row r="32" spans="1:14">
      <c r="A32" s="266" t="s">
        <v>1389</v>
      </c>
      <c r="B32" s="239"/>
      <c r="C32" s="240"/>
      <c r="D32" s="240"/>
      <c r="E32" s="2969"/>
      <c r="F32" s="240" t="s">
        <v>1377</v>
      </c>
      <c r="G32" s="240"/>
      <c r="H32" s="240"/>
      <c r="I32" s="270">
        <f>+E32*SUMIF($M$15:$M$19,$I$16,$N$15:$N$19)</f>
        <v>0</v>
      </c>
      <c r="J32" s="643" t="s">
        <v>1099</v>
      </c>
      <c r="N32" s="255"/>
    </row>
    <row r="33" spans="1:15">
      <c r="A33" s="266" t="s">
        <v>1375</v>
      </c>
      <c r="B33" s="240"/>
      <c r="C33" s="240"/>
      <c r="D33" s="240"/>
      <c r="E33" s="2970"/>
      <c r="F33" s="240" t="s">
        <v>1379</v>
      </c>
      <c r="G33" s="240"/>
      <c r="H33" s="240"/>
      <c r="I33" s="271">
        <f>+F399</f>
        <v>0</v>
      </c>
      <c r="J33" s="644">
        <f>J31/11</f>
        <v>0</v>
      </c>
      <c r="N33" s="255"/>
    </row>
    <row r="34" spans="1:15" ht="13.5" thickBot="1">
      <c r="A34" s="2524" t="s">
        <v>2243</v>
      </c>
      <c r="B34" s="272"/>
      <c r="C34" s="273"/>
      <c r="D34" s="273"/>
      <c r="E34" s="2971"/>
      <c r="F34" s="273" t="s">
        <v>1381</v>
      </c>
      <c r="G34" s="273"/>
      <c r="H34" s="273"/>
      <c r="I34" s="274">
        <f>+D399</f>
        <v>0</v>
      </c>
      <c r="J34" s="279"/>
      <c r="N34" s="255"/>
    </row>
    <row r="35" spans="1:15" ht="13.5" thickTop="1">
      <c r="A35" s="675" t="s">
        <v>251</v>
      </c>
      <c r="B35" s="239"/>
      <c r="C35" s="240"/>
      <c r="D35" s="240"/>
      <c r="E35" s="279"/>
      <c r="F35" s="240"/>
      <c r="G35" s="240"/>
      <c r="H35" s="240"/>
      <c r="I35" s="275"/>
      <c r="J35" s="279"/>
      <c r="N35" s="255"/>
    </row>
    <row r="36" spans="1:15">
      <c r="A36" s="240"/>
      <c r="B36" s="239"/>
      <c r="C36" s="240"/>
      <c r="D36" s="240"/>
      <c r="E36" s="279"/>
      <c r="F36" s="240"/>
      <c r="G36" s="240"/>
      <c r="H36" s="240"/>
      <c r="I36" s="275"/>
      <c r="J36" s="279"/>
      <c r="N36" s="255"/>
    </row>
    <row r="37" spans="1:15" s="254" customFormat="1">
      <c r="A37" s="259"/>
      <c r="B37" s="260"/>
      <c r="C37" s="259" t="s">
        <v>1382</v>
      </c>
      <c r="D37" s="259"/>
      <c r="E37" s="651" t="s">
        <v>183</v>
      </c>
      <c r="F37" s="259"/>
      <c r="G37" s="259" t="s">
        <v>1383</v>
      </c>
      <c r="H37" s="259" t="s">
        <v>1383</v>
      </c>
      <c r="I37" s="259" t="s">
        <v>1384</v>
      </c>
      <c r="J37" s="651" t="s">
        <v>184</v>
      </c>
      <c r="K37" s="259" t="s">
        <v>185</v>
      </c>
      <c r="L37" s="278"/>
      <c r="O37" s="1"/>
    </row>
    <row r="38" spans="1:15" s="254" customFormat="1">
      <c r="A38" s="261" t="s">
        <v>461</v>
      </c>
      <c r="B38" s="262" t="s">
        <v>186</v>
      </c>
      <c r="C38" s="261" t="s">
        <v>1202</v>
      </c>
      <c r="D38" s="261" t="s">
        <v>1385</v>
      </c>
      <c r="E38" s="261" t="s">
        <v>1338</v>
      </c>
      <c r="F38" s="261" t="s">
        <v>1272</v>
      </c>
      <c r="G38" s="261" t="s">
        <v>1338</v>
      </c>
      <c r="H38" s="261" t="s">
        <v>1272</v>
      </c>
      <c r="I38" s="261" t="s">
        <v>1202</v>
      </c>
      <c r="J38" s="261" t="s">
        <v>1338</v>
      </c>
      <c r="K38" s="261" t="s">
        <v>1337</v>
      </c>
      <c r="L38" s="278"/>
      <c r="O38" s="1"/>
    </row>
    <row r="39" spans="1:15">
      <c r="A39" s="249">
        <f>1</f>
        <v>1</v>
      </c>
      <c r="B39" s="250">
        <f>IF(Loan_Schedule_Type=1,$E$22,IF(Loan_Schedule_Type=2,$E$28,$E$34))</f>
        <v>0</v>
      </c>
      <c r="C39" s="251">
        <f>IF(Loan_Schedule_Type=1,E19,IF(Loan_Schedule_Type=2,E25,E31))</f>
        <v>0</v>
      </c>
      <c r="D39" s="251">
        <f>IF(Loan_Schedule_Type=1,E21,IF(Loan_Schedule_Type=2,I25,E32))</f>
        <v>0</v>
      </c>
      <c r="E39" s="252">
        <f t="shared" ref="E39:E102" si="0">IF($C39,D39-F39-J39,0)</f>
        <v>0</v>
      </c>
      <c r="F39" s="252">
        <f t="shared" ref="F39:F102" si="1">IF(Pay_at=1,IF(C39,ROUND((+C39)*IF(Loan_Schedule_Type=1,$E$20,IF(Loan_Schedule_Type=2,$E$26,$I$31))/SUMIF($M$15:$M$19,$I$16,$N$15:$N$19),2),0),IF(C39,ROUND((+C39-D39)*IF(Loan_Schedule_Type=1,$E$20,IF(Loan_Schedule_Type=2,$E$26,$I$31))/SUMIF($M$15:$M$19,$I$16,$N$15:$N$19),2),0))</f>
        <v>0</v>
      </c>
      <c r="G39" s="252">
        <f>E39+J39</f>
        <v>0</v>
      </c>
      <c r="H39" s="252">
        <f>F39</f>
        <v>0</v>
      </c>
      <c r="I39" s="252">
        <f t="shared" ref="I39:I102" si="2">IF(C39,C39-E39-J39,0)</f>
        <v>0</v>
      </c>
      <c r="J39" s="252">
        <f t="shared" ref="J39:J102" si="3">IF(D39=0,0,ROUND((D39-F39)/IF(Loan_Schedule_Type=1,$E$19,IF(Loan_Schedule_Type=2,$E$25,$E$31))*IF(Loan_Schedule_Type=1,$J$21,IF(Loan_Schedule_Type=2,$J$27,$J$33)),2))</f>
        <v>0</v>
      </c>
      <c r="K39" s="252">
        <f t="shared" ref="K39:K102" si="4">ROUND(J39/11,2)</f>
        <v>0</v>
      </c>
      <c r="N39" s="249">
        <f t="shared" ref="N39:N102" si="5">IF(B39&lt;$I$10,0,IF(B39&gt;($I$10+364),2,1))</f>
        <v>0</v>
      </c>
    </row>
    <row r="40" spans="1:15">
      <c r="A40" s="249">
        <f t="shared" ref="A40:A103" si="6">IF(C40&gt;0,+A39+1,A39)</f>
        <v>1</v>
      </c>
      <c r="B40" s="250" t="str">
        <f>IF(A40&gt;$E$33,"",IF($I$16="weekly",B39+7,IF($I$16="fortnightly",B39+14,IF($I$16="monthly",DATE(YEAR(B39),MONTH(B39)+1,DAY(1)),IF($I$16="6 monthly",DATE(YEAR(B39),MONTH(B39)+6,DAY(1)),IF($I$16="Annually",DATE(YEAR(B39)+1,MONTH(B39),DAY(B39))))))))</f>
        <v/>
      </c>
      <c r="C40" s="251">
        <f t="shared" ref="C40:C103" si="7">IF(+I39&gt;0.01,I39,0)</f>
        <v>0</v>
      </c>
      <c r="D40" s="252">
        <f t="shared" ref="D40:D103" si="8">IF(C40&gt;0.01,IF(Pay_at=1,IF(A40=IF(Loan_Schedule_Type=1,$I$19,IF(Loan_Schedule_Type=2,$E$27,$E$33)),C40+F40,D39),IF(A40=IF(Loan_Schedule_Type=1,$I$19,IF(Loan_Schedule_Type=2,$E$27,$E$33)),C40,D39)),0)</f>
        <v>0</v>
      </c>
      <c r="E40" s="252">
        <f t="shared" si="0"/>
        <v>0</v>
      </c>
      <c r="F40" s="252">
        <f t="shared" si="1"/>
        <v>0</v>
      </c>
      <c r="G40" s="252">
        <f t="shared" ref="G40:G103" si="9">IF(C40,G39+E40+J40,0)</f>
        <v>0</v>
      </c>
      <c r="H40" s="252">
        <f t="shared" ref="H40:H103" si="10">IF(C40,H39+F40,0)</f>
        <v>0</v>
      </c>
      <c r="I40" s="252">
        <f t="shared" si="2"/>
        <v>0</v>
      </c>
      <c r="J40" s="252">
        <f t="shared" si="3"/>
        <v>0</v>
      </c>
      <c r="K40" s="252">
        <f t="shared" si="4"/>
        <v>0</v>
      </c>
      <c r="N40" s="249">
        <f t="shared" si="5"/>
        <v>2</v>
      </c>
    </row>
    <row r="41" spans="1:15">
      <c r="A41" s="249">
        <f t="shared" si="6"/>
        <v>1</v>
      </c>
      <c r="B41" s="250" t="str">
        <f t="shared" ref="B41:B104" si="11">IF(A41&gt;$E$33,"",IF($I$16="weekly",B40+7,IF($I$16="fortnightly",B40+14,IF($I$16="monthly",DATE(YEAR(B40),MONTH(B40)+1,DAY(1)),IF($I$16="6 monthly",DATE(YEAR(B40),MONTH(B40)+6,DAY(1)),IF($I$16="Annually",DATE(YEAR(B40)+1,MONTH(B40),DAY(B40))))))))</f>
        <v/>
      </c>
      <c r="C41" s="251">
        <f t="shared" si="7"/>
        <v>0</v>
      </c>
      <c r="D41" s="252">
        <f t="shared" si="8"/>
        <v>0</v>
      </c>
      <c r="E41" s="252">
        <f t="shared" si="0"/>
        <v>0</v>
      </c>
      <c r="F41" s="252">
        <f t="shared" si="1"/>
        <v>0</v>
      </c>
      <c r="G41" s="252">
        <f t="shared" si="9"/>
        <v>0</v>
      </c>
      <c r="H41" s="252">
        <f t="shared" si="10"/>
        <v>0</v>
      </c>
      <c r="I41" s="252">
        <f t="shared" si="2"/>
        <v>0</v>
      </c>
      <c r="J41" s="252">
        <f t="shared" si="3"/>
        <v>0</v>
      </c>
      <c r="K41" s="252">
        <f t="shared" si="4"/>
        <v>0</v>
      </c>
      <c r="N41" s="249">
        <f t="shared" si="5"/>
        <v>2</v>
      </c>
    </row>
    <row r="42" spans="1:15">
      <c r="A42" s="249">
        <f t="shared" si="6"/>
        <v>1</v>
      </c>
      <c r="B42" s="250" t="str">
        <f t="shared" si="11"/>
        <v/>
      </c>
      <c r="C42" s="251">
        <f t="shared" si="7"/>
        <v>0</v>
      </c>
      <c r="D42" s="252">
        <f t="shared" si="8"/>
        <v>0</v>
      </c>
      <c r="E42" s="252">
        <f t="shared" si="0"/>
        <v>0</v>
      </c>
      <c r="F42" s="252">
        <f t="shared" si="1"/>
        <v>0</v>
      </c>
      <c r="G42" s="252">
        <f t="shared" si="9"/>
        <v>0</v>
      </c>
      <c r="H42" s="252">
        <f t="shared" si="10"/>
        <v>0</v>
      </c>
      <c r="I42" s="252">
        <f t="shared" si="2"/>
        <v>0</v>
      </c>
      <c r="J42" s="252">
        <f t="shared" si="3"/>
        <v>0</v>
      </c>
      <c r="K42" s="252">
        <f t="shared" si="4"/>
        <v>0</v>
      </c>
      <c r="N42" s="249">
        <f t="shared" si="5"/>
        <v>2</v>
      </c>
    </row>
    <row r="43" spans="1:15">
      <c r="A43" s="249">
        <f t="shared" si="6"/>
        <v>1</v>
      </c>
      <c r="B43" s="250" t="str">
        <f t="shared" si="11"/>
        <v/>
      </c>
      <c r="C43" s="251">
        <f t="shared" si="7"/>
        <v>0</v>
      </c>
      <c r="D43" s="252">
        <f t="shared" si="8"/>
        <v>0</v>
      </c>
      <c r="E43" s="252">
        <f t="shared" si="0"/>
        <v>0</v>
      </c>
      <c r="F43" s="252">
        <f t="shared" si="1"/>
        <v>0</v>
      </c>
      <c r="G43" s="252">
        <f t="shared" si="9"/>
        <v>0</v>
      </c>
      <c r="H43" s="252">
        <f t="shared" si="10"/>
        <v>0</v>
      </c>
      <c r="I43" s="252">
        <f t="shared" si="2"/>
        <v>0</v>
      </c>
      <c r="J43" s="252">
        <f t="shared" si="3"/>
        <v>0</v>
      </c>
      <c r="K43" s="252">
        <f t="shared" si="4"/>
        <v>0</v>
      </c>
      <c r="N43" s="249">
        <f t="shared" si="5"/>
        <v>2</v>
      </c>
    </row>
    <row r="44" spans="1:15">
      <c r="A44" s="249">
        <f t="shared" si="6"/>
        <v>1</v>
      </c>
      <c r="B44" s="250" t="str">
        <f t="shared" si="11"/>
        <v/>
      </c>
      <c r="C44" s="251">
        <f t="shared" si="7"/>
        <v>0</v>
      </c>
      <c r="D44" s="252">
        <f t="shared" si="8"/>
        <v>0</v>
      </c>
      <c r="E44" s="252">
        <f t="shared" si="0"/>
        <v>0</v>
      </c>
      <c r="F44" s="252">
        <f t="shared" si="1"/>
        <v>0</v>
      </c>
      <c r="G44" s="252">
        <f t="shared" si="9"/>
        <v>0</v>
      </c>
      <c r="H44" s="252">
        <f t="shared" si="10"/>
        <v>0</v>
      </c>
      <c r="I44" s="252">
        <f t="shared" si="2"/>
        <v>0</v>
      </c>
      <c r="J44" s="252">
        <f t="shared" si="3"/>
        <v>0</v>
      </c>
      <c r="K44" s="252">
        <f t="shared" si="4"/>
        <v>0</v>
      </c>
      <c r="N44" s="249">
        <f t="shared" si="5"/>
        <v>2</v>
      </c>
    </row>
    <row r="45" spans="1:15">
      <c r="A45" s="249">
        <f t="shared" si="6"/>
        <v>1</v>
      </c>
      <c r="B45" s="250" t="str">
        <f t="shared" si="11"/>
        <v/>
      </c>
      <c r="C45" s="251">
        <f t="shared" si="7"/>
        <v>0</v>
      </c>
      <c r="D45" s="252">
        <f t="shared" si="8"/>
        <v>0</v>
      </c>
      <c r="E45" s="252">
        <f t="shared" si="0"/>
        <v>0</v>
      </c>
      <c r="F45" s="252">
        <f t="shared" si="1"/>
        <v>0</v>
      </c>
      <c r="G45" s="252">
        <f t="shared" si="9"/>
        <v>0</v>
      </c>
      <c r="H45" s="252">
        <f t="shared" si="10"/>
        <v>0</v>
      </c>
      <c r="I45" s="252">
        <f t="shared" si="2"/>
        <v>0</v>
      </c>
      <c r="J45" s="252">
        <f t="shared" si="3"/>
        <v>0</v>
      </c>
      <c r="K45" s="252">
        <f t="shared" si="4"/>
        <v>0</v>
      </c>
      <c r="N45" s="249">
        <f t="shared" si="5"/>
        <v>2</v>
      </c>
    </row>
    <row r="46" spans="1:15">
      <c r="A46" s="249">
        <f t="shared" si="6"/>
        <v>1</v>
      </c>
      <c r="B46" s="250" t="str">
        <f t="shared" si="11"/>
        <v/>
      </c>
      <c r="C46" s="251">
        <f t="shared" si="7"/>
        <v>0</v>
      </c>
      <c r="D46" s="252">
        <f t="shared" si="8"/>
        <v>0</v>
      </c>
      <c r="E46" s="252">
        <f t="shared" si="0"/>
        <v>0</v>
      </c>
      <c r="F46" s="252">
        <f t="shared" si="1"/>
        <v>0</v>
      </c>
      <c r="G46" s="252">
        <f t="shared" si="9"/>
        <v>0</v>
      </c>
      <c r="H46" s="252">
        <f t="shared" si="10"/>
        <v>0</v>
      </c>
      <c r="I46" s="252">
        <f t="shared" si="2"/>
        <v>0</v>
      </c>
      <c r="J46" s="252">
        <f t="shared" si="3"/>
        <v>0</v>
      </c>
      <c r="K46" s="252">
        <f t="shared" si="4"/>
        <v>0</v>
      </c>
      <c r="N46" s="249">
        <f t="shared" si="5"/>
        <v>2</v>
      </c>
    </row>
    <row r="47" spans="1:15">
      <c r="A47" s="249">
        <f t="shared" si="6"/>
        <v>1</v>
      </c>
      <c r="B47" s="250" t="str">
        <f t="shared" si="11"/>
        <v/>
      </c>
      <c r="C47" s="251">
        <f t="shared" si="7"/>
        <v>0</v>
      </c>
      <c r="D47" s="252">
        <f t="shared" si="8"/>
        <v>0</v>
      </c>
      <c r="E47" s="252">
        <f t="shared" si="0"/>
        <v>0</v>
      </c>
      <c r="F47" s="252">
        <f t="shared" si="1"/>
        <v>0</v>
      </c>
      <c r="G47" s="252">
        <f t="shared" si="9"/>
        <v>0</v>
      </c>
      <c r="H47" s="252">
        <f t="shared" si="10"/>
        <v>0</v>
      </c>
      <c r="I47" s="252">
        <f t="shared" si="2"/>
        <v>0</v>
      </c>
      <c r="J47" s="252">
        <f t="shared" si="3"/>
        <v>0</v>
      </c>
      <c r="K47" s="252">
        <f t="shared" si="4"/>
        <v>0</v>
      </c>
      <c r="N47" s="249">
        <f t="shared" si="5"/>
        <v>2</v>
      </c>
    </row>
    <row r="48" spans="1:15">
      <c r="A48" s="249">
        <f t="shared" si="6"/>
        <v>1</v>
      </c>
      <c r="B48" s="250" t="str">
        <f t="shared" si="11"/>
        <v/>
      </c>
      <c r="C48" s="251">
        <f t="shared" si="7"/>
        <v>0</v>
      </c>
      <c r="D48" s="252">
        <f t="shared" si="8"/>
        <v>0</v>
      </c>
      <c r="E48" s="252">
        <f t="shared" si="0"/>
        <v>0</v>
      </c>
      <c r="F48" s="252">
        <f t="shared" si="1"/>
        <v>0</v>
      </c>
      <c r="G48" s="252">
        <f t="shared" si="9"/>
        <v>0</v>
      </c>
      <c r="H48" s="252">
        <f t="shared" si="10"/>
        <v>0</v>
      </c>
      <c r="I48" s="252">
        <f t="shared" si="2"/>
        <v>0</v>
      </c>
      <c r="J48" s="252">
        <f t="shared" si="3"/>
        <v>0</v>
      </c>
      <c r="K48" s="252">
        <f t="shared" si="4"/>
        <v>0</v>
      </c>
      <c r="N48" s="249">
        <f t="shared" si="5"/>
        <v>2</v>
      </c>
    </row>
    <row r="49" spans="1:14">
      <c r="A49" s="249">
        <f t="shared" si="6"/>
        <v>1</v>
      </c>
      <c r="B49" s="250" t="str">
        <f t="shared" si="11"/>
        <v/>
      </c>
      <c r="C49" s="251">
        <f t="shared" si="7"/>
        <v>0</v>
      </c>
      <c r="D49" s="252">
        <f t="shared" si="8"/>
        <v>0</v>
      </c>
      <c r="E49" s="252">
        <f t="shared" si="0"/>
        <v>0</v>
      </c>
      <c r="F49" s="252">
        <f t="shared" si="1"/>
        <v>0</v>
      </c>
      <c r="G49" s="252">
        <f t="shared" si="9"/>
        <v>0</v>
      </c>
      <c r="H49" s="252">
        <f t="shared" si="10"/>
        <v>0</v>
      </c>
      <c r="I49" s="252">
        <f t="shared" si="2"/>
        <v>0</v>
      </c>
      <c r="J49" s="252">
        <f t="shared" si="3"/>
        <v>0</v>
      </c>
      <c r="K49" s="252">
        <f t="shared" si="4"/>
        <v>0</v>
      </c>
      <c r="N49" s="249">
        <f t="shared" si="5"/>
        <v>2</v>
      </c>
    </row>
    <row r="50" spans="1:14">
      <c r="A50" s="249">
        <f t="shared" si="6"/>
        <v>1</v>
      </c>
      <c r="B50" s="250" t="str">
        <f t="shared" si="11"/>
        <v/>
      </c>
      <c r="C50" s="251">
        <f t="shared" si="7"/>
        <v>0</v>
      </c>
      <c r="D50" s="252">
        <f t="shared" si="8"/>
        <v>0</v>
      </c>
      <c r="E50" s="252">
        <f t="shared" si="0"/>
        <v>0</v>
      </c>
      <c r="F50" s="252">
        <f t="shared" si="1"/>
        <v>0</v>
      </c>
      <c r="G50" s="252">
        <f t="shared" si="9"/>
        <v>0</v>
      </c>
      <c r="H50" s="252">
        <f t="shared" si="10"/>
        <v>0</v>
      </c>
      <c r="I50" s="252">
        <f t="shared" si="2"/>
        <v>0</v>
      </c>
      <c r="J50" s="252">
        <f t="shared" si="3"/>
        <v>0</v>
      </c>
      <c r="K50" s="252">
        <f t="shared" si="4"/>
        <v>0</v>
      </c>
      <c r="N50" s="249">
        <f t="shared" si="5"/>
        <v>2</v>
      </c>
    </row>
    <row r="51" spans="1:14">
      <c r="A51" s="249">
        <f t="shared" si="6"/>
        <v>1</v>
      </c>
      <c r="B51" s="250" t="str">
        <f t="shared" si="11"/>
        <v/>
      </c>
      <c r="C51" s="251">
        <f t="shared" si="7"/>
        <v>0</v>
      </c>
      <c r="D51" s="252">
        <f t="shared" si="8"/>
        <v>0</v>
      </c>
      <c r="E51" s="252">
        <f t="shared" si="0"/>
        <v>0</v>
      </c>
      <c r="F51" s="252">
        <f t="shared" si="1"/>
        <v>0</v>
      </c>
      <c r="G51" s="252">
        <f t="shared" si="9"/>
        <v>0</v>
      </c>
      <c r="H51" s="252">
        <f t="shared" si="10"/>
        <v>0</v>
      </c>
      <c r="I51" s="252">
        <f t="shared" si="2"/>
        <v>0</v>
      </c>
      <c r="J51" s="252">
        <f t="shared" si="3"/>
        <v>0</v>
      </c>
      <c r="K51" s="252">
        <f t="shared" si="4"/>
        <v>0</v>
      </c>
      <c r="N51" s="249">
        <f t="shared" si="5"/>
        <v>2</v>
      </c>
    </row>
    <row r="52" spans="1:14">
      <c r="A52" s="249">
        <f t="shared" si="6"/>
        <v>1</v>
      </c>
      <c r="B52" s="250" t="str">
        <f t="shared" si="11"/>
        <v/>
      </c>
      <c r="C52" s="251">
        <f t="shared" si="7"/>
        <v>0</v>
      </c>
      <c r="D52" s="252">
        <f t="shared" si="8"/>
        <v>0</v>
      </c>
      <c r="E52" s="252">
        <f t="shared" si="0"/>
        <v>0</v>
      </c>
      <c r="F52" s="252">
        <f t="shared" si="1"/>
        <v>0</v>
      </c>
      <c r="G52" s="252">
        <f t="shared" si="9"/>
        <v>0</v>
      </c>
      <c r="H52" s="252">
        <f t="shared" si="10"/>
        <v>0</v>
      </c>
      <c r="I52" s="252">
        <f t="shared" si="2"/>
        <v>0</v>
      </c>
      <c r="J52" s="252">
        <f t="shared" si="3"/>
        <v>0</v>
      </c>
      <c r="K52" s="252">
        <f t="shared" si="4"/>
        <v>0</v>
      </c>
      <c r="N52" s="249">
        <f t="shared" si="5"/>
        <v>2</v>
      </c>
    </row>
    <row r="53" spans="1:14">
      <c r="A53" s="249">
        <f t="shared" si="6"/>
        <v>1</v>
      </c>
      <c r="B53" s="250" t="str">
        <f t="shared" si="11"/>
        <v/>
      </c>
      <c r="C53" s="251">
        <f t="shared" si="7"/>
        <v>0</v>
      </c>
      <c r="D53" s="252">
        <f t="shared" si="8"/>
        <v>0</v>
      </c>
      <c r="E53" s="252">
        <f t="shared" si="0"/>
        <v>0</v>
      </c>
      <c r="F53" s="252">
        <f t="shared" si="1"/>
        <v>0</v>
      </c>
      <c r="G53" s="252">
        <f t="shared" si="9"/>
        <v>0</v>
      </c>
      <c r="H53" s="252">
        <f t="shared" si="10"/>
        <v>0</v>
      </c>
      <c r="I53" s="252">
        <f t="shared" si="2"/>
        <v>0</v>
      </c>
      <c r="J53" s="252">
        <f t="shared" si="3"/>
        <v>0</v>
      </c>
      <c r="K53" s="252">
        <f t="shared" si="4"/>
        <v>0</v>
      </c>
      <c r="N53" s="249">
        <f t="shared" si="5"/>
        <v>2</v>
      </c>
    </row>
    <row r="54" spans="1:14">
      <c r="A54" s="249">
        <f t="shared" si="6"/>
        <v>1</v>
      </c>
      <c r="B54" s="250" t="str">
        <f t="shared" si="11"/>
        <v/>
      </c>
      <c r="C54" s="251">
        <f t="shared" si="7"/>
        <v>0</v>
      </c>
      <c r="D54" s="252">
        <f t="shared" si="8"/>
        <v>0</v>
      </c>
      <c r="E54" s="252">
        <f t="shared" si="0"/>
        <v>0</v>
      </c>
      <c r="F54" s="252">
        <f t="shared" si="1"/>
        <v>0</v>
      </c>
      <c r="G54" s="252">
        <f t="shared" si="9"/>
        <v>0</v>
      </c>
      <c r="H54" s="252">
        <f t="shared" si="10"/>
        <v>0</v>
      </c>
      <c r="I54" s="252">
        <f t="shared" si="2"/>
        <v>0</v>
      </c>
      <c r="J54" s="252">
        <f t="shared" si="3"/>
        <v>0</v>
      </c>
      <c r="K54" s="252">
        <f t="shared" si="4"/>
        <v>0</v>
      </c>
      <c r="N54" s="249">
        <f t="shared" si="5"/>
        <v>2</v>
      </c>
    </row>
    <row r="55" spans="1:14">
      <c r="A55" s="249">
        <f t="shared" si="6"/>
        <v>1</v>
      </c>
      <c r="B55" s="250" t="str">
        <f t="shared" si="11"/>
        <v/>
      </c>
      <c r="C55" s="251">
        <f t="shared" si="7"/>
        <v>0</v>
      </c>
      <c r="D55" s="252">
        <f t="shared" si="8"/>
        <v>0</v>
      </c>
      <c r="E55" s="252">
        <f t="shared" si="0"/>
        <v>0</v>
      </c>
      <c r="F55" s="252">
        <f t="shared" si="1"/>
        <v>0</v>
      </c>
      <c r="G55" s="252">
        <f t="shared" si="9"/>
        <v>0</v>
      </c>
      <c r="H55" s="252">
        <f t="shared" si="10"/>
        <v>0</v>
      </c>
      <c r="I55" s="252">
        <f t="shared" si="2"/>
        <v>0</v>
      </c>
      <c r="J55" s="252">
        <f t="shared" si="3"/>
        <v>0</v>
      </c>
      <c r="K55" s="252">
        <f t="shared" si="4"/>
        <v>0</v>
      </c>
      <c r="N55" s="249">
        <f t="shared" si="5"/>
        <v>2</v>
      </c>
    </row>
    <row r="56" spans="1:14">
      <c r="A56" s="249">
        <f t="shared" si="6"/>
        <v>1</v>
      </c>
      <c r="B56" s="250" t="str">
        <f t="shared" si="11"/>
        <v/>
      </c>
      <c r="C56" s="251">
        <f t="shared" si="7"/>
        <v>0</v>
      </c>
      <c r="D56" s="252">
        <f t="shared" si="8"/>
        <v>0</v>
      </c>
      <c r="E56" s="252">
        <f t="shared" si="0"/>
        <v>0</v>
      </c>
      <c r="F56" s="252">
        <f t="shared" si="1"/>
        <v>0</v>
      </c>
      <c r="G56" s="252">
        <f t="shared" si="9"/>
        <v>0</v>
      </c>
      <c r="H56" s="252">
        <f t="shared" si="10"/>
        <v>0</v>
      </c>
      <c r="I56" s="252">
        <f t="shared" si="2"/>
        <v>0</v>
      </c>
      <c r="J56" s="252">
        <f t="shared" si="3"/>
        <v>0</v>
      </c>
      <c r="K56" s="252">
        <f t="shared" si="4"/>
        <v>0</v>
      </c>
      <c r="N56" s="249">
        <f t="shared" si="5"/>
        <v>2</v>
      </c>
    </row>
    <row r="57" spans="1:14">
      <c r="A57" s="249">
        <f t="shared" si="6"/>
        <v>1</v>
      </c>
      <c r="B57" s="250" t="str">
        <f t="shared" si="11"/>
        <v/>
      </c>
      <c r="C57" s="251">
        <f t="shared" si="7"/>
        <v>0</v>
      </c>
      <c r="D57" s="252">
        <f t="shared" si="8"/>
        <v>0</v>
      </c>
      <c r="E57" s="252">
        <f t="shared" si="0"/>
        <v>0</v>
      </c>
      <c r="F57" s="252">
        <f t="shared" si="1"/>
        <v>0</v>
      </c>
      <c r="G57" s="252">
        <f t="shared" si="9"/>
        <v>0</v>
      </c>
      <c r="H57" s="252">
        <f t="shared" si="10"/>
        <v>0</v>
      </c>
      <c r="I57" s="252">
        <f t="shared" si="2"/>
        <v>0</v>
      </c>
      <c r="J57" s="252">
        <f t="shared" si="3"/>
        <v>0</v>
      </c>
      <c r="K57" s="252">
        <f t="shared" si="4"/>
        <v>0</v>
      </c>
      <c r="N57" s="249">
        <f t="shared" si="5"/>
        <v>2</v>
      </c>
    </row>
    <row r="58" spans="1:14">
      <c r="A58" s="249">
        <f t="shared" si="6"/>
        <v>1</v>
      </c>
      <c r="B58" s="250" t="str">
        <f t="shared" si="11"/>
        <v/>
      </c>
      <c r="C58" s="251">
        <f t="shared" si="7"/>
        <v>0</v>
      </c>
      <c r="D58" s="252">
        <f t="shared" si="8"/>
        <v>0</v>
      </c>
      <c r="E58" s="252">
        <f t="shared" si="0"/>
        <v>0</v>
      </c>
      <c r="F58" s="252">
        <f t="shared" si="1"/>
        <v>0</v>
      </c>
      <c r="G58" s="252">
        <f t="shared" si="9"/>
        <v>0</v>
      </c>
      <c r="H58" s="252">
        <f t="shared" si="10"/>
        <v>0</v>
      </c>
      <c r="I58" s="252">
        <f t="shared" si="2"/>
        <v>0</v>
      </c>
      <c r="J58" s="252">
        <f t="shared" si="3"/>
        <v>0</v>
      </c>
      <c r="K58" s="252">
        <f t="shared" si="4"/>
        <v>0</v>
      </c>
      <c r="N58" s="249">
        <f t="shared" si="5"/>
        <v>2</v>
      </c>
    </row>
    <row r="59" spans="1:14">
      <c r="A59" s="249">
        <f t="shared" si="6"/>
        <v>1</v>
      </c>
      <c r="B59" s="250" t="str">
        <f t="shared" si="11"/>
        <v/>
      </c>
      <c r="C59" s="251">
        <f t="shared" si="7"/>
        <v>0</v>
      </c>
      <c r="D59" s="252">
        <f t="shared" si="8"/>
        <v>0</v>
      </c>
      <c r="E59" s="252">
        <f t="shared" si="0"/>
        <v>0</v>
      </c>
      <c r="F59" s="252">
        <f t="shared" si="1"/>
        <v>0</v>
      </c>
      <c r="G59" s="252">
        <f t="shared" si="9"/>
        <v>0</v>
      </c>
      <c r="H59" s="252">
        <f t="shared" si="10"/>
        <v>0</v>
      </c>
      <c r="I59" s="252">
        <f t="shared" si="2"/>
        <v>0</v>
      </c>
      <c r="J59" s="252">
        <f t="shared" si="3"/>
        <v>0</v>
      </c>
      <c r="K59" s="252">
        <f t="shared" si="4"/>
        <v>0</v>
      </c>
      <c r="N59" s="249">
        <f t="shared" si="5"/>
        <v>2</v>
      </c>
    </row>
    <row r="60" spans="1:14">
      <c r="A60" s="249">
        <f t="shared" si="6"/>
        <v>1</v>
      </c>
      <c r="B60" s="250" t="str">
        <f t="shared" si="11"/>
        <v/>
      </c>
      <c r="C60" s="251">
        <f t="shared" si="7"/>
        <v>0</v>
      </c>
      <c r="D60" s="252">
        <f t="shared" si="8"/>
        <v>0</v>
      </c>
      <c r="E60" s="252">
        <f t="shared" si="0"/>
        <v>0</v>
      </c>
      <c r="F60" s="252">
        <f t="shared" si="1"/>
        <v>0</v>
      </c>
      <c r="G60" s="252">
        <f t="shared" si="9"/>
        <v>0</v>
      </c>
      <c r="H60" s="252">
        <f t="shared" si="10"/>
        <v>0</v>
      </c>
      <c r="I60" s="252">
        <f t="shared" si="2"/>
        <v>0</v>
      </c>
      <c r="J60" s="252">
        <f t="shared" si="3"/>
        <v>0</v>
      </c>
      <c r="K60" s="252">
        <f t="shared" si="4"/>
        <v>0</v>
      </c>
      <c r="N60" s="249">
        <f t="shared" si="5"/>
        <v>2</v>
      </c>
    </row>
    <row r="61" spans="1:14">
      <c r="A61" s="249">
        <f t="shared" si="6"/>
        <v>1</v>
      </c>
      <c r="B61" s="250" t="str">
        <f t="shared" si="11"/>
        <v/>
      </c>
      <c r="C61" s="251">
        <f t="shared" si="7"/>
        <v>0</v>
      </c>
      <c r="D61" s="252">
        <f t="shared" si="8"/>
        <v>0</v>
      </c>
      <c r="E61" s="252">
        <f t="shared" si="0"/>
        <v>0</v>
      </c>
      <c r="F61" s="252">
        <f t="shared" si="1"/>
        <v>0</v>
      </c>
      <c r="G61" s="252">
        <f t="shared" si="9"/>
        <v>0</v>
      </c>
      <c r="H61" s="252">
        <f t="shared" si="10"/>
        <v>0</v>
      </c>
      <c r="I61" s="252">
        <f t="shared" si="2"/>
        <v>0</v>
      </c>
      <c r="J61" s="252">
        <f t="shared" si="3"/>
        <v>0</v>
      </c>
      <c r="K61" s="252">
        <f t="shared" si="4"/>
        <v>0</v>
      </c>
      <c r="N61" s="249">
        <f t="shared" si="5"/>
        <v>2</v>
      </c>
    </row>
    <row r="62" spans="1:14">
      <c r="A62" s="249">
        <f t="shared" si="6"/>
        <v>1</v>
      </c>
      <c r="B62" s="250" t="str">
        <f t="shared" si="11"/>
        <v/>
      </c>
      <c r="C62" s="251">
        <f t="shared" si="7"/>
        <v>0</v>
      </c>
      <c r="D62" s="252">
        <f t="shared" si="8"/>
        <v>0</v>
      </c>
      <c r="E62" s="252">
        <f t="shared" si="0"/>
        <v>0</v>
      </c>
      <c r="F62" s="252">
        <f t="shared" si="1"/>
        <v>0</v>
      </c>
      <c r="G62" s="252">
        <f t="shared" si="9"/>
        <v>0</v>
      </c>
      <c r="H62" s="252">
        <f t="shared" si="10"/>
        <v>0</v>
      </c>
      <c r="I62" s="252">
        <f t="shared" si="2"/>
        <v>0</v>
      </c>
      <c r="J62" s="252">
        <f t="shared" si="3"/>
        <v>0</v>
      </c>
      <c r="K62" s="252">
        <f t="shared" si="4"/>
        <v>0</v>
      </c>
      <c r="N62" s="249">
        <f t="shared" si="5"/>
        <v>2</v>
      </c>
    </row>
    <row r="63" spans="1:14">
      <c r="A63" s="249">
        <f t="shared" si="6"/>
        <v>1</v>
      </c>
      <c r="B63" s="250" t="str">
        <f t="shared" si="11"/>
        <v/>
      </c>
      <c r="C63" s="251">
        <f t="shared" si="7"/>
        <v>0</v>
      </c>
      <c r="D63" s="252">
        <f t="shared" si="8"/>
        <v>0</v>
      </c>
      <c r="E63" s="252">
        <f t="shared" si="0"/>
        <v>0</v>
      </c>
      <c r="F63" s="252">
        <f t="shared" si="1"/>
        <v>0</v>
      </c>
      <c r="G63" s="252">
        <f t="shared" si="9"/>
        <v>0</v>
      </c>
      <c r="H63" s="252">
        <f t="shared" si="10"/>
        <v>0</v>
      </c>
      <c r="I63" s="252">
        <f t="shared" si="2"/>
        <v>0</v>
      </c>
      <c r="J63" s="252">
        <f t="shared" si="3"/>
        <v>0</v>
      </c>
      <c r="K63" s="252">
        <f t="shared" si="4"/>
        <v>0</v>
      </c>
      <c r="N63" s="249">
        <f t="shared" si="5"/>
        <v>2</v>
      </c>
    </row>
    <row r="64" spans="1:14">
      <c r="A64" s="249">
        <f t="shared" si="6"/>
        <v>1</v>
      </c>
      <c r="B64" s="250" t="str">
        <f t="shared" si="11"/>
        <v/>
      </c>
      <c r="C64" s="251">
        <f t="shared" si="7"/>
        <v>0</v>
      </c>
      <c r="D64" s="252">
        <f t="shared" si="8"/>
        <v>0</v>
      </c>
      <c r="E64" s="252">
        <f t="shared" si="0"/>
        <v>0</v>
      </c>
      <c r="F64" s="252">
        <f t="shared" si="1"/>
        <v>0</v>
      </c>
      <c r="G64" s="252">
        <f t="shared" si="9"/>
        <v>0</v>
      </c>
      <c r="H64" s="252">
        <f t="shared" si="10"/>
        <v>0</v>
      </c>
      <c r="I64" s="252">
        <f t="shared" si="2"/>
        <v>0</v>
      </c>
      <c r="J64" s="252">
        <f t="shared" si="3"/>
        <v>0</v>
      </c>
      <c r="K64" s="252">
        <f t="shared" si="4"/>
        <v>0</v>
      </c>
      <c r="N64" s="249">
        <f t="shared" si="5"/>
        <v>2</v>
      </c>
    </row>
    <row r="65" spans="1:14">
      <c r="A65" s="249">
        <f t="shared" si="6"/>
        <v>1</v>
      </c>
      <c r="B65" s="250" t="str">
        <f t="shared" si="11"/>
        <v/>
      </c>
      <c r="C65" s="251">
        <f t="shared" si="7"/>
        <v>0</v>
      </c>
      <c r="D65" s="252">
        <f t="shared" si="8"/>
        <v>0</v>
      </c>
      <c r="E65" s="252">
        <f t="shared" si="0"/>
        <v>0</v>
      </c>
      <c r="F65" s="252">
        <f t="shared" si="1"/>
        <v>0</v>
      </c>
      <c r="G65" s="252">
        <f t="shared" si="9"/>
        <v>0</v>
      </c>
      <c r="H65" s="252">
        <f t="shared" si="10"/>
        <v>0</v>
      </c>
      <c r="I65" s="252">
        <f t="shared" si="2"/>
        <v>0</v>
      </c>
      <c r="J65" s="252">
        <f t="shared" si="3"/>
        <v>0</v>
      </c>
      <c r="K65" s="252">
        <f t="shared" si="4"/>
        <v>0</v>
      </c>
      <c r="N65" s="249">
        <f t="shared" si="5"/>
        <v>2</v>
      </c>
    </row>
    <row r="66" spans="1:14">
      <c r="A66" s="249">
        <f t="shared" si="6"/>
        <v>1</v>
      </c>
      <c r="B66" s="250" t="str">
        <f t="shared" si="11"/>
        <v/>
      </c>
      <c r="C66" s="251">
        <f t="shared" si="7"/>
        <v>0</v>
      </c>
      <c r="D66" s="252">
        <f t="shared" si="8"/>
        <v>0</v>
      </c>
      <c r="E66" s="252">
        <f t="shared" si="0"/>
        <v>0</v>
      </c>
      <c r="F66" s="252">
        <f t="shared" si="1"/>
        <v>0</v>
      </c>
      <c r="G66" s="252">
        <f t="shared" si="9"/>
        <v>0</v>
      </c>
      <c r="H66" s="252">
        <f t="shared" si="10"/>
        <v>0</v>
      </c>
      <c r="I66" s="252">
        <f t="shared" si="2"/>
        <v>0</v>
      </c>
      <c r="J66" s="252">
        <f t="shared" si="3"/>
        <v>0</v>
      </c>
      <c r="K66" s="252">
        <f t="shared" si="4"/>
        <v>0</v>
      </c>
      <c r="N66" s="249">
        <f t="shared" si="5"/>
        <v>2</v>
      </c>
    </row>
    <row r="67" spans="1:14">
      <c r="A67" s="249">
        <f t="shared" si="6"/>
        <v>1</v>
      </c>
      <c r="B67" s="250" t="str">
        <f t="shared" si="11"/>
        <v/>
      </c>
      <c r="C67" s="251">
        <f t="shared" si="7"/>
        <v>0</v>
      </c>
      <c r="D67" s="252">
        <f t="shared" si="8"/>
        <v>0</v>
      </c>
      <c r="E67" s="252">
        <f t="shared" si="0"/>
        <v>0</v>
      </c>
      <c r="F67" s="252">
        <f t="shared" si="1"/>
        <v>0</v>
      </c>
      <c r="G67" s="252">
        <f t="shared" si="9"/>
        <v>0</v>
      </c>
      <c r="H67" s="252">
        <f t="shared" si="10"/>
        <v>0</v>
      </c>
      <c r="I67" s="252">
        <f t="shared" si="2"/>
        <v>0</v>
      </c>
      <c r="J67" s="252">
        <f t="shared" si="3"/>
        <v>0</v>
      </c>
      <c r="K67" s="252">
        <f t="shared" si="4"/>
        <v>0</v>
      </c>
      <c r="N67" s="249">
        <f t="shared" si="5"/>
        <v>2</v>
      </c>
    </row>
    <row r="68" spans="1:14">
      <c r="A68" s="249">
        <f t="shared" si="6"/>
        <v>1</v>
      </c>
      <c r="B68" s="250" t="str">
        <f t="shared" si="11"/>
        <v/>
      </c>
      <c r="C68" s="251">
        <f t="shared" si="7"/>
        <v>0</v>
      </c>
      <c r="D68" s="252">
        <f t="shared" si="8"/>
        <v>0</v>
      </c>
      <c r="E68" s="252">
        <f t="shared" si="0"/>
        <v>0</v>
      </c>
      <c r="F68" s="252">
        <f t="shared" si="1"/>
        <v>0</v>
      </c>
      <c r="G68" s="252">
        <f t="shared" si="9"/>
        <v>0</v>
      </c>
      <c r="H68" s="252">
        <f t="shared" si="10"/>
        <v>0</v>
      </c>
      <c r="I68" s="252">
        <f t="shared" si="2"/>
        <v>0</v>
      </c>
      <c r="J68" s="252">
        <f t="shared" si="3"/>
        <v>0</v>
      </c>
      <c r="K68" s="252">
        <f t="shared" si="4"/>
        <v>0</v>
      </c>
      <c r="N68" s="249">
        <f t="shared" si="5"/>
        <v>2</v>
      </c>
    </row>
    <row r="69" spans="1:14">
      <c r="A69" s="249">
        <f t="shared" si="6"/>
        <v>1</v>
      </c>
      <c r="B69" s="250" t="str">
        <f t="shared" si="11"/>
        <v/>
      </c>
      <c r="C69" s="251">
        <f t="shared" si="7"/>
        <v>0</v>
      </c>
      <c r="D69" s="252">
        <f t="shared" si="8"/>
        <v>0</v>
      </c>
      <c r="E69" s="252">
        <f t="shared" si="0"/>
        <v>0</v>
      </c>
      <c r="F69" s="252">
        <f t="shared" si="1"/>
        <v>0</v>
      </c>
      <c r="G69" s="252">
        <f t="shared" si="9"/>
        <v>0</v>
      </c>
      <c r="H69" s="252">
        <f t="shared" si="10"/>
        <v>0</v>
      </c>
      <c r="I69" s="252">
        <f t="shared" si="2"/>
        <v>0</v>
      </c>
      <c r="J69" s="252">
        <f t="shared" si="3"/>
        <v>0</v>
      </c>
      <c r="K69" s="252">
        <f t="shared" si="4"/>
        <v>0</v>
      </c>
      <c r="N69" s="249">
        <f t="shared" si="5"/>
        <v>2</v>
      </c>
    </row>
    <row r="70" spans="1:14">
      <c r="A70" s="249">
        <f t="shared" si="6"/>
        <v>1</v>
      </c>
      <c r="B70" s="250" t="str">
        <f t="shared" si="11"/>
        <v/>
      </c>
      <c r="C70" s="251">
        <f t="shared" si="7"/>
        <v>0</v>
      </c>
      <c r="D70" s="252">
        <f t="shared" si="8"/>
        <v>0</v>
      </c>
      <c r="E70" s="252">
        <f t="shared" si="0"/>
        <v>0</v>
      </c>
      <c r="F70" s="252">
        <f t="shared" si="1"/>
        <v>0</v>
      </c>
      <c r="G70" s="252">
        <f t="shared" si="9"/>
        <v>0</v>
      </c>
      <c r="H70" s="252">
        <f t="shared" si="10"/>
        <v>0</v>
      </c>
      <c r="I70" s="252">
        <f t="shared" si="2"/>
        <v>0</v>
      </c>
      <c r="J70" s="252">
        <f t="shared" si="3"/>
        <v>0</v>
      </c>
      <c r="K70" s="252">
        <f t="shared" si="4"/>
        <v>0</v>
      </c>
      <c r="N70" s="249">
        <f t="shared" si="5"/>
        <v>2</v>
      </c>
    </row>
    <row r="71" spans="1:14">
      <c r="A71" s="249">
        <f t="shared" si="6"/>
        <v>1</v>
      </c>
      <c r="B71" s="250" t="str">
        <f t="shared" si="11"/>
        <v/>
      </c>
      <c r="C71" s="251">
        <f t="shared" si="7"/>
        <v>0</v>
      </c>
      <c r="D71" s="252">
        <f t="shared" si="8"/>
        <v>0</v>
      </c>
      <c r="E71" s="252">
        <f t="shared" si="0"/>
        <v>0</v>
      </c>
      <c r="F71" s="252">
        <f t="shared" si="1"/>
        <v>0</v>
      </c>
      <c r="G71" s="252">
        <f t="shared" si="9"/>
        <v>0</v>
      </c>
      <c r="H71" s="252">
        <f t="shared" si="10"/>
        <v>0</v>
      </c>
      <c r="I71" s="252">
        <f t="shared" si="2"/>
        <v>0</v>
      </c>
      <c r="J71" s="252">
        <f t="shared" si="3"/>
        <v>0</v>
      </c>
      <c r="K71" s="252">
        <f t="shared" si="4"/>
        <v>0</v>
      </c>
      <c r="N71" s="249">
        <f t="shared" si="5"/>
        <v>2</v>
      </c>
    </row>
    <row r="72" spans="1:14">
      <c r="A72" s="249">
        <f t="shared" si="6"/>
        <v>1</v>
      </c>
      <c r="B72" s="250" t="str">
        <f t="shared" si="11"/>
        <v/>
      </c>
      <c r="C72" s="251">
        <f t="shared" si="7"/>
        <v>0</v>
      </c>
      <c r="D72" s="252">
        <f t="shared" si="8"/>
        <v>0</v>
      </c>
      <c r="E72" s="252">
        <f t="shared" si="0"/>
        <v>0</v>
      </c>
      <c r="F72" s="252">
        <f t="shared" si="1"/>
        <v>0</v>
      </c>
      <c r="G72" s="252">
        <f t="shared" si="9"/>
        <v>0</v>
      </c>
      <c r="H72" s="252">
        <f t="shared" si="10"/>
        <v>0</v>
      </c>
      <c r="I72" s="252">
        <f t="shared" si="2"/>
        <v>0</v>
      </c>
      <c r="J72" s="252">
        <f t="shared" si="3"/>
        <v>0</v>
      </c>
      <c r="K72" s="252">
        <f t="shared" si="4"/>
        <v>0</v>
      </c>
      <c r="N72" s="249">
        <f t="shared" si="5"/>
        <v>2</v>
      </c>
    </row>
    <row r="73" spans="1:14">
      <c r="A73" s="249">
        <f t="shared" si="6"/>
        <v>1</v>
      </c>
      <c r="B73" s="250" t="str">
        <f t="shared" si="11"/>
        <v/>
      </c>
      <c r="C73" s="251">
        <f t="shared" si="7"/>
        <v>0</v>
      </c>
      <c r="D73" s="252">
        <f t="shared" si="8"/>
        <v>0</v>
      </c>
      <c r="E73" s="252">
        <f t="shared" si="0"/>
        <v>0</v>
      </c>
      <c r="F73" s="252">
        <f t="shared" si="1"/>
        <v>0</v>
      </c>
      <c r="G73" s="252">
        <f t="shared" si="9"/>
        <v>0</v>
      </c>
      <c r="H73" s="252">
        <f t="shared" si="10"/>
        <v>0</v>
      </c>
      <c r="I73" s="252">
        <f t="shared" si="2"/>
        <v>0</v>
      </c>
      <c r="J73" s="252">
        <f t="shared" si="3"/>
        <v>0</v>
      </c>
      <c r="K73" s="252">
        <f t="shared" si="4"/>
        <v>0</v>
      </c>
      <c r="N73" s="249">
        <f t="shared" si="5"/>
        <v>2</v>
      </c>
    </row>
    <row r="74" spans="1:14">
      <c r="A74" s="249">
        <f t="shared" si="6"/>
        <v>1</v>
      </c>
      <c r="B74" s="250" t="str">
        <f t="shared" si="11"/>
        <v/>
      </c>
      <c r="C74" s="251">
        <f t="shared" si="7"/>
        <v>0</v>
      </c>
      <c r="D74" s="252">
        <f t="shared" si="8"/>
        <v>0</v>
      </c>
      <c r="E74" s="252">
        <f t="shared" si="0"/>
        <v>0</v>
      </c>
      <c r="F74" s="252">
        <f t="shared" si="1"/>
        <v>0</v>
      </c>
      <c r="G74" s="252">
        <f t="shared" si="9"/>
        <v>0</v>
      </c>
      <c r="H74" s="252">
        <f t="shared" si="10"/>
        <v>0</v>
      </c>
      <c r="I74" s="252">
        <f t="shared" si="2"/>
        <v>0</v>
      </c>
      <c r="J74" s="252">
        <f t="shared" si="3"/>
        <v>0</v>
      </c>
      <c r="K74" s="252">
        <f t="shared" si="4"/>
        <v>0</v>
      </c>
      <c r="N74" s="249">
        <f t="shared" si="5"/>
        <v>2</v>
      </c>
    </row>
    <row r="75" spans="1:14">
      <c r="A75" s="249">
        <f t="shared" si="6"/>
        <v>1</v>
      </c>
      <c r="B75" s="250" t="str">
        <f t="shared" si="11"/>
        <v/>
      </c>
      <c r="C75" s="251">
        <f t="shared" si="7"/>
        <v>0</v>
      </c>
      <c r="D75" s="252">
        <f t="shared" si="8"/>
        <v>0</v>
      </c>
      <c r="E75" s="252">
        <f t="shared" si="0"/>
        <v>0</v>
      </c>
      <c r="F75" s="252">
        <f t="shared" si="1"/>
        <v>0</v>
      </c>
      <c r="G75" s="252">
        <f t="shared" si="9"/>
        <v>0</v>
      </c>
      <c r="H75" s="252">
        <f t="shared" si="10"/>
        <v>0</v>
      </c>
      <c r="I75" s="252">
        <f t="shared" si="2"/>
        <v>0</v>
      </c>
      <c r="J75" s="252">
        <f t="shared" si="3"/>
        <v>0</v>
      </c>
      <c r="K75" s="252">
        <f t="shared" si="4"/>
        <v>0</v>
      </c>
      <c r="N75" s="249">
        <f t="shared" si="5"/>
        <v>2</v>
      </c>
    </row>
    <row r="76" spans="1:14">
      <c r="A76" s="249">
        <f t="shared" si="6"/>
        <v>1</v>
      </c>
      <c r="B76" s="250" t="str">
        <f t="shared" si="11"/>
        <v/>
      </c>
      <c r="C76" s="251">
        <f t="shared" si="7"/>
        <v>0</v>
      </c>
      <c r="D76" s="252">
        <f t="shared" si="8"/>
        <v>0</v>
      </c>
      <c r="E76" s="252">
        <f t="shared" si="0"/>
        <v>0</v>
      </c>
      <c r="F76" s="252">
        <f t="shared" si="1"/>
        <v>0</v>
      </c>
      <c r="G76" s="252">
        <f t="shared" si="9"/>
        <v>0</v>
      </c>
      <c r="H76" s="252">
        <f t="shared" si="10"/>
        <v>0</v>
      </c>
      <c r="I76" s="252">
        <f t="shared" si="2"/>
        <v>0</v>
      </c>
      <c r="J76" s="252">
        <f t="shared" si="3"/>
        <v>0</v>
      </c>
      <c r="K76" s="252">
        <f t="shared" si="4"/>
        <v>0</v>
      </c>
      <c r="N76" s="249">
        <f t="shared" si="5"/>
        <v>2</v>
      </c>
    </row>
    <row r="77" spans="1:14">
      <c r="A77" s="249">
        <f t="shared" si="6"/>
        <v>1</v>
      </c>
      <c r="B77" s="250" t="str">
        <f t="shared" si="11"/>
        <v/>
      </c>
      <c r="C77" s="251">
        <f t="shared" si="7"/>
        <v>0</v>
      </c>
      <c r="D77" s="252">
        <f t="shared" si="8"/>
        <v>0</v>
      </c>
      <c r="E77" s="252">
        <f t="shared" si="0"/>
        <v>0</v>
      </c>
      <c r="F77" s="252">
        <f t="shared" si="1"/>
        <v>0</v>
      </c>
      <c r="G77" s="252">
        <f t="shared" si="9"/>
        <v>0</v>
      </c>
      <c r="H77" s="252">
        <f t="shared" si="10"/>
        <v>0</v>
      </c>
      <c r="I77" s="252">
        <f t="shared" si="2"/>
        <v>0</v>
      </c>
      <c r="J77" s="252">
        <f t="shared" si="3"/>
        <v>0</v>
      </c>
      <c r="K77" s="252">
        <f t="shared" si="4"/>
        <v>0</v>
      </c>
      <c r="N77" s="249">
        <f t="shared" si="5"/>
        <v>2</v>
      </c>
    </row>
    <row r="78" spans="1:14">
      <c r="A78" s="249">
        <f t="shared" si="6"/>
        <v>1</v>
      </c>
      <c r="B78" s="250" t="str">
        <f t="shared" si="11"/>
        <v/>
      </c>
      <c r="C78" s="251">
        <f t="shared" si="7"/>
        <v>0</v>
      </c>
      <c r="D78" s="252">
        <f t="shared" si="8"/>
        <v>0</v>
      </c>
      <c r="E78" s="252">
        <f t="shared" si="0"/>
        <v>0</v>
      </c>
      <c r="F78" s="252">
        <f t="shared" si="1"/>
        <v>0</v>
      </c>
      <c r="G78" s="252">
        <f t="shared" si="9"/>
        <v>0</v>
      </c>
      <c r="H78" s="252">
        <f t="shared" si="10"/>
        <v>0</v>
      </c>
      <c r="I78" s="252">
        <f t="shared" si="2"/>
        <v>0</v>
      </c>
      <c r="J78" s="252">
        <f t="shared" si="3"/>
        <v>0</v>
      </c>
      <c r="K78" s="252">
        <f t="shared" si="4"/>
        <v>0</v>
      </c>
      <c r="N78" s="249">
        <f t="shared" si="5"/>
        <v>2</v>
      </c>
    </row>
    <row r="79" spans="1:14">
      <c r="A79" s="249">
        <f t="shared" si="6"/>
        <v>1</v>
      </c>
      <c r="B79" s="250" t="str">
        <f t="shared" si="11"/>
        <v/>
      </c>
      <c r="C79" s="251">
        <f t="shared" si="7"/>
        <v>0</v>
      </c>
      <c r="D79" s="252">
        <f t="shared" si="8"/>
        <v>0</v>
      </c>
      <c r="E79" s="252">
        <f t="shared" si="0"/>
        <v>0</v>
      </c>
      <c r="F79" s="252">
        <f t="shared" si="1"/>
        <v>0</v>
      </c>
      <c r="G79" s="252">
        <f t="shared" si="9"/>
        <v>0</v>
      </c>
      <c r="H79" s="252">
        <f t="shared" si="10"/>
        <v>0</v>
      </c>
      <c r="I79" s="252">
        <f t="shared" si="2"/>
        <v>0</v>
      </c>
      <c r="J79" s="252">
        <f t="shared" si="3"/>
        <v>0</v>
      </c>
      <c r="K79" s="252">
        <f t="shared" si="4"/>
        <v>0</v>
      </c>
      <c r="N79" s="249">
        <f t="shared" si="5"/>
        <v>2</v>
      </c>
    </row>
    <row r="80" spans="1:14">
      <c r="A80" s="249">
        <f t="shared" si="6"/>
        <v>1</v>
      </c>
      <c r="B80" s="250" t="str">
        <f t="shared" si="11"/>
        <v/>
      </c>
      <c r="C80" s="251">
        <f t="shared" si="7"/>
        <v>0</v>
      </c>
      <c r="D80" s="252">
        <f t="shared" si="8"/>
        <v>0</v>
      </c>
      <c r="E80" s="252">
        <f t="shared" si="0"/>
        <v>0</v>
      </c>
      <c r="F80" s="252">
        <f t="shared" si="1"/>
        <v>0</v>
      </c>
      <c r="G80" s="252">
        <f t="shared" si="9"/>
        <v>0</v>
      </c>
      <c r="H80" s="252">
        <f t="shared" si="10"/>
        <v>0</v>
      </c>
      <c r="I80" s="252">
        <f t="shared" si="2"/>
        <v>0</v>
      </c>
      <c r="J80" s="252">
        <f t="shared" si="3"/>
        <v>0</v>
      </c>
      <c r="K80" s="252">
        <f t="shared" si="4"/>
        <v>0</v>
      </c>
      <c r="N80" s="249">
        <f t="shared" si="5"/>
        <v>2</v>
      </c>
    </row>
    <row r="81" spans="1:14">
      <c r="A81" s="249">
        <f t="shared" si="6"/>
        <v>1</v>
      </c>
      <c r="B81" s="250" t="str">
        <f t="shared" si="11"/>
        <v/>
      </c>
      <c r="C81" s="251">
        <f t="shared" si="7"/>
        <v>0</v>
      </c>
      <c r="D81" s="252">
        <f t="shared" si="8"/>
        <v>0</v>
      </c>
      <c r="E81" s="252">
        <f t="shared" si="0"/>
        <v>0</v>
      </c>
      <c r="F81" s="252">
        <f t="shared" si="1"/>
        <v>0</v>
      </c>
      <c r="G81" s="252">
        <f t="shared" si="9"/>
        <v>0</v>
      </c>
      <c r="H81" s="252">
        <f t="shared" si="10"/>
        <v>0</v>
      </c>
      <c r="I81" s="252">
        <f t="shared" si="2"/>
        <v>0</v>
      </c>
      <c r="J81" s="252">
        <f t="shared" si="3"/>
        <v>0</v>
      </c>
      <c r="K81" s="252">
        <f t="shared" si="4"/>
        <v>0</v>
      </c>
      <c r="N81" s="249">
        <f t="shared" si="5"/>
        <v>2</v>
      </c>
    </row>
    <row r="82" spans="1:14">
      <c r="A82" s="249">
        <f t="shared" si="6"/>
        <v>1</v>
      </c>
      <c r="B82" s="250" t="str">
        <f t="shared" si="11"/>
        <v/>
      </c>
      <c r="C82" s="251">
        <f t="shared" si="7"/>
        <v>0</v>
      </c>
      <c r="D82" s="252">
        <f t="shared" si="8"/>
        <v>0</v>
      </c>
      <c r="E82" s="252">
        <f t="shared" si="0"/>
        <v>0</v>
      </c>
      <c r="F82" s="252">
        <f t="shared" si="1"/>
        <v>0</v>
      </c>
      <c r="G82" s="252">
        <f t="shared" si="9"/>
        <v>0</v>
      </c>
      <c r="H82" s="252">
        <f t="shared" si="10"/>
        <v>0</v>
      </c>
      <c r="I82" s="252">
        <f t="shared" si="2"/>
        <v>0</v>
      </c>
      <c r="J82" s="252">
        <f t="shared" si="3"/>
        <v>0</v>
      </c>
      <c r="K82" s="252">
        <f t="shared" si="4"/>
        <v>0</v>
      </c>
      <c r="N82" s="249">
        <f t="shared" si="5"/>
        <v>2</v>
      </c>
    </row>
    <row r="83" spans="1:14">
      <c r="A83" s="249">
        <f t="shared" si="6"/>
        <v>1</v>
      </c>
      <c r="B83" s="250" t="str">
        <f t="shared" si="11"/>
        <v/>
      </c>
      <c r="C83" s="251">
        <f t="shared" si="7"/>
        <v>0</v>
      </c>
      <c r="D83" s="252">
        <f t="shared" si="8"/>
        <v>0</v>
      </c>
      <c r="E83" s="252">
        <f t="shared" si="0"/>
        <v>0</v>
      </c>
      <c r="F83" s="252">
        <f t="shared" si="1"/>
        <v>0</v>
      </c>
      <c r="G83" s="252">
        <f t="shared" si="9"/>
        <v>0</v>
      </c>
      <c r="H83" s="252">
        <f t="shared" si="10"/>
        <v>0</v>
      </c>
      <c r="I83" s="252">
        <f t="shared" si="2"/>
        <v>0</v>
      </c>
      <c r="J83" s="252">
        <f t="shared" si="3"/>
        <v>0</v>
      </c>
      <c r="K83" s="252">
        <f t="shared" si="4"/>
        <v>0</v>
      </c>
      <c r="N83" s="249">
        <f t="shared" si="5"/>
        <v>2</v>
      </c>
    </row>
    <row r="84" spans="1:14">
      <c r="A84" s="249">
        <f t="shared" si="6"/>
        <v>1</v>
      </c>
      <c r="B84" s="250" t="str">
        <f t="shared" si="11"/>
        <v/>
      </c>
      <c r="C84" s="251">
        <f t="shared" si="7"/>
        <v>0</v>
      </c>
      <c r="D84" s="252">
        <f t="shared" si="8"/>
        <v>0</v>
      </c>
      <c r="E84" s="252">
        <f t="shared" si="0"/>
        <v>0</v>
      </c>
      <c r="F84" s="252">
        <f t="shared" si="1"/>
        <v>0</v>
      </c>
      <c r="G84" s="252">
        <f t="shared" si="9"/>
        <v>0</v>
      </c>
      <c r="H84" s="252">
        <f t="shared" si="10"/>
        <v>0</v>
      </c>
      <c r="I84" s="252">
        <f t="shared" si="2"/>
        <v>0</v>
      </c>
      <c r="J84" s="252">
        <f t="shared" si="3"/>
        <v>0</v>
      </c>
      <c r="K84" s="252">
        <f t="shared" si="4"/>
        <v>0</v>
      </c>
      <c r="N84" s="249">
        <f t="shared" si="5"/>
        <v>2</v>
      </c>
    </row>
    <row r="85" spans="1:14">
      <c r="A85" s="249">
        <f t="shared" si="6"/>
        <v>1</v>
      </c>
      <c r="B85" s="250" t="str">
        <f t="shared" si="11"/>
        <v/>
      </c>
      <c r="C85" s="251">
        <f t="shared" si="7"/>
        <v>0</v>
      </c>
      <c r="D85" s="252">
        <f t="shared" si="8"/>
        <v>0</v>
      </c>
      <c r="E85" s="252">
        <f t="shared" si="0"/>
        <v>0</v>
      </c>
      <c r="F85" s="252">
        <f t="shared" si="1"/>
        <v>0</v>
      </c>
      <c r="G85" s="252">
        <f t="shared" si="9"/>
        <v>0</v>
      </c>
      <c r="H85" s="252">
        <f t="shared" si="10"/>
        <v>0</v>
      </c>
      <c r="I85" s="252">
        <f t="shared" si="2"/>
        <v>0</v>
      </c>
      <c r="J85" s="252">
        <f t="shared" si="3"/>
        <v>0</v>
      </c>
      <c r="K85" s="252">
        <f t="shared" si="4"/>
        <v>0</v>
      </c>
      <c r="N85" s="249">
        <f t="shared" si="5"/>
        <v>2</v>
      </c>
    </row>
    <row r="86" spans="1:14">
      <c r="A86" s="249">
        <f t="shared" si="6"/>
        <v>1</v>
      </c>
      <c r="B86" s="250" t="str">
        <f t="shared" si="11"/>
        <v/>
      </c>
      <c r="C86" s="251">
        <f t="shared" si="7"/>
        <v>0</v>
      </c>
      <c r="D86" s="252">
        <f t="shared" si="8"/>
        <v>0</v>
      </c>
      <c r="E86" s="252">
        <f t="shared" si="0"/>
        <v>0</v>
      </c>
      <c r="F86" s="252">
        <f t="shared" si="1"/>
        <v>0</v>
      </c>
      <c r="G86" s="252">
        <f t="shared" si="9"/>
        <v>0</v>
      </c>
      <c r="H86" s="252">
        <f t="shared" si="10"/>
        <v>0</v>
      </c>
      <c r="I86" s="252">
        <f t="shared" si="2"/>
        <v>0</v>
      </c>
      <c r="J86" s="252">
        <f t="shared" si="3"/>
        <v>0</v>
      </c>
      <c r="K86" s="252">
        <f t="shared" si="4"/>
        <v>0</v>
      </c>
      <c r="N86" s="249">
        <f t="shared" si="5"/>
        <v>2</v>
      </c>
    </row>
    <row r="87" spans="1:14">
      <c r="A87" s="249">
        <f t="shared" si="6"/>
        <v>1</v>
      </c>
      <c r="B87" s="250" t="str">
        <f t="shared" si="11"/>
        <v/>
      </c>
      <c r="C87" s="251">
        <f t="shared" si="7"/>
        <v>0</v>
      </c>
      <c r="D87" s="252">
        <f t="shared" si="8"/>
        <v>0</v>
      </c>
      <c r="E87" s="252">
        <f t="shared" si="0"/>
        <v>0</v>
      </c>
      <c r="F87" s="252">
        <f t="shared" si="1"/>
        <v>0</v>
      </c>
      <c r="G87" s="252">
        <f t="shared" si="9"/>
        <v>0</v>
      </c>
      <c r="H87" s="252">
        <f t="shared" si="10"/>
        <v>0</v>
      </c>
      <c r="I87" s="252">
        <f t="shared" si="2"/>
        <v>0</v>
      </c>
      <c r="J87" s="252">
        <f t="shared" si="3"/>
        <v>0</v>
      </c>
      <c r="K87" s="252">
        <f t="shared" si="4"/>
        <v>0</v>
      </c>
      <c r="N87" s="249">
        <f t="shared" si="5"/>
        <v>2</v>
      </c>
    </row>
    <row r="88" spans="1:14">
      <c r="A88" s="249">
        <f t="shared" si="6"/>
        <v>1</v>
      </c>
      <c r="B88" s="250" t="str">
        <f t="shared" si="11"/>
        <v/>
      </c>
      <c r="C88" s="251">
        <f t="shared" si="7"/>
        <v>0</v>
      </c>
      <c r="D88" s="252">
        <f t="shared" si="8"/>
        <v>0</v>
      </c>
      <c r="E88" s="252">
        <f t="shared" si="0"/>
        <v>0</v>
      </c>
      <c r="F88" s="252">
        <f t="shared" si="1"/>
        <v>0</v>
      </c>
      <c r="G88" s="252">
        <f t="shared" si="9"/>
        <v>0</v>
      </c>
      <c r="H88" s="252">
        <f t="shared" si="10"/>
        <v>0</v>
      </c>
      <c r="I88" s="252">
        <f t="shared" si="2"/>
        <v>0</v>
      </c>
      <c r="J88" s="252">
        <f t="shared" si="3"/>
        <v>0</v>
      </c>
      <c r="K88" s="252">
        <f t="shared" si="4"/>
        <v>0</v>
      </c>
      <c r="N88" s="249">
        <f t="shared" si="5"/>
        <v>2</v>
      </c>
    </row>
    <row r="89" spans="1:14">
      <c r="A89" s="249">
        <f t="shared" si="6"/>
        <v>1</v>
      </c>
      <c r="B89" s="250" t="str">
        <f t="shared" si="11"/>
        <v/>
      </c>
      <c r="C89" s="251">
        <f t="shared" si="7"/>
        <v>0</v>
      </c>
      <c r="D89" s="252">
        <f t="shared" si="8"/>
        <v>0</v>
      </c>
      <c r="E89" s="252">
        <f t="shared" si="0"/>
        <v>0</v>
      </c>
      <c r="F89" s="252">
        <f t="shared" si="1"/>
        <v>0</v>
      </c>
      <c r="G89" s="252">
        <f t="shared" si="9"/>
        <v>0</v>
      </c>
      <c r="H89" s="252">
        <f t="shared" si="10"/>
        <v>0</v>
      </c>
      <c r="I89" s="252">
        <f t="shared" si="2"/>
        <v>0</v>
      </c>
      <c r="J89" s="252">
        <f t="shared" si="3"/>
        <v>0</v>
      </c>
      <c r="K89" s="252">
        <f t="shared" si="4"/>
        <v>0</v>
      </c>
      <c r="N89" s="249">
        <f t="shared" si="5"/>
        <v>2</v>
      </c>
    </row>
    <row r="90" spans="1:14">
      <c r="A90" s="249">
        <f t="shared" si="6"/>
        <v>1</v>
      </c>
      <c r="B90" s="250" t="str">
        <f t="shared" si="11"/>
        <v/>
      </c>
      <c r="C90" s="251">
        <f t="shared" si="7"/>
        <v>0</v>
      </c>
      <c r="D90" s="252">
        <f t="shared" si="8"/>
        <v>0</v>
      </c>
      <c r="E90" s="252">
        <f t="shared" si="0"/>
        <v>0</v>
      </c>
      <c r="F90" s="252">
        <f t="shared" si="1"/>
        <v>0</v>
      </c>
      <c r="G90" s="252">
        <f t="shared" si="9"/>
        <v>0</v>
      </c>
      <c r="H90" s="252">
        <f t="shared" si="10"/>
        <v>0</v>
      </c>
      <c r="I90" s="252">
        <f t="shared" si="2"/>
        <v>0</v>
      </c>
      <c r="J90" s="252">
        <f t="shared" si="3"/>
        <v>0</v>
      </c>
      <c r="K90" s="252">
        <f t="shared" si="4"/>
        <v>0</v>
      </c>
      <c r="N90" s="249">
        <f t="shared" si="5"/>
        <v>2</v>
      </c>
    </row>
    <row r="91" spans="1:14">
      <c r="A91" s="249">
        <f t="shared" si="6"/>
        <v>1</v>
      </c>
      <c r="B91" s="250" t="str">
        <f t="shared" si="11"/>
        <v/>
      </c>
      <c r="C91" s="251">
        <f t="shared" si="7"/>
        <v>0</v>
      </c>
      <c r="D91" s="252">
        <f t="shared" si="8"/>
        <v>0</v>
      </c>
      <c r="E91" s="252">
        <f t="shared" si="0"/>
        <v>0</v>
      </c>
      <c r="F91" s="252">
        <f t="shared" si="1"/>
        <v>0</v>
      </c>
      <c r="G91" s="252">
        <f t="shared" si="9"/>
        <v>0</v>
      </c>
      <c r="H91" s="252">
        <f t="shared" si="10"/>
        <v>0</v>
      </c>
      <c r="I91" s="252">
        <f t="shared" si="2"/>
        <v>0</v>
      </c>
      <c r="J91" s="252">
        <f t="shared" si="3"/>
        <v>0</v>
      </c>
      <c r="K91" s="252">
        <f t="shared" si="4"/>
        <v>0</v>
      </c>
      <c r="N91" s="249">
        <f t="shared" si="5"/>
        <v>2</v>
      </c>
    </row>
    <row r="92" spans="1:14">
      <c r="A92" s="249">
        <f t="shared" si="6"/>
        <v>1</v>
      </c>
      <c r="B92" s="250" t="str">
        <f t="shared" si="11"/>
        <v/>
      </c>
      <c r="C92" s="251">
        <f t="shared" si="7"/>
        <v>0</v>
      </c>
      <c r="D92" s="252">
        <f t="shared" si="8"/>
        <v>0</v>
      </c>
      <c r="E92" s="252">
        <f t="shared" si="0"/>
        <v>0</v>
      </c>
      <c r="F92" s="252">
        <f t="shared" si="1"/>
        <v>0</v>
      </c>
      <c r="G92" s="252">
        <f t="shared" si="9"/>
        <v>0</v>
      </c>
      <c r="H92" s="252">
        <f t="shared" si="10"/>
        <v>0</v>
      </c>
      <c r="I92" s="252">
        <f t="shared" si="2"/>
        <v>0</v>
      </c>
      <c r="J92" s="252">
        <f t="shared" si="3"/>
        <v>0</v>
      </c>
      <c r="K92" s="252">
        <f t="shared" si="4"/>
        <v>0</v>
      </c>
      <c r="N92" s="249">
        <f t="shared" si="5"/>
        <v>2</v>
      </c>
    </row>
    <row r="93" spans="1:14">
      <c r="A93" s="249">
        <f t="shared" si="6"/>
        <v>1</v>
      </c>
      <c r="B93" s="250" t="str">
        <f t="shared" si="11"/>
        <v/>
      </c>
      <c r="C93" s="251">
        <f t="shared" si="7"/>
        <v>0</v>
      </c>
      <c r="D93" s="252">
        <f t="shared" si="8"/>
        <v>0</v>
      </c>
      <c r="E93" s="252">
        <f t="shared" si="0"/>
        <v>0</v>
      </c>
      <c r="F93" s="252">
        <f t="shared" si="1"/>
        <v>0</v>
      </c>
      <c r="G93" s="252">
        <f t="shared" si="9"/>
        <v>0</v>
      </c>
      <c r="H93" s="252">
        <f t="shared" si="10"/>
        <v>0</v>
      </c>
      <c r="I93" s="252">
        <f t="shared" si="2"/>
        <v>0</v>
      </c>
      <c r="J93" s="252">
        <f t="shared" si="3"/>
        <v>0</v>
      </c>
      <c r="K93" s="252">
        <f t="shared" si="4"/>
        <v>0</v>
      </c>
      <c r="N93" s="249">
        <f t="shared" si="5"/>
        <v>2</v>
      </c>
    </row>
    <row r="94" spans="1:14">
      <c r="A94" s="249">
        <f t="shared" si="6"/>
        <v>1</v>
      </c>
      <c r="B94" s="250" t="str">
        <f t="shared" si="11"/>
        <v/>
      </c>
      <c r="C94" s="251">
        <f t="shared" si="7"/>
        <v>0</v>
      </c>
      <c r="D94" s="252">
        <f t="shared" si="8"/>
        <v>0</v>
      </c>
      <c r="E94" s="252">
        <f t="shared" si="0"/>
        <v>0</v>
      </c>
      <c r="F94" s="252">
        <f t="shared" si="1"/>
        <v>0</v>
      </c>
      <c r="G94" s="252">
        <f t="shared" si="9"/>
        <v>0</v>
      </c>
      <c r="H94" s="252">
        <f t="shared" si="10"/>
        <v>0</v>
      </c>
      <c r="I94" s="252">
        <f t="shared" si="2"/>
        <v>0</v>
      </c>
      <c r="J94" s="252">
        <f t="shared" si="3"/>
        <v>0</v>
      </c>
      <c r="K94" s="252">
        <f t="shared" si="4"/>
        <v>0</v>
      </c>
      <c r="N94" s="249">
        <f t="shared" si="5"/>
        <v>2</v>
      </c>
    </row>
    <row r="95" spans="1:14">
      <c r="A95" s="249">
        <f t="shared" si="6"/>
        <v>1</v>
      </c>
      <c r="B95" s="250" t="str">
        <f t="shared" si="11"/>
        <v/>
      </c>
      <c r="C95" s="251">
        <f t="shared" si="7"/>
        <v>0</v>
      </c>
      <c r="D95" s="252">
        <f t="shared" si="8"/>
        <v>0</v>
      </c>
      <c r="E95" s="252">
        <f t="shared" si="0"/>
        <v>0</v>
      </c>
      <c r="F95" s="252">
        <f t="shared" si="1"/>
        <v>0</v>
      </c>
      <c r="G95" s="252">
        <f t="shared" si="9"/>
        <v>0</v>
      </c>
      <c r="H95" s="252">
        <f t="shared" si="10"/>
        <v>0</v>
      </c>
      <c r="I95" s="252">
        <f t="shared" si="2"/>
        <v>0</v>
      </c>
      <c r="J95" s="252">
        <f t="shared" si="3"/>
        <v>0</v>
      </c>
      <c r="K95" s="252">
        <f t="shared" si="4"/>
        <v>0</v>
      </c>
      <c r="N95" s="249">
        <f t="shared" si="5"/>
        <v>2</v>
      </c>
    </row>
    <row r="96" spans="1:14">
      <c r="A96" s="249">
        <f t="shared" si="6"/>
        <v>1</v>
      </c>
      <c r="B96" s="250" t="str">
        <f t="shared" si="11"/>
        <v/>
      </c>
      <c r="C96" s="251">
        <f t="shared" si="7"/>
        <v>0</v>
      </c>
      <c r="D96" s="252">
        <f t="shared" si="8"/>
        <v>0</v>
      </c>
      <c r="E96" s="252">
        <f t="shared" si="0"/>
        <v>0</v>
      </c>
      <c r="F96" s="252">
        <f t="shared" si="1"/>
        <v>0</v>
      </c>
      <c r="G96" s="252">
        <f t="shared" si="9"/>
        <v>0</v>
      </c>
      <c r="H96" s="252">
        <f t="shared" si="10"/>
        <v>0</v>
      </c>
      <c r="I96" s="252">
        <f t="shared" si="2"/>
        <v>0</v>
      </c>
      <c r="J96" s="252">
        <f t="shared" si="3"/>
        <v>0</v>
      </c>
      <c r="K96" s="252">
        <f t="shared" si="4"/>
        <v>0</v>
      </c>
      <c r="N96" s="249">
        <f t="shared" si="5"/>
        <v>2</v>
      </c>
    </row>
    <row r="97" spans="1:14">
      <c r="A97" s="249">
        <f t="shared" si="6"/>
        <v>1</v>
      </c>
      <c r="B97" s="250" t="str">
        <f t="shared" si="11"/>
        <v/>
      </c>
      <c r="C97" s="251">
        <f t="shared" si="7"/>
        <v>0</v>
      </c>
      <c r="D97" s="252">
        <f t="shared" si="8"/>
        <v>0</v>
      </c>
      <c r="E97" s="252">
        <f t="shared" si="0"/>
        <v>0</v>
      </c>
      <c r="F97" s="252">
        <f t="shared" si="1"/>
        <v>0</v>
      </c>
      <c r="G97" s="252">
        <f t="shared" si="9"/>
        <v>0</v>
      </c>
      <c r="H97" s="252">
        <f t="shared" si="10"/>
        <v>0</v>
      </c>
      <c r="I97" s="252">
        <f t="shared" si="2"/>
        <v>0</v>
      </c>
      <c r="J97" s="252">
        <f t="shared" si="3"/>
        <v>0</v>
      </c>
      <c r="K97" s="252">
        <f t="shared" si="4"/>
        <v>0</v>
      </c>
      <c r="N97" s="249">
        <f t="shared" si="5"/>
        <v>2</v>
      </c>
    </row>
    <row r="98" spans="1:14">
      <c r="A98" s="249">
        <f t="shared" si="6"/>
        <v>1</v>
      </c>
      <c r="B98" s="250" t="str">
        <f t="shared" si="11"/>
        <v/>
      </c>
      <c r="C98" s="251">
        <f t="shared" si="7"/>
        <v>0</v>
      </c>
      <c r="D98" s="252">
        <f t="shared" si="8"/>
        <v>0</v>
      </c>
      <c r="E98" s="252">
        <f t="shared" si="0"/>
        <v>0</v>
      </c>
      <c r="F98" s="252">
        <f t="shared" si="1"/>
        <v>0</v>
      </c>
      <c r="G98" s="252">
        <f t="shared" si="9"/>
        <v>0</v>
      </c>
      <c r="H98" s="252">
        <f t="shared" si="10"/>
        <v>0</v>
      </c>
      <c r="I98" s="252">
        <f t="shared" si="2"/>
        <v>0</v>
      </c>
      <c r="J98" s="252">
        <f t="shared" si="3"/>
        <v>0</v>
      </c>
      <c r="K98" s="252">
        <f t="shared" si="4"/>
        <v>0</v>
      </c>
      <c r="N98" s="249">
        <f t="shared" si="5"/>
        <v>2</v>
      </c>
    </row>
    <row r="99" spans="1:14">
      <c r="A99" s="249">
        <f t="shared" si="6"/>
        <v>1</v>
      </c>
      <c r="B99" s="250" t="str">
        <f t="shared" si="11"/>
        <v/>
      </c>
      <c r="C99" s="251">
        <f t="shared" si="7"/>
        <v>0</v>
      </c>
      <c r="D99" s="252">
        <f t="shared" si="8"/>
        <v>0</v>
      </c>
      <c r="E99" s="252">
        <f t="shared" si="0"/>
        <v>0</v>
      </c>
      <c r="F99" s="252">
        <f t="shared" si="1"/>
        <v>0</v>
      </c>
      <c r="G99" s="252">
        <f t="shared" si="9"/>
        <v>0</v>
      </c>
      <c r="H99" s="252">
        <f t="shared" si="10"/>
        <v>0</v>
      </c>
      <c r="I99" s="252">
        <f t="shared" si="2"/>
        <v>0</v>
      </c>
      <c r="J99" s="252">
        <f t="shared" si="3"/>
        <v>0</v>
      </c>
      <c r="K99" s="252">
        <f t="shared" si="4"/>
        <v>0</v>
      </c>
      <c r="N99" s="249">
        <f t="shared" si="5"/>
        <v>2</v>
      </c>
    </row>
    <row r="100" spans="1:14">
      <c r="A100" s="249">
        <f t="shared" si="6"/>
        <v>1</v>
      </c>
      <c r="B100" s="250" t="str">
        <f t="shared" si="11"/>
        <v/>
      </c>
      <c r="C100" s="251">
        <f t="shared" si="7"/>
        <v>0</v>
      </c>
      <c r="D100" s="252">
        <f t="shared" si="8"/>
        <v>0</v>
      </c>
      <c r="E100" s="252">
        <f t="shared" si="0"/>
        <v>0</v>
      </c>
      <c r="F100" s="252">
        <f t="shared" si="1"/>
        <v>0</v>
      </c>
      <c r="G100" s="252">
        <f t="shared" si="9"/>
        <v>0</v>
      </c>
      <c r="H100" s="252">
        <f t="shared" si="10"/>
        <v>0</v>
      </c>
      <c r="I100" s="252">
        <f t="shared" si="2"/>
        <v>0</v>
      </c>
      <c r="J100" s="252">
        <f t="shared" si="3"/>
        <v>0</v>
      </c>
      <c r="K100" s="252">
        <f t="shared" si="4"/>
        <v>0</v>
      </c>
      <c r="N100" s="249">
        <f t="shared" si="5"/>
        <v>2</v>
      </c>
    </row>
    <row r="101" spans="1:14">
      <c r="A101" s="249">
        <f t="shared" si="6"/>
        <v>1</v>
      </c>
      <c r="B101" s="250" t="str">
        <f t="shared" si="11"/>
        <v/>
      </c>
      <c r="C101" s="251">
        <f t="shared" si="7"/>
        <v>0</v>
      </c>
      <c r="D101" s="252">
        <f t="shared" si="8"/>
        <v>0</v>
      </c>
      <c r="E101" s="252">
        <f t="shared" si="0"/>
        <v>0</v>
      </c>
      <c r="F101" s="252">
        <f t="shared" si="1"/>
        <v>0</v>
      </c>
      <c r="G101" s="252">
        <f t="shared" si="9"/>
        <v>0</v>
      </c>
      <c r="H101" s="252">
        <f t="shared" si="10"/>
        <v>0</v>
      </c>
      <c r="I101" s="252">
        <f t="shared" si="2"/>
        <v>0</v>
      </c>
      <c r="J101" s="252">
        <f t="shared" si="3"/>
        <v>0</v>
      </c>
      <c r="K101" s="252">
        <f t="shared" si="4"/>
        <v>0</v>
      </c>
      <c r="N101" s="249">
        <f t="shared" si="5"/>
        <v>2</v>
      </c>
    </row>
    <row r="102" spans="1:14">
      <c r="A102" s="249">
        <f t="shared" si="6"/>
        <v>1</v>
      </c>
      <c r="B102" s="250" t="str">
        <f t="shared" si="11"/>
        <v/>
      </c>
      <c r="C102" s="251">
        <f t="shared" si="7"/>
        <v>0</v>
      </c>
      <c r="D102" s="252">
        <f t="shared" si="8"/>
        <v>0</v>
      </c>
      <c r="E102" s="252">
        <f t="shared" si="0"/>
        <v>0</v>
      </c>
      <c r="F102" s="252">
        <f t="shared" si="1"/>
        <v>0</v>
      </c>
      <c r="G102" s="252">
        <f t="shared" si="9"/>
        <v>0</v>
      </c>
      <c r="H102" s="252">
        <f t="shared" si="10"/>
        <v>0</v>
      </c>
      <c r="I102" s="252">
        <f t="shared" si="2"/>
        <v>0</v>
      </c>
      <c r="J102" s="252">
        <f t="shared" si="3"/>
        <v>0</v>
      </c>
      <c r="K102" s="252">
        <f t="shared" si="4"/>
        <v>0</v>
      </c>
      <c r="N102" s="249">
        <f t="shared" si="5"/>
        <v>2</v>
      </c>
    </row>
    <row r="103" spans="1:14">
      <c r="A103" s="249">
        <f t="shared" si="6"/>
        <v>1</v>
      </c>
      <c r="B103" s="250" t="str">
        <f t="shared" si="11"/>
        <v/>
      </c>
      <c r="C103" s="251">
        <f t="shared" si="7"/>
        <v>0</v>
      </c>
      <c r="D103" s="252">
        <f t="shared" si="8"/>
        <v>0</v>
      </c>
      <c r="E103" s="252">
        <f t="shared" ref="E103:E166" si="12">IF($C103,D103-F103-J103,0)</f>
        <v>0</v>
      </c>
      <c r="F103" s="252">
        <f t="shared" ref="F103:F166" si="13">IF(Pay_at=1,IF(C103,ROUND((+C103)*IF(Loan_Schedule_Type=1,$E$20,IF(Loan_Schedule_Type=2,$E$26,$I$31))/SUMIF($M$15:$M$19,$I$16,$N$15:$N$19),2),0),IF(C103,ROUND((+C103-D103)*IF(Loan_Schedule_Type=1,$E$20,IF(Loan_Schedule_Type=2,$E$26,$I$31))/SUMIF($M$15:$M$19,$I$16,$N$15:$N$19),2),0))</f>
        <v>0</v>
      </c>
      <c r="G103" s="252">
        <f t="shared" si="9"/>
        <v>0</v>
      </c>
      <c r="H103" s="252">
        <f t="shared" si="10"/>
        <v>0</v>
      </c>
      <c r="I103" s="252">
        <f t="shared" ref="I103:I166" si="14">IF(C103,C103-E103-J103,0)</f>
        <v>0</v>
      </c>
      <c r="J103" s="252">
        <f t="shared" ref="J103:J166" si="15">IF(D103=0,0,ROUND((D103-F103)/IF(Loan_Schedule_Type=1,$E$19,IF(Loan_Schedule_Type=2,$E$25,$E$31))*IF(Loan_Schedule_Type=1,$J$21,IF(Loan_Schedule_Type=2,$J$27,$J$33)),2))</f>
        <v>0</v>
      </c>
      <c r="K103" s="252">
        <f t="shared" ref="K103:K166" si="16">ROUND(J103/11,2)</f>
        <v>0</v>
      </c>
      <c r="N103" s="249">
        <f t="shared" ref="N103:N166" si="17">IF(B103&lt;$I$10,0,IF(B103&gt;($I$10+364),2,1))</f>
        <v>2</v>
      </c>
    </row>
    <row r="104" spans="1:14">
      <c r="A104" s="249">
        <f t="shared" ref="A104:A167" si="18">IF(C104&gt;0,+A103+1,A103)</f>
        <v>1</v>
      </c>
      <c r="B104" s="250" t="str">
        <f t="shared" si="11"/>
        <v/>
      </c>
      <c r="C104" s="251">
        <f t="shared" ref="C104:C167" si="19">IF(+I103&gt;0.01,I103,0)</f>
        <v>0</v>
      </c>
      <c r="D104" s="252">
        <f t="shared" ref="D104:D167" si="20">IF(C104&gt;0.01,IF(Pay_at=1,IF(A104=IF(Loan_Schedule_Type=1,$I$19,IF(Loan_Schedule_Type=2,$E$27,$E$33)),C104+F104,D103),IF(A104=IF(Loan_Schedule_Type=1,$I$19,IF(Loan_Schedule_Type=2,$E$27,$E$33)),C104,D103)),0)</f>
        <v>0</v>
      </c>
      <c r="E104" s="252">
        <f t="shared" si="12"/>
        <v>0</v>
      </c>
      <c r="F104" s="252">
        <f t="shared" si="13"/>
        <v>0</v>
      </c>
      <c r="G104" s="252">
        <f t="shared" ref="G104:G167" si="21">IF(C104,G103+E104+J104,0)</f>
        <v>0</v>
      </c>
      <c r="H104" s="252">
        <f t="shared" ref="H104:H167" si="22">IF(C104,H103+F104,0)</f>
        <v>0</v>
      </c>
      <c r="I104" s="252">
        <f t="shared" si="14"/>
        <v>0</v>
      </c>
      <c r="J104" s="252">
        <f t="shared" si="15"/>
        <v>0</v>
      </c>
      <c r="K104" s="252">
        <f t="shared" si="16"/>
        <v>0</v>
      </c>
      <c r="N104" s="249">
        <f t="shared" si="17"/>
        <v>2</v>
      </c>
    </row>
    <row r="105" spans="1:14">
      <c r="A105" s="249">
        <f t="shared" si="18"/>
        <v>1</v>
      </c>
      <c r="B105" s="250" t="str">
        <f t="shared" ref="B105:B168" si="23">IF(A105&gt;$E$33,"",IF($I$16="weekly",B104+7,IF($I$16="fortnightly",B104+14,IF($I$16="monthly",DATE(YEAR(B104),MONTH(B104)+1,DAY(1)),IF($I$16="6 monthly",DATE(YEAR(B104),MONTH(B104)+6,DAY(1)),IF($I$16="Annually",DATE(YEAR(B104)+1,MONTH(B104),DAY(B104))))))))</f>
        <v/>
      </c>
      <c r="C105" s="251">
        <f t="shared" si="19"/>
        <v>0</v>
      </c>
      <c r="D105" s="252">
        <f t="shared" si="20"/>
        <v>0</v>
      </c>
      <c r="E105" s="252">
        <f t="shared" si="12"/>
        <v>0</v>
      </c>
      <c r="F105" s="252">
        <f t="shared" si="13"/>
        <v>0</v>
      </c>
      <c r="G105" s="252">
        <f t="shared" si="21"/>
        <v>0</v>
      </c>
      <c r="H105" s="252">
        <f t="shared" si="22"/>
        <v>0</v>
      </c>
      <c r="I105" s="252">
        <f t="shared" si="14"/>
        <v>0</v>
      </c>
      <c r="J105" s="252">
        <f t="shared" si="15"/>
        <v>0</v>
      </c>
      <c r="K105" s="252">
        <f t="shared" si="16"/>
        <v>0</v>
      </c>
      <c r="N105" s="249">
        <f t="shared" si="17"/>
        <v>2</v>
      </c>
    </row>
    <row r="106" spans="1:14">
      <c r="A106" s="249">
        <f t="shared" si="18"/>
        <v>1</v>
      </c>
      <c r="B106" s="250" t="str">
        <f t="shared" si="23"/>
        <v/>
      </c>
      <c r="C106" s="251">
        <f t="shared" si="19"/>
        <v>0</v>
      </c>
      <c r="D106" s="252">
        <f t="shared" si="20"/>
        <v>0</v>
      </c>
      <c r="E106" s="252">
        <f t="shared" si="12"/>
        <v>0</v>
      </c>
      <c r="F106" s="252">
        <f t="shared" si="13"/>
        <v>0</v>
      </c>
      <c r="G106" s="252">
        <f t="shared" si="21"/>
        <v>0</v>
      </c>
      <c r="H106" s="252">
        <f t="shared" si="22"/>
        <v>0</v>
      </c>
      <c r="I106" s="252">
        <f t="shared" si="14"/>
        <v>0</v>
      </c>
      <c r="J106" s="252">
        <f t="shared" si="15"/>
        <v>0</v>
      </c>
      <c r="K106" s="252">
        <f t="shared" si="16"/>
        <v>0</v>
      </c>
      <c r="N106" s="249">
        <f t="shared" si="17"/>
        <v>2</v>
      </c>
    </row>
    <row r="107" spans="1:14">
      <c r="A107" s="249">
        <f t="shared" si="18"/>
        <v>1</v>
      </c>
      <c r="B107" s="250" t="str">
        <f t="shared" si="23"/>
        <v/>
      </c>
      <c r="C107" s="251">
        <f t="shared" si="19"/>
        <v>0</v>
      </c>
      <c r="D107" s="252">
        <f t="shared" si="20"/>
        <v>0</v>
      </c>
      <c r="E107" s="252">
        <f t="shared" si="12"/>
        <v>0</v>
      </c>
      <c r="F107" s="252">
        <f t="shared" si="13"/>
        <v>0</v>
      </c>
      <c r="G107" s="252">
        <f t="shared" si="21"/>
        <v>0</v>
      </c>
      <c r="H107" s="252">
        <f t="shared" si="22"/>
        <v>0</v>
      </c>
      <c r="I107" s="252">
        <f t="shared" si="14"/>
        <v>0</v>
      </c>
      <c r="J107" s="252">
        <f t="shared" si="15"/>
        <v>0</v>
      </c>
      <c r="K107" s="252">
        <f t="shared" si="16"/>
        <v>0</v>
      </c>
      <c r="N107" s="249">
        <f t="shared" si="17"/>
        <v>2</v>
      </c>
    </row>
    <row r="108" spans="1:14">
      <c r="A108" s="249">
        <f t="shared" si="18"/>
        <v>1</v>
      </c>
      <c r="B108" s="250" t="str">
        <f t="shared" si="23"/>
        <v/>
      </c>
      <c r="C108" s="251">
        <f t="shared" si="19"/>
        <v>0</v>
      </c>
      <c r="D108" s="252">
        <f t="shared" si="20"/>
        <v>0</v>
      </c>
      <c r="E108" s="252">
        <f t="shared" si="12"/>
        <v>0</v>
      </c>
      <c r="F108" s="252">
        <f t="shared" si="13"/>
        <v>0</v>
      </c>
      <c r="G108" s="252">
        <f t="shared" si="21"/>
        <v>0</v>
      </c>
      <c r="H108" s="252">
        <f t="shared" si="22"/>
        <v>0</v>
      </c>
      <c r="I108" s="252">
        <f t="shared" si="14"/>
        <v>0</v>
      </c>
      <c r="J108" s="252">
        <f t="shared" si="15"/>
        <v>0</v>
      </c>
      <c r="K108" s="252">
        <f t="shared" si="16"/>
        <v>0</v>
      </c>
      <c r="N108" s="249">
        <f t="shared" si="17"/>
        <v>2</v>
      </c>
    </row>
    <row r="109" spans="1:14">
      <c r="A109" s="249">
        <f t="shared" si="18"/>
        <v>1</v>
      </c>
      <c r="B109" s="250" t="str">
        <f t="shared" si="23"/>
        <v/>
      </c>
      <c r="C109" s="251">
        <f t="shared" si="19"/>
        <v>0</v>
      </c>
      <c r="D109" s="252">
        <f t="shared" si="20"/>
        <v>0</v>
      </c>
      <c r="E109" s="252">
        <f t="shared" si="12"/>
        <v>0</v>
      </c>
      <c r="F109" s="252">
        <f t="shared" si="13"/>
        <v>0</v>
      </c>
      <c r="G109" s="252">
        <f t="shared" si="21"/>
        <v>0</v>
      </c>
      <c r="H109" s="252">
        <f t="shared" si="22"/>
        <v>0</v>
      </c>
      <c r="I109" s="252">
        <f t="shared" si="14"/>
        <v>0</v>
      </c>
      <c r="J109" s="252">
        <f t="shared" si="15"/>
        <v>0</v>
      </c>
      <c r="K109" s="252">
        <f t="shared" si="16"/>
        <v>0</v>
      </c>
      <c r="N109" s="249">
        <f t="shared" si="17"/>
        <v>2</v>
      </c>
    </row>
    <row r="110" spans="1:14">
      <c r="A110" s="249">
        <f t="shared" si="18"/>
        <v>1</v>
      </c>
      <c r="B110" s="250" t="str">
        <f t="shared" si="23"/>
        <v/>
      </c>
      <c r="C110" s="251">
        <f t="shared" si="19"/>
        <v>0</v>
      </c>
      <c r="D110" s="252">
        <f t="shared" si="20"/>
        <v>0</v>
      </c>
      <c r="E110" s="252">
        <f t="shared" si="12"/>
        <v>0</v>
      </c>
      <c r="F110" s="252">
        <f t="shared" si="13"/>
        <v>0</v>
      </c>
      <c r="G110" s="252">
        <f t="shared" si="21"/>
        <v>0</v>
      </c>
      <c r="H110" s="252">
        <f t="shared" si="22"/>
        <v>0</v>
      </c>
      <c r="I110" s="252">
        <f t="shared" si="14"/>
        <v>0</v>
      </c>
      <c r="J110" s="252">
        <f t="shared" si="15"/>
        <v>0</v>
      </c>
      <c r="K110" s="252">
        <f t="shared" si="16"/>
        <v>0</v>
      </c>
      <c r="N110" s="249">
        <f t="shared" si="17"/>
        <v>2</v>
      </c>
    </row>
    <row r="111" spans="1:14">
      <c r="A111" s="249">
        <f t="shared" si="18"/>
        <v>1</v>
      </c>
      <c r="B111" s="250" t="str">
        <f t="shared" si="23"/>
        <v/>
      </c>
      <c r="C111" s="251">
        <f t="shared" si="19"/>
        <v>0</v>
      </c>
      <c r="D111" s="252">
        <f t="shared" si="20"/>
        <v>0</v>
      </c>
      <c r="E111" s="252">
        <f t="shared" si="12"/>
        <v>0</v>
      </c>
      <c r="F111" s="252">
        <f t="shared" si="13"/>
        <v>0</v>
      </c>
      <c r="G111" s="252">
        <f t="shared" si="21"/>
        <v>0</v>
      </c>
      <c r="H111" s="252">
        <f t="shared" si="22"/>
        <v>0</v>
      </c>
      <c r="I111" s="252">
        <f t="shared" si="14"/>
        <v>0</v>
      </c>
      <c r="J111" s="252">
        <f t="shared" si="15"/>
        <v>0</v>
      </c>
      <c r="K111" s="252">
        <f t="shared" si="16"/>
        <v>0</v>
      </c>
      <c r="N111" s="249">
        <f t="shared" si="17"/>
        <v>2</v>
      </c>
    </row>
    <row r="112" spans="1:14">
      <c r="A112" s="249">
        <f t="shared" si="18"/>
        <v>1</v>
      </c>
      <c r="B112" s="250" t="str">
        <f t="shared" si="23"/>
        <v/>
      </c>
      <c r="C112" s="251">
        <f t="shared" si="19"/>
        <v>0</v>
      </c>
      <c r="D112" s="252">
        <f t="shared" si="20"/>
        <v>0</v>
      </c>
      <c r="E112" s="252">
        <f t="shared" si="12"/>
        <v>0</v>
      </c>
      <c r="F112" s="252">
        <f t="shared" si="13"/>
        <v>0</v>
      </c>
      <c r="G112" s="252">
        <f t="shared" si="21"/>
        <v>0</v>
      </c>
      <c r="H112" s="252">
        <f t="shared" si="22"/>
        <v>0</v>
      </c>
      <c r="I112" s="252">
        <f t="shared" si="14"/>
        <v>0</v>
      </c>
      <c r="J112" s="252">
        <f t="shared" si="15"/>
        <v>0</v>
      </c>
      <c r="K112" s="252">
        <f t="shared" si="16"/>
        <v>0</v>
      </c>
      <c r="N112" s="249">
        <f t="shared" si="17"/>
        <v>2</v>
      </c>
    </row>
    <row r="113" spans="1:14">
      <c r="A113" s="249">
        <f t="shared" si="18"/>
        <v>1</v>
      </c>
      <c r="B113" s="250" t="str">
        <f t="shared" si="23"/>
        <v/>
      </c>
      <c r="C113" s="251">
        <f t="shared" si="19"/>
        <v>0</v>
      </c>
      <c r="D113" s="252">
        <f t="shared" si="20"/>
        <v>0</v>
      </c>
      <c r="E113" s="252">
        <f t="shared" si="12"/>
        <v>0</v>
      </c>
      <c r="F113" s="252">
        <f t="shared" si="13"/>
        <v>0</v>
      </c>
      <c r="G113" s="252">
        <f t="shared" si="21"/>
        <v>0</v>
      </c>
      <c r="H113" s="252">
        <f t="shared" si="22"/>
        <v>0</v>
      </c>
      <c r="I113" s="252">
        <f t="shared" si="14"/>
        <v>0</v>
      </c>
      <c r="J113" s="252">
        <f t="shared" si="15"/>
        <v>0</v>
      </c>
      <c r="K113" s="252">
        <f t="shared" si="16"/>
        <v>0</v>
      </c>
      <c r="N113" s="249">
        <f t="shared" si="17"/>
        <v>2</v>
      </c>
    </row>
    <row r="114" spans="1:14">
      <c r="A114" s="249">
        <f t="shared" si="18"/>
        <v>1</v>
      </c>
      <c r="B114" s="250" t="str">
        <f t="shared" si="23"/>
        <v/>
      </c>
      <c r="C114" s="251">
        <f t="shared" si="19"/>
        <v>0</v>
      </c>
      <c r="D114" s="252">
        <f t="shared" si="20"/>
        <v>0</v>
      </c>
      <c r="E114" s="252">
        <f t="shared" si="12"/>
        <v>0</v>
      </c>
      <c r="F114" s="252">
        <f t="shared" si="13"/>
        <v>0</v>
      </c>
      <c r="G114" s="252">
        <f t="shared" si="21"/>
        <v>0</v>
      </c>
      <c r="H114" s="252">
        <f t="shared" si="22"/>
        <v>0</v>
      </c>
      <c r="I114" s="252">
        <f t="shared" si="14"/>
        <v>0</v>
      </c>
      <c r="J114" s="252">
        <f t="shared" si="15"/>
        <v>0</v>
      </c>
      <c r="K114" s="252">
        <f t="shared" si="16"/>
        <v>0</v>
      </c>
      <c r="N114" s="249">
        <f t="shared" si="17"/>
        <v>2</v>
      </c>
    </row>
    <row r="115" spans="1:14">
      <c r="A115" s="249">
        <f t="shared" si="18"/>
        <v>1</v>
      </c>
      <c r="B115" s="250" t="str">
        <f t="shared" si="23"/>
        <v/>
      </c>
      <c r="C115" s="251">
        <f t="shared" si="19"/>
        <v>0</v>
      </c>
      <c r="D115" s="252">
        <f t="shared" si="20"/>
        <v>0</v>
      </c>
      <c r="E115" s="252">
        <f t="shared" si="12"/>
        <v>0</v>
      </c>
      <c r="F115" s="252">
        <f t="shared" si="13"/>
        <v>0</v>
      </c>
      <c r="G115" s="252">
        <f t="shared" si="21"/>
        <v>0</v>
      </c>
      <c r="H115" s="252">
        <f t="shared" si="22"/>
        <v>0</v>
      </c>
      <c r="I115" s="252">
        <f t="shared" si="14"/>
        <v>0</v>
      </c>
      <c r="J115" s="252">
        <f t="shared" si="15"/>
        <v>0</v>
      </c>
      <c r="K115" s="252">
        <f t="shared" si="16"/>
        <v>0</v>
      </c>
      <c r="N115" s="249">
        <f t="shared" si="17"/>
        <v>2</v>
      </c>
    </row>
    <row r="116" spans="1:14">
      <c r="A116" s="249">
        <f t="shared" si="18"/>
        <v>1</v>
      </c>
      <c r="B116" s="250" t="str">
        <f t="shared" si="23"/>
        <v/>
      </c>
      <c r="C116" s="251">
        <f t="shared" si="19"/>
        <v>0</v>
      </c>
      <c r="D116" s="252">
        <f t="shared" si="20"/>
        <v>0</v>
      </c>
      <c r="E116" s="252">
        <f t="shared" si="12"/>
        <v>0</v>
      </c>
      <c r="F116" s="252">
        <f t="shared" si="13"/>
        <v>0</v>
      </c>
      <c r="G116" s="252">
        <f t="shared" si="21"/>
        <v>0</v>
      </c>
      <c r="H116" s="252">
        <f t="shared" si="22"/>
        <v>0</v>
      </c>
      <c r="I116" s="252">
        <f t="shared" si="14"/>
        <v>0</v>
      </c>
      <c r="J116" s="252">
        <f t="shared" si="15"/>
        <v>0</v>
      </c>
      <c r="K116" s="252">
        <f t="shared" si="16"/>
        <v>0</v>
      </c>
      <c r="N116" s="249">
        <f t="shared" si="17"/>
        <v>2</v>
      </c>
    </row>
    <row r="117" spans="1:14">
      <c r="A117" s="249">
        <f t="shared" si="18"/>
        <v>1</v>
      </c>
      <c r="B117" s="250" t="str">
        <f t="shared" si="23"/>
        <v/>
      </c>
      <c r="C117" s="251">
        <f t="shared" si="19"/>
        <v>0</v>
      </c>
      <c r="D117" s="252">
        <f t="shared" si="20"/>
        <v>0</v>
      </c>
      <c r="E117" s="252">
        <f t="shared" si="12"/>
        <v>0</v>
      </c>
      <c r="F117" s="252">
        <f t="shared" si="13"/>
        <v>0</v>
      </c>
      <c r="G117" s="252">
        <f t="shared" si="21"/>
        <v>0</v>
      </c>
      <c r="H117" s="252">
        <f t="shared" si="22"/>
        <v>0</v>
      </c>
      <c r="I117" s="252">
        <f t="shared" si="14"/>
        <v>0</v>
      </c>
      <c r="J117" s="252">
        <f t="shared" si="15"/>
        <v>0</v>
      </c>
      <c r="K117" s="252">
        <f t="shared" si="16"/>
        <v>0</v>
      </c>
      <c r="N117" s="249">
        <f t="shared" si="17"/>
        <v>2</v>
      </c>
    </row>
    <row r="118" spans="1:14">
      <c r="A118" s="249">
        <f t="shared" si="18"/>
        <v>1</v>
      </c>
      <c r="B118" s="250" t="str">
        <f t="shared" si="23"/>
        <v/>
      </c>
      <c r="C118" s="251">
        <f t="shared" si="19"/>
        <v>0</v>
      </c>
      <c r="D118" s="252">
        <f t="shared" si="20"/>
        <v>0</v>
      </c>
      <c r="E118" s="252">
        <f t="shared" si="12"/>
        <v>0</v>
      </c>
      <c r="F118" s="252">
        <f t="shared" si="13"/>
        <v>0</v>
      </c>
      <c r="G118" s="252">
        <f t="shared" si="21"/>
        <v>0</v>
      </c>
      <c r="H118" s="252">
        <f t="shared" si="22"/>
        <v>0</v>
      </c>
      <c r="I118" s="252">
        <f t="shared" si="14"/>
        <v>0</v>
      </c>
      <c r="J118" s="252">
        <f t="shared" si="15"/>
        <v>0</v>
      </c>
      <c r="K118" s="252">
        <f t="shared" si="16"/>
        <v>0</v>
      </c>
      <c r="N118" s="249">
        <f t="shared" si="17"/>
        <v>2</v>
      </c>
    </row>
    <row r="119" spans="1:14">
      <c r="A119" s="249">
        <f t="shared" si="18"/>
        <v>1</v>
      </c>
      <c r="B119" s="250" t="str">
        <f t="shared" si="23"/>
        <v/>
      </c>
      <c r="C119" s="251">
        <f t="shared" si="19"/>
        <v>0</v>
      </c>
      <c r="D119" s="252">
        <f t="shared" si="20"/>
        <v>0</v>
      </c>
      <c r="E119" s="252">
        <f t="shared" si="12"/>
        <v>0</v>
      </c>
      <c r="F119" s="252">
        <f t="shared" si="13"/>
        <v>0</v>
      </c>
      <c r="G119" s="252">
        <f t="shared" si="21"/>
        <v>0</v>
      </c>
      <c r="H119" s="252">
        <f t="shared" si="22"/>
        <v>0</v>
      </c>
      <c r="I119" s="252">
        <f t="shared" si="14"/>
        <v>0</v>
      </c>
      <c r="J119" s="252">
        <f t="shared" si="15"/>
        <v>0</v>
      </c>
      <c r="K119" s="252">
        <f t="shared" si="16"/>
        <v>0</v>
      </c>
      <c r="N119" s="249">
        <f t="shared" si="17"/>
        <v>2</v>
      </c>
    </row>
    <row r="120" spans="1:14">
      <c r="A120" s="249">
        <f t="shared" si="18"/>
        <v>1</v>
      </c>
      <c r="B120" s="250" t="str">
        <f t="shared" si="23"/>
        <v/>
      </c>
      <c r="C120" s="251">
        <f t="shared" si="19"/>
        <v>0</v>
      </c>
      <c r="D120" s="252">
        <f t="shared" si="20"/>
        <v>0</v>
      </c>
      <c r="E120" s="252">
        <f t="shared" si="12"/>
        <v>0</v>
      </c>
      <c r="F120" s="252">
        <f t="shared" si="13"/>
        <v>0</v>
      </c>
      <c r="G120" s="252">
        <f t="shared" si="21"/>
        <v>0</v>
      </c>
      <c r="H120" s="252">
        <f t="shared" si="22"/>
        <v>0</v>
      </c>
      <c r="I120" s="252">
        <f t="shared" si="14"/>
        <v>0</v>
      </c>
      <c r="J120" s="252">
        <f t="shared" si="15"/>
        <v>0</v>
      </c>
      <c r="K120" s="252">
        <f t="shared" si="16"/>
        <v>0</v>
      </c>
      <c r="N120" s="249">
        <f t="shared" si="17"/>
        <v>2</v>
      </c>
    </row>
    <row r="121" spans="1:14">
      <c r="A121" s="249">
        <f t="shared" si="18"/>
        <v>1</v>
      </c>
      <c r="B121" s="250" t="str">
        <f t="shared" si="23"/>
        <v/>
      </c>
      <c r="C121" s="251">
        <f t="shared" si="19"/>
        <v>0</v>
      </c>
      <c r="D121" s="252">
        <f t="shared" si="20"/>
        <v>0</v>
      </c>
      <c r="E121" s="252">
        <f t="shared" si="12"/>
        <v>0</v>
      </c>
      <c r="F121" s="252">
        <f t="shared" si="13"/>
        <v>0</v>
      </c>
      <c r="G121" s="252">
        <f t="shared" si="21"/>
        <v>0</v>
      </c>
      <c r="H121" s="252">
        <f t="shared" si="22"/>
        <v>0</v>
      </c>
      <c r="I121" s="252">
        <f t="shared" si="14"/>
        <v>0</v>
      </c>
      <c r="J121" s="252">
        <f t="shared" si="15"/>
        <v>0</v>
      </c>
      <c r="K121" s="252">
        <f t="shared" si="16"/>
        <v>0</v>
      </c>
      <c r="N121" s="249">
        <f t="shared" si="17"/>
        <v>2</v>
      </c>
    </row>
    <row r="122" spans="1:14">
      <c r="A122" s="249">
        <f t="shared" si="18"/>
        <v>1</v>
      </c>
      <c r="B122" s="250" t="str">
        <f t="shared" si="23"/>
        <v/>
      </c>
      <c r="C122" s="251">
        <f t="shared" si="19"/>
        <v>0</v>
      </c>
      <c r="D122" s="252">
        <f t="shared" si="20"/>
        <v>0</v>
      </c>
      <c r="E122" s="252">
        <f t="shared" si="12"/>
        <v>0</v>
      </c>
      <c r="F122" s="252">
        <f t="shared" si="13"/>
        <v>0</v>
      </c>
      <c r="G122" s="252">
        <f t="shared" si="21"/>
        <v>0</v>
      </c>
      <c r="H122" s="252">
        <f t="shared" si="22"/>
        <v>0</v>
      </c>
      <c r="I122" s="252">
        <f t="shared" si="14"/>
        <v>0</v>
      </c>
      <c r="J122" s="252">
        <f t="shared" si="15"/>
        <v>0</v>
      </c>
      <c r="K122" s="252">
        <f t="shared" si="16"/>
        <v>0</v>
      </c>
      <c r="N122" s="249">
        <f t="shared" si="17"/>
        <v>2</v>
      </c>
    </row>
    <row r="123" spans="1:14">
      <c r="A123" s="249">
        <f t="shared" si="18"/>
        <v>1</v>
      </c>
      <c r="B123" s="250" t="str">
        <f t="shared" si="23"/>
        <v/>
      </c>
      <c r="C123" s="251">
        <f t="shared" si="19"/>
        <v>0</v>
      </c>
      <c r="D123" s="252">
        <f t="shared" si="20"/>
        <v>0</v>
      </c>
      <c r="E123" s="252">
        <f t="shared" si="12"/>
        <v>0</v>
      </c>
      <c r="F123" s="252">
        <f t="shared" si="13"/>
        <v>0</v>
      </c>
      <c r="G123" s="252">
        <f t="shared" si="21"/>
        <v>0</v>
      </c>
      <c r="H123" s="252">
        <f t="shared" si="22"/>
        <v>0</v>
      </c>
      <c r="I123" s="252">
        <f t="shared" si="14"/>
        <v>0</v>
      </c>
      <c r="J123" s="252">
        <f t="shared" si="15"/>
        <v>0</v>
      </c>
      <c r="K123" s="252">
        <f t="shared" si="16"/>
        <v>0</v>
      </c>
      <c r="N123" s="249">
        <f t="shared" si="17"/>
        <v>2</v>
      </c>
    </row>
    <row r="124" spans="1:14">
      <c r="A124" s="249">
        <f t="shared" si="18"/>
        <v>1</v>
      </c>
      <c r="B124" s="250" t="str">
        <f t="shared" si="23"/>
        <v/>
      </c>
      <c r="C124" s="251">
        <f t="shared" si="19"/>
        <v>0</v>
      </c>
      <c r="D124" s="252">
        <f t="shared" si="20"/>
        <v>0</v>
      </c>
      <c r="E124" s="252">
        <f t="shared" si="12"/>
        <v>0</v>
      </c>
      <c r="F124" s="252">
        <f t="shared" si="13"/>
        <v>0</v>
      </c>
      <c r="G124" s="252">
        <f t="shared" si="21"/>
        <v>0</v>
      </c>
      <c r="H124" s="252">
        <f t="shared" si="22"/>
        <v>0</v>
      </c>
      <c r="I124" s="252">
        <f t="shared" si="14"/>
        <v>0</v>
      </c>
      <c r="J124" s="252">
        <f t="shared" si="15"/>
        <v>0</v>
      </c>
      <c r="K124" s="252">
        <f t="shared" si="16"/>
        <v>0</v>
      </c>
      <c r="N124" s="249">
        <f t="shared" si="17"/>
        <v>2</v>
      </c>
    </row>
    <row r="125" spans="1:14">
      <c r="A125" s="249">
        <f t="shared" si="18"/>
        <v>1</v>
      </c>
      <c r="B125" s="250" t="str">
        <f t="shared" si="23"/>
        <v/>
      </c>
      <c r="C125" s="251">
        <f t="shared" si="19"/>
        <v>0</v>
      </c>
      <c r="D125" s="252">
        <f t="shared" si="20"/>
        <v>0</v>
      </c>
      <c r="E125" s="252">
        <f t="shared" si="12"/>
        <v>0</v>
      </c>
      <c r="F125" s="252">
        <f t="shared" si="13"/>
        <v>0</v>
      </c>
      <c r="G125" s="252">
        <f t="shared" si="21"/>
        <v>0</v>
      </c>
      <c r="H125" s="252">
        <f t="shared" si="22"/>
        <v>0</v>
      </c>
      <c r="I125" s="252">
        <f t="shared" si="14"/>
        <v>0</v>
      </c>
      <c r="J125" s="252">
        <f t="shared" si="15"/>
        <v>0</v>
      </c>
      <c r="K125" s="252">
        <f t="shared" si="16"/>
        <v>0</v>
      </c>
      <c r="N125" s="249">
        <f t="shared" si="17"/>
        <v>2</v>
      </c>
    </row>
    <row r="126" spans="1:14">
      <c r="A126" s="249">
        <f t="shared" si="18"/>
        <v>1</v>
      </c>
      <c r="B126" s="250" t="str">
        <f t="shared" si="23"/>
        <v/>
      </c>
      <c r="C126" s="251">
        <f t="shared" si="19"/>
        <v>0</v>
      </c>
      <c r="D126" s="252">
        <f t="shared" si="20"/>
        <v>0</v>
      </c>
      <c r="E126" s="252">
        <f t="shared" si="12"/>
        <v>0</v>
      </c>
      <c r="F126" s="252">
        <f t="shared" si="13"/>
        <v>0</v>
      </c>
      <c r="G126" s="252">
        <f t="shared" si="21"/>
        <v>0</v>
      </c>
      <c r="H126" s="252">
        <f t="shared" si="22"/>
        <v>0</v>
      </c>
      <c r="I126" s="252">
        <f t="shared" si="14"/>
        <v>0</v>
      </c>
      <c r="J126" s="252">
        <f t="shared" si="15"/>
        <v>0</v>
      </c>
      <c r="K126" s="252">
        <f t="shared" si="16"/>
        <v>0</v>
      </c>
      <c r="N126" s="249">
        <f t="shared" si="17"/>
        <v>2</v>
      </c>
    </row>
    <row r="127" spans="1:14">
      <c r="A127" s="249">
        <f t="shared" si="18"/>
        <v>1</v>
      </c>
      <c r="B127" s="250" t="str">
        <f t="shared" si="23"/>
        <v/>
      </c>
      <c r="C127" s="251">
        <f t="shared" si="19"/>
        <v>0</v>
      </c>
      <c r="D127" s="252">
        <f t="shared" si="20"/>
        <v>0</v>
      </c>
      <c r="E127" s="252">
        <f t="shared" si="12"/>
        <v>0</v>
      </c>
      <c r="F127" s="252">
        <f t="shared" si="13"/>
        <v>0</v>
      </c>
      <c r="G127" s="252">
        <f t="shared" si="21"/>
        <v>0</v>
      </c>
      <c r="H127" s="252">
        <f t="shared" si="22"/>
        <v>0</v>
      </c>
      <c r="I127" s="252">
        <f t="shared" si="14"/>
        <v>0</v>
      </c>
      <c r="J127" s="252">
        <f t="shared" si="15"/>
        <v>0</v>
      </c>
      <c r="K127" s="252">
        <f t="shared" si="16"/>
        <v>0</v>
      </c>
      <c r="N127" s="249">
        <f t="shared" si="17"/>
        <v>2</v>
      </c>
    </row>
    <row r="128" spans="1:14">
      <c r="A128" s="249">
        <f t="shared" si="18"/>
        <v>1</v>
      </c>
      <c r="B128" s="250" t="str">
        <f t="shared" si="23"/>
        <v/>
      </c>
      <c r="C128" s="251">
        <f t="shared" si="19"/>
        <v>0</v>
      </c>
      <c r="D128" s="252">
        <f t="shared" si="20"/>
        <v>0</v>
      </c>
      <c r="E128" s="252">
        <f t="shared" si="12"/>
        <v>0</v>
      </c>
      <c r="F128" s="252">
        <f t="shared" si="13"/>
        <v>0</v>
      </c>
      <c r="G128" s="252">
        <f t="shared" si="21"/>
        <v>0</v>
      </c>
      <c r="H128" s="252">
        <f t="shared" si="22"/>
        <v>0</v>
      </c>
      <c r="I128" s="252">
        <f t="shared" si="14"/>
        <v>0</v>
      </c>
      <c r="J128" s="252">
        <f t="shared" si="15"/>
        <v>0</v>
      </c>
      <c r="K128" s="252">
        <f t="shared" si="16"/>
        <v>0</v>
      </c>
      <c r="N128" s="249">
        <f t="shared" si="17"/>
        <v>2</v>
      </c>
    </row>
    <row r="129" spans="1:14">
      <c r="A129" s="249">
        <f t="shared" si="18"/>
        <v>1</v>
      </c>
      <c r="B129" s="250" t="str">
        <f t="shared" si="23"/>
        <v/>
      </c>
      <c r="C129" s="251">
        <f t="shared" si="19"/>
        <v>0</v>
      </c>
      <c r="D129" s="252">
        <f t="shared" si="20"/>
        <v>0</v>
      </c>
      <c r="E129" s="252">
        <f t="shared" si="12"/>
        <v>0</v>
      </c>
      <c r="F129" s="252">
        <f t="shared" si="13"/>
        <v>0</v>
      </c>
      <c r="G129" s="252">
        <f t="shared" si="21"/>
        <v>0</v>
      </c>
      <c r="H129" s="252">
        <f t="shared" si="22"/>
        <v>0</v>
      </c>
      <c r="I129" s="252">
        <f t="shared" si="14"/>
        <v>0</v>
      </c>
      <c r="J129" s="252">
        <f t="shared" si="15"/>
        <v>0</v>
      </c>
      <c r="K129" s="252">
        <f t="shared" si="16"/>
        <v>0</v>
      </c>
      <c r="N129" s="249">
        <f t="shared" si="17"/>
        <v>2</v>
      </c>
    </row>
    <row r="130" spans="1:14">
      <c r="A130" s="249">
        <f t="shared" si="18"/>
        <v>1</v>
      </c>
      <c r="B130" s="250" t="str">
        <f t="shared" si="23"/>
        <v/>
      </c>
      <c r="C130" s="251">
        <f t="shared" si="19"/>
        <v>0</v>
      </c>
      <c r="D130" s="252">
        <f t="shared" si="20"/>
        <v>0</v>
      </c>
      <c r="E130" s="252">
        <f t="shared" si="12"/>
        <v>0</v>
      </c>
      <c r="F130" s="252">
        <f t="shared" si="13"/>
        <v>0</v>
      </c>
      <c r="G130" s="252">
        <f t="shared" si="21"/>
        <v>0</v>
      </c>
      <c r="H130" s="252">
        <f t="shared" si="22"/>
        <v>0</v>
      </c>
      <c r="I130" s="252">
        <f t="shared" si="14"/>
        <v>0</v>
      </c>
      <c r="J130" s="252">
        <f t="shared" si="15"/>
        <v>0</v>
      </c>
      <c r="K130" s="252">
        <f t="shared" si="16"/>
        <v>0</v>
      </c>
      <c r="N130" s="249">
        <f t="shared" si="17"/>
        <v>2</v>
      </c>
    </row>
    <row r="131" spans="1:14">
      <c r="A131" s="249">
        <f t="shared" si="18"/>
        <v>1</v>
      </c>
      <c r="B131" s="250" t="str">
        <f t="shared" si="23"/>
        <v/>
      </c>
      <c r="C131" s="251">
        <f t="shared" si="19"/>
        <v>0</v>
      </c>
      <c r="D131" s="252">
        <f t="shared" si="20"/>
        <v>0</v>
      </c>
      <c r="E131" s="252">
        <f t="shared" si="12"/>
        <v>0</v>
      </c>
      <c r="F131" s="252">
        <f t="shared" si="13"/>
        <v>0</v>
      </c>
      <c r="G131" s="252">
        <f t="shared" si="21"/>
        <v>0</v>
      </c>
      <c r="H131" s="252">
        <f t="shared" si="22"/>
        <v>0</v>
      </c>
      <c r="I131" s="252">
        <f t="shared" si="14"/>
        <v>0</v>
      </c>
      <c r="J131" s="252">
        <f t="shared" si="15"/>
        <v>0</v>
      </c>
      <c r="K131" s="252">
        <f t="shared" si="16"/>
        <v>0</v>
      </c>
      <c r="N131" s="249">
        <f t="shared" si="17"/>
        <v>2</v>
      </c>
    </row>
    <row r="132" spans="1:14">
      <c r="A132" s="249">
        <f t="shared" si="18"/>
        <v>1</v>
      </c>
      <c r="B132" s="250" t="str">
        <f t="shared" si="23"/>
        <v/>
      </c>
      <c r="C132" s="251">
        <f t="shared" si="19"/>
        <v>0</v>
      </c>
      <c r="D132" s="252">
        <f t="shared" si="20"/>
        <v>0</v>
      </c>
      <c r="E132" s="252">
        <f t="shared" si="12"/>
        <v>0</v>
      </c>
      <c r="F132" s="252">
        <f t="shared" si="13"/>
        <v>0</v>
      </c>
      <c r="G132" s="252">
        <f t="shared" si="21"/>
        <v>0</v>
      </c>
      <c r="H132" s="252">
        <f t="shared" si="22"/>
        <v>0</v>
      </c>
      <c r="I132" s="252">
        <f t="shared" si="14"/>
        <v>0</v>
      </c>
      <c r="J132" s="252">
        <f t="shared" si="15"/>
        <v>0</v>
      </c>
      <c r="K132" s="252">
        <f t="shared" si="16"/>
        <v>0</v>
      </c>
      <c r="N132" s="249">
        <f t="shared" si="17"/>
        <v>2</v>
      </c>
    </row>
    <row r="133" spans="1:14">
      <c r="A133" s="249">
        <f t="shared" si="18"/>
        <v>1</v>
      </c>
      <c r="B133" s="250" t="str">
        <f t="shared" si="23"/>
        <v/>
      </c>
      <c r="C133" s="251">
        <f t="shared" si="19"/>
        <v>0</v>
      </c>
      <c r="D133" s="252">
        <f t="shared" si="20"/>
        <v>0</v>
      </c>
      <c r="E133" s="252">
        <f t="shared" si="12"/>
        <v>0</v>
      </c>
      <c r="F133" s="252">
        <f t="shared" si="13"/>
        <v>0</v>
      </c>
      <c r="G133" s="252">
        <f t="shared" si="21"/>
        <v>0</v>
      </c>
      <c r="H133" s="252">
        <f t="shared" si="22"/>
        <v>0</v>
      </c>
      <c r="I133" s="252">
        <f t="shared" si="14"/>
        <v>0</v>
      </c>
      <c r="J133" s="252">
        <f t="shared" si="15"/>
        <v>0</v>
      </c>
      <c r="K133" s="252">
        <f t="shared" si="16"/>
        <v>0</v>
      </c>
      <c r="N133" s="249">
        <f t="shared" si="17"/>
        <v>2</v>
      </c>
    </row>
    <row r="134" spans="1:14">
      <c r="A134" s="249">
        <f t="shared" si="18"/>
        <v>1</v>
      </c>
      <c r="B134" s="250" t="str">
        <f t="shared" si="23"/>
        <v/>
      </c>
      <c r="C134" s="251">
        <f t="shared" si="19"/>
        <v>0</v>
      </c>
      <c r="D134" s="252">
        <f t="shared" si="20"/>
        <v>0</v>
      </c>
      <c r="E134" s="252">
        <f t="shared" si="12"/>
        <v>0</v>
      </c>
      <c r="F134" s="252">
        <f t="shared" si="13"/>
        <v>0</v>
      </c>
      <c r="G134" s="252">
        <f t="shared" si="21"/>
        <v>0</v>
      </c>
      <c r="H134" s="252">
        <f t="shared" si="22"/>
        <v>0</v>
      </c>
      <c r="I134" s="252">
        <f t="shared" si="14"/>
        <v>0</v>
      </c>
      <c r="J134" s="252">
        <f t="shared" si="15"/>
        <v>0</v>
      </c>
      <c r="K134" s="252">
        <f t="shared" si="16"/>
        <v>0</v>
      </c>
      <c r="N134" s="249">
        <f t="shared" si="17"/>
        <v>2</v>
      </c>
    </row>
    <row r="135" spans="1:14">
      <c r="A135" s="249">
        <f t="shared" si="18"/>
        <v>1</v>
      </c>
      <c r="B135" s="250" t="str">
        <f t="shared" si="23"/>
        <v/>
      </c>
      <c r="C135" s="251">
        <f t="shared" si="19"/>
        <v>0</v>
      </c>
      <c r="D135" s="252">
        <f t="shared" si="20"/>
        <v>0</v>
      </c>
      <c r="E135" s="252">
        <f t="shared" si="12"/>
        <v>0</v>
      </c>
      <c r="F135" s="252">
        <f t="shared" si="13"/>
        <v>0</v>
      </c>
      <c r="G135" s="252">
        <f t="shared" si="21"/>
        <v>0</v>
      </c>
      <c r="H135" s="252">
        <f t="shared" si="22"/>
        <v>0</v>
      </c>
      <c r="I135" s="252">
        <f t="shared" si="14"/>
        <v>0</v>
      </c>
      <c r="J135" s="252">
        <f t="shared" si="15"/>
        <v>0</v>
      </c>
      <c r="K135" s="252">
        <f t="shared" si="16"/>
        <v>0</v>
      </c>
      <c r="N135" s="249">
        <f t="shared" si="17"/>
        <v>2</v>
      </c>
    </row>
    <row r="136" spans="1:14">
      <c r="A136" s="249">
        <f t="shared" si="18"/>
        <v>1</v>
      </c>
      <c r="B136" s="250" t="str">
        <f t="shared" si="23"/>
        <v/>
      </c>
      <c r="C136" s="251">
        <f t="shared" si="19"/>
        <v>0</v>
      </c>
      <c r="D136" s="252">
        <f t="shared" si="20"/>
        <v>0</v>
      </c>
      <c r="E136" s="252">
        <f t="shared" si="12"/>
        <v>0</v>
      </c>
      <c r="F136" s="252">
        <f t="shared" si="13"/>
        <v>0</v>
      </c>
      <c r="G136" s="252">
        <f t="shared" si="21"/>
        <v>0</v>
      </c>
      <c r="H136" s="252">
        <f t="shared" si="22"/>
        <v>0</v>
      </c>
      <c r="I136" s="252">
        <f t="shared" si="14"/>
        <v>0</v>
      </c>
      <c r="J136" s="252">
        <f t="shared" si="15"/>
        <v>0</v>
      </c>
      <c r="K136" s="252">
        <f t="shared" si="16"/>
        <v>0</v>
      </c>
      <c r="N136" s="249">
        <f t="shared" si="17"/>
        <v>2</v>
      </c>
    </row>
    <row r="137" spans="1:14">
      <c r="A137" s="249">
        <f t="shared" si="18"/>
        <v>1</v>
      </c>
      <c r="B137" s="250" t="str">
        <f t="shared" si="23"/>
        <v/>
      </c>
      <c r="C137" s="251">
        <f t="shared" si="19"/>
        <v>0</v>
      </c>
      <c r="D137" s="252">
        <f t="shared" si="20"/>
        <v>0</v>
      </c>
      <c r="E137" s="252">
        <f t="shared" si="12"/>
        <v>0</v>
      </c>
      <c r="F137" s="252">
        <f t="shared" si="13"/>
        <v>0</v>
      </c>
      <c r="G137" s="252">
        <f t="shared" si="21"/>
        <v>0</v>
      </c>
      <c r="H137" s="252">
        <f t="shared" si="22"/>
        <v>0</v>
      </c>
      <c r="I137" s="252">
        <f t="shared" si="14"/>
        <v>0</v>
      </c>
      <c r="J137" s="252">
        <f t="shared" si="15"/>
        <v>0</v>
      </c>
      <c r="K137" s="252">
        <f t="shared" si="16"/>
        <v>0</v>
      </c>
      <c r="N137" s="249">
        <f t="shared" si="17"/>
        <v>2</v>
      </c>
    </row>
    <row r="138" spans="1:14">
      <c r="A138" s="249">
        <f t="shared" si="18"/>
        <v>1</v>
      </c>
      <c r="B138" s="250" t="str">
        <f t="shared" si="23"/>
        <v/>
      </c>
      <c r="C138" s="251">
        <f t="shared" si="19"/>
        <v>0</v>
      </c>
      <c r="D138" s="252">
        <f t="shared" si="20"/>
        <v>0</v>
      </c>
      <c r="E138" s="252">
        <f t="shared" si="12"/>
        <v>0</v>
      </c>
      <c r="F138" s="252">
        <f t="shared" si="13"/>
        <v>0</v>
      </c>
      <c r="G138" s="252">
        <f t="shared" si="21"/>
        <v>0</v>
      </c>
      <c r="H138" s="252">
        <f t="shared" si="22"/>
        <v>0</v>
      </c>
      <c r="I138" s="252">
        <f t="shared" si="14"/>
        <v>0</v>
      </c>
      <c r="J138" s="252">
        <f t="shared" si="15"/>
        <v>0</v>
      </c>
      <c r="K138" s="252">
        <f t="shared" si="16"/>
        <v>0</v>
      </c>
      <c r="N138" s="249">
        <f t="shared" si="17"/>
        <v>2</v>
      </c>
    </row>
    <row r="139" spans="1:14">
      <c r="A139" s="249">
        <f t="shared" si="18"/>
        <v>1</v>
      </c>
      <c r="B139" s="250" t="str">
        <f t="shared" si="23"/>
        <v/>
      </c>
      <c r="C139" s="251">
        <f t="shared" si="19"/>
        <v>0</v>
      </c>
      <c r="D139" s="252">
        <f t="shared" si="20"/>
        <v>0</v>
      </c>
      <c r="E139" s="252">
        <f t="shared" si="12"/>
        <v>0</v>
      </c>
      <c r="F139" s="252">
        <f t="shared" si="13"/>
        <v>0</v>
      </c>
      <c r="G139" s="252">
        <f t="shared" si="21"/>
        <v>0</v>
      </c>
      <c r="H139" s="252">
        <f t="shared" si="22"/>
        <v>0</v>
      </c>
      <c r="I139" s="252">
        <f t="shared" si="14"/>
        <v>0</v>
      </c>
      <c r="J139" s="252">
        <f t="shared" si="15"/>
        <v>0</v>
      </c>
      <c r="K139" s="252">
        <f t="shared" si="16"/>
        <v>0</v>
      </c>
      <c r="N139" s="249">
        <f t="shared" si="17"/>
        <v>2</v>
      </c>
    </row>
    <row r="140" spans="1:14">
      <c r="A140" s="249">
        <f t="shared" si="18"/>
        <v>1</v>
      </c>
      <c r="B140" s="250" t="str">
        <f t="shared" si="23"/>
        <v/>
      </c>
      <c r="C140" s="251">
        <f t="shared" si="19"/>
        <v>0</v>
      </c>
      <c r="D140" s="252">
        <f t="shared" si="20"/>
        <v>0</v>
      </c>
      <c r="E140" s="252">
        <f t="shared" si="12"/>
        <v>0</v>
      </c>
      <c r="F140" s="252">
        <f t="shared" si="13"/>
        <v>0</v>
      </c>
      <c r="G140" s="252">
        <f t="shared" si="21"/>
        <v>0</v>
      </c>
      <c r="H140" s="252">
        <f t="shared" si="22"/>
        <v>0</v>
      </c>
      <c r="I140" s="252">
        <f t="shared" si="14"/>
        <v>0</v>
      </c>
      <c r="J140" s="252">
        <f t="shared" si="15"/>
        <v>0</v>
      </c>
      <c r="K140" s="252">
        <f t="shared" si="16"/>
        <v>0</v>
      </c>
      <c r="N140" s="249">
        <f t="shared" si="17"/>
        <v>2</v>
      </c>
    </row>
    <row r="141" spans="1:14">
      <c r="A141" s="249">
        <f t="shared" si="18"/>
        <v>1</v>
      </c>
      <c r="B141" s="250" t="str">
        <f t="shared" si="23"/>
        <v/>
      </c>
      <c r="C141" s="251">
        <f t="shared" si="19"/>
        <v>0</v>
      </c>
      <c r="D141" s="252">
        <f t="shared" si="20"/>
        <v>0</v>
      </c>
      <c r="E141" s="252">
        <f t="shared" si="12"/>
        <v>0</v>
      </c>
      <c r="F141" s="252">
        <f t="shared" si="13"/>
        <v>0</v>
      </c>
      <c r="G141" s="252">
        <f t="shared" si="21"/>
        <v>0</v>
      </c>
      <c r="H141" s="252">
        <f t="shared" si="22"/>
        <v>0</v>
      </c>
      <c r="I141" s="252">
        <f t="shared" si="14"/>
        <v>0</v>
      </c>
      <c r="J141" s="252">
        <f t="shared" si="15"/>
        <v>0</v>
      </c>
      <c r="K141" s="252">
        <f t="shared" si="16"/>
        <v>0</v>
      </c>
      <c r="N141" s="249">
        <f t="shared" si="17"/>
        <v>2</v>
      </c>
    </row>
    <row r="142" spans="1:14">
      <c r="A142" s="249">
        <f t="shared" si="18"/>
        <v>1</v>
      </c>
      <c r="B142" s="250" t="str">
        <f t="shared" si="23"/>
        <v/>
      </c>
      <c r="C142" s="251">
        <f t="shared" si="19"/>
        <v>0</v>
      </c>
      <c r="D142" s="252">
        <f t="shared" si="20"/>
        <v>0</v>
      </c>
      <c r="E142" s="252">
        <f t="shared" si="12"/>
        <v>0</v>
      </c>
      <c r="F142" s="252">
        <f t="shared" si="13"/>
        <v>0</v>
      </c>
      <c r="G142" s="252">
        <f t="shared" si="21"/>
        <v>0</v>
      </c>
      <c r="H142" s="252">
        <f t="shared" si="22"/>
        <v>0</v>
      </c>
      <c r="I142" s="252">
        <f t="shared" si="14"/>
        <v>0</v>
      </c>
      <c r="J142" s="252">
        <f t="shared" si="15"/>
        <v>0</v>
      </c>
      <c r="K142" s="252">
        <f t="shared" si="16"/>
        <v>0</v>
      </c>
      <c r="N142" s="249">
        <f t="shared" si="17"/>
        <v>2</v>
      </c>
    </row>
    <row r="143" spans="1:14">
      <c r="A143" s="249">
        <f t="shared" si="18"/>
        <v>1</v>
      </c>
      <c r="B143" s="250" t="str">
        <f t="shared" si="23"/>
        <v/>
      </c>
      <c r="C143" s="251">
        <f t="shared" si="19"/>
        <v>0</v>
      </c>
      <c r="D143" s="252">
        <f t="shared" si="20"/>
        <v>0</v>
      </c>
      <c r="E143" s="252">
        <f t="shared" si="12"/>
        <v>0</v>
      </c>
      <c r="F143" s="252">
        <f t="shared" si="13"/>
        <v>0</v>
      </c>
      <c r="G143" s="252">
        <f t="shared" si="21"/>
        <v>0</v>
      </c>
      <c r="H143" s="252">
        <f t="shared" si="22"/>
        <v>0</v>
      </c>
      <c r="I143" s="252">
        <f t="shared" si="14"/>
        <v>0</v>
      </c>
      <c r="J143" s="252">
        <f t="shared" si="15"/>
        <v>0</v>
      </c>
      <c r="K143" s="252">
        <f t="shared" si="16"/>
        <v>0</v>
      </c>
      <c r="N143" s="249">
        <f t="shared" si="17"/>
        <v>2</v>
      </c>
    </row>
    <row r="144" spans="1:14">
      <c r="A144" s="249">
        <f t="shared" si="18"/>
        <v>1</v>
      </c>
      <c r="B144" s="250" t="str">
        <f t="shared" si="23"/>
        <v/>
      </c>
      <c r="C144" s="251">
        <f t="shared" si="19"/>
        <v>0</v>
      </c>
      <c r="D144" s="252">
        <f t="shared" si="20"/>
        <v>0</v>
      </c>
      <c r="E144" s="252">
        <f t="shared" si="12"/>
        <v>0</v>
      </c>
      <c r="F144" s="252">
        <f t="shared" si="13"/>
        <v>0</v>
      </c>
      <c r="G144" s="252">
        <f t="shared" si="21"/>
        <v>0</v>
      </c>
      <c r="H144" s="252">
        <f t="shared" si="22"/>
        <v>0</v>
      </c>
      <c r="I144" s="252">
        <f t="shared" si="14"/>
        <v>0</v>
      </c>
      <c r="J144" s="252">
        <f t="shared" si="15"/>
        <v>0</v>
      </c>
      <c r="K144" s="252">
        <f t="shared" si="16"/>
        <v>0</v>
      </c>
      <c r="N144" s="249">
        <f t="shared" si="17"/>
        <v>2</v>
      </c>
    </row>
    <row r="145" spans="1:14">
      <c r="A145" s="249">
        <f t="shared" si="18"/>
        <v>1</v>
      </c>
      <c r="B145" s="250" t="str">
        <f t="shared" si="23"/>
        <v/>
      </c>
      <c r="C145" s="251">
        <f t="shared" si="19"/>
        <v>0</v>
      </c>
      <c r="D145" s="252">
        <f t="shared" si="20"/>
        <v>0</v>
      </c>
      <c r="E145" s="252">
        <f t="shared" si="12"/>
        <v>0</v>
      </c>
      <c r="F145" s="252">
        <f t="shared" si="13"/>
        <v>0</v>
      </c>
      <c r="G145" s="252">
        <f t="shared" si="21"/>
        <v>0</v>
      </c>
      <c r="H145" s="252">
        <f t="shared" si="22"/>
        <v>0</v>
      </c>
      <c r="I145" s="252">
        <f t="shared" si="14"/>
        <v>0</v>
      </c>
      <c r="J145" s="252">
        <f t="shared" si="15"/>
        <v>0</v>
      </c>
      <c r="K145" s="252">
        <f t="shared" si="16"/>
        <v>0</v>
      </c>
      <c r="N145" s="249">
        <f t="shared" si="17"/>
        <v>2</v>
      </c>
    </row>
    <row r="146" spans="1:14">
      <c r="A146" s="249">
        <f t="shared" si="18"/>
        <v>1</v>
      </c>
      <c r="B146" s="250" t="str">
        <f t="shared" si="23"/>
        <v/>
      </c>
      <c r="C146" s="251">
        <f t="shared" si="19"/>
        <v>0</v>
      </c>
      <c r="D146" s="252">
        <f t="shared" si="20"/>
        <v>0</v>
      </c>
      <c r="E146" s="252">
        <f t="shared" si="12"/>
        <v>0</v>
      </c>
      <c r="F146" s="252">
        <f t="shared" si="13"/>
        <v>0</v>
      </c>
      <c r="G146" s="252">
        <f t="shared" si="21"/>
        <v>0</v>
      </c>
      <c r="H146" s="252">
        <f t="shared" si="22"/>
        <v>0</v>
      </c>
      <c r="I146" s="252">
        <f t="shared" si="14"/>
        <v>0</v>
      </c>
      <c r="J146" s="252">
        <f t="shared" si="15"/>
        <v>0</v>
      </c>
      <c r="K146" s="252">
        <f t="shared" si="16"/>
        <v>0</v>
      </c>
      <c r="N146" s="249">
        <f t="shared" si="17"/>
        <v>2</v>
      </c>
    </row>
    <row r="147" spans="1:14">
      <c r="A147" s="249">
        <f t="shared" si="18"/>
        <v>1</v>
      </c>
      <c r="B147" s="250" t="str">
        <f t="shared" si="23"/>
        <v/>
      </c>
      <c r="C147" s="251">
        <f t="shared" si="19"/>
        <v>0</v>
      </c>
      <c r="D147" s="252">
        <f t="shared" si="20"/>
        <v>0</v>
      </c>
      <c r="E147" s="252">
        <f t="shared" si="12"/>
        <v>0</v>
      </c>
      <c r="F147" s="252">
        <f t="shared" si="13"/>
        <v>0</v>
      </c>
      <c r="G147" s="252">
        <f t="shared" si="21"/>
        <v>0</v>
      </c>
      <c r="H147" s="252">
        <f t="shared" si="22"/>
        <v>0</v>
      </c>
      <c r="I147" s="252">
        <f t="shared" si="14"/>
        <v>0</v>
      </c>
      <c r="J147" s="252">
        <f t="shared" si="15"/>
        <v>0</v>
      </c>
      <c r="K147" s="252">
        <f t="shared" si="16"/>
        <v>0</v>
      </c>
      <c r="N147" s="249">
        <f t="shared" si="17"/>
        <v>2</v>
      </c>
    </row>
    <row r="148" spans="1:14">
      <c r="A148" s="249">
        <f t="shared" si="18"/>
        <v>1</v>
      </c>
      <c r="B148" s="250" t="str">
        <f t="shared" si="23"/>
        <v/>
      </c>
      <c r="C148" s="251">
        <f t="shared" si="19"/>
        <v>0</v>
      </c>
      <c r="D148" s="252">
        <f t="shared" si="20"/>
        <v>0</v>
      </c>
      <c r="E148" s="252">
        <f t="shared" si="12"/>
        <v>0</v>
      </c>
      <c r="F148" s="252">
        <f t="shared" si="13"/>
        <v>0</v>
      </c>
      <c r="G148" s="252">
        <f t="shared" si="21"/>
        <v>0</v>
      </c>
      <c r="H148" s="252">
        <f t="shared" si="22"/>
        <v>0</v>
      </c>
      <c r="I148" s="252">
        <f t="shared" si="14"/>
        <v>0</v>
      </c>
      <c r="J148" s="252">
        <f t="shared" si="15"/>
        <v>0</v>
      </c>
      <c r="K148" s="252">
        <f t="shared" si="16"/>
        <v>0</v>
      </c>
      <c r="N148" s="249">
        <f t="shared" si="17"/>
        <v>2</v>
      </c>
    </row>
    <row r="149" spans="1:14">
      <c r="A149" s="249">
        <f t="shared" si="18"/>
        <v>1</v>
      </c>
      <c r="B149" s="250" t="str">
        <f t="shared" si="23"/>
        <v/>
      </c>
      <c r="C149" s="251">
        <f t="shared" si="19"/>
        <v>0</v>
      </c>
      <c r="D149" s="252">
        <f t="shared" si="20"/>
        <v>0</v>
      </c>
      <c r="E149" s="252">
        <f t="shared" si="12"/>
        <v>0</v>
      </c>
      <c r="F149" s="252">
        <f t="shared" si="13"/>
        <v>0</v>
      </c>
      <c r="G149" s="252">
        <f t="shared" si="21"/>
        <v>0</v>
      </c>
      <c r="H149" s="252">
        <f t="shared" si="22"/>
        <v>0</v>
      </c>
      <c r="I149" s="252">
        <f t="shared" si="14"/>
        <v>0</v>
      </c>
      <c r="J149" s="252">
        <f t="shared" si="15"/>
        <v>0</v>
      </c>
      <c r="K149" s="252">
        <f t="shared" si="16"/>
        <v>0</v>
      </c>
      <c r="N149" s="249">
        <f t="shared" si="17"/>
        <v>2</v>
      </c>
    </row>
    <row r="150" spans="1:14">
      <c r="A150" s="249">
        <f t="shared" si="18"/>
        <v>1</v>
      </c>
      <c r="B150" s="250" t="str">
        <f t="shared" si="23"/>
        <v/>
      </c>
      <c r="C150" s="251">
        <f t="shared" si="19"/>
        <v>0</v>
      </c>
      <c r="D150" s="252">
        <f t="shared" si="20"/>
        <v>0</v>
      </c>
      <c r="E150" s="252">
        <f t="shared" si="12"/>
        <v>0</v>
      </c>
      <c r="F150" s="252">
        <f t="shared" si="13"/>
        <v>0</v>
      </c>
      <c r="G150" s="252">
        <f t="shared" si="21"/>
        <v>0</v>
      </c>
      <c r="H150" s="252">
        <f t="shared" si="22"/>
        <v>0</v>
      </c>
      <c r="I150" s="252">
        <f t="shared" si="14"/>
        <v>0</v>
      </c>
      <c r="J150" s="252">
        <f t="shared" si="15"/>
        <v>0</v>
      </c>
      <c r="K150" s="252">
        <f t="shared" si="16"/>
        <v>0</v>
      </c>
      <c r="N150" s="249">
        <f t="shared" si="17"/>
        <v>2</v>
      </c>
    </row>
    <row r="151" spans="1:14">
      <c r="A151" s="249">
        <f t="shared" si="18"/>
        <v>1</v>
      </c>
      <c r="B151" s="250" t="str">
        <f t="shared" si="23"/>
        <v/>
      </c>
      <c r="C151" s="251">
        <f t="shared" si="19"/>
        <v>0</v>
      </c>
      <c r="D151" s="252">
        <f t="shared" si="20"/>
        <v>0</v>
      </c>
      <c r="E151" s="252">
        <f t="shared" si="12"/>
        <v>0</v>
      </c>
      <c r="F151" s="252">
        <f t="shared" si="13"/>
        <v>0</v>
      </c>
      <c r="G151" s="252">
        <f t="shared" si="21"/>
        <v>0</v>
      </c>
      <c r="H151" s="252">
        <f t="shared" si="22"/>
        <v>0</v>
      </c>
      <c r="I151" s="252">
        <f t="shared" si="14"/>
        <v>0</v>
      </c>
      <c r="J151" s="252">
        <f t="shared" si="15"/>
        <v>0</v>
      </c>
      <c r="K151" s="252">
        <f t="shared" si="16"/>
        <v>0</v>
      </c>
      <c r="N151" s="249">
        <f t="shared" si="17"/>
        <v>2</v>
      </c>
    </row>
    <row r="152" spans="1:14">
      <c r="A152" s="249">
        <f t="shared" si="18"/>
        <v>1</v>
      </c>
      <c r="B152" s="250" t="str">
        <f t="shared" si="23"/>
        <v/>
      </c>
      <c r="C152" s="251">
        <f t="shared" si="19"/>
        <v>0</v>
      </c>
      <c r="D152" s="252">
        <f t="shared" si="20"/>
        <v>0</v>
      </c>
      <c r="E152" s="252">
        <f t="shared" si="12"/>
        <v>0</v>
      </c>
      <c r="F152" s="252">
        <f t="shared" si="13"/>
        <v>0</v>
      </c>
      <c r="G152" s="252">
        <f t="shared" si="21"/>
        <v>0</v>
      </c>
      <c r="H152" s="252">
        <f t="shared" si="22"/>
        <v>0</v>
      </c>
      <c r="I152" s="252">
        <f t="shared" si="14"/>
        <v>0</v>
      </c>
      <c r="J152" s="252">
        <f t="shared" si="15"/>
        <v>0</v>
      </c>
      <c r="K152" s="252">
        <f t="shared" si="16"/>
        <v>0</v>
      </c>
      <c r="N152" s="249">
        <f t="shared" si="17"/>
        <v>2</v>
      </c>
    </row>
    <row r="153" spans="1:14">
      <c r="A153" s="249">
        <f t="shared" si="18"/>
        <v>1</v>
      </c>
      <c r="B153" s="250" t="str">
        <f t="shared" si="23"/>
        <v/>
      </c>
      <c r="C153" s="251">
        <f t="shared" si="19"/>
        <v>0</v>
      </c>
      <c r="D153" s="252">
        <f t="shared" si="20"/>
        <v>0</v>
      </c>
      <c r="E153" s="252">
        <f t="shared" si="12"/>
        <v>0</v>
      </c>
      <c r="F153" s="252">
        <f t="shared" si="13"/>
        <v>0</v>
      </c>
      <c r="G153" s="252">
        <f t="shared" si="21"/>
        <v>0</v>
      </c>
      <c r="H153" s="252">
        <f t="shared" si="22"/>
        <v>0</v>
      </c>
      <c r="I153" s="252">
        <f t="shared" si="14"/>
        <v>0</v>
      </c>
      <c r="J153" s="252">
        <f t="shared" si="15"/>
        <v>0</v>
      </c>
      <c r="K153" s="252">
        <f t="shared" si="16"/>
        <v>0</v>
      </c>
      <c r="N153" s="249">
        <f t="shared" si="17"/>
        <v>2</v>
      </c>
    </row>
    <row r="154" spans="1:14">
      <c r="A154" s="249">
        <f t="shared" si="18"/>
        <v>1</v>
      </c>
      <c r="B154" s="250" t="str">
        <f t="shared" si="23"/>
        <v/>
      </c>
      <c r="C154" s="251">
        <f t="shared" si="19"/>
        <v>0</v>
      </c>
      <c r="D154" s="252">
        <f t="shared" si="20"/>
        <v>0</v>
      </c>
      <c r="E154" s="252">
        <f t="shared" si="12"/>
        <v>0</v>
      </c>
      <c r="F154" s="252">
        <f t="shared" si="13"/>
        <v>0</v>
      </c>
      <c r="G154" s="252">
        <f t="shared" si="21"/>
        <v>0</v>
      </c>
      <c r="H154" s="252">
        <f t="shared" si="22"/>
        <v>0</v>
      </c>
      <c r="I154" s="252">
        <f t="shared" si="14"/>
        <v>0</v>
      </c>
      <c r="J154" s="252">
        <f t="shared" si="15"/>
        <v>0</v>
      </c>
      <c r="K154" s="252">
        <f t="shared" si="16"/>
        <v>0</v>
      </c>
      <c r="N154" s="249">
        <f t="shared" si="17"/>
        <v>2</v>
      </c>
    </row>
    <row r="155" spans="1:14">
      <c r="A155" s="249">
        <f t="shared" si="18"/>
        <v>1</v>
      </c>
      <c r="B155" s="250" t="str">
        <f t="shared" si="23"/>
        <v/>
      </c>
      <c r="C155" s="251">
        <f t="shared" si="19"/>
        <v>0</v>
      </c>
      <c r="D155" s="252">
        <f t="shared" si="20"/>
        <v>0</v>
      </c>
      <c r="E155" s="252">
        <f t="shared" si="12"/>
        <v>0</v>
      </c>
      <c r="F155" s="252">
        <f t="shared" si="13"/>
        <v>0</v>
      </c>
      <c r="G155" s="252">
        <f t="shared" si="21"/>
        <v>0</v>
      </c>
      <c r="H155" s="252">
        <f t="shared" si="22"/>
        <v>0</v>
      </c>
      <c r="I155" s="252">
        <f t="shared" si="14"/>
        <v>0</v>
      </c>
      <c r="J155" s="252">
        <f t="shared" si="15"/>
        <v>0</v>
      </c>
      <c r="K155" s="252">
        <f t="shared" si="16"/>
        <v>0</v>
      </c>
      <c r="N155" s="249">
        <f t="shared" si="17"/>
        <v>2</v>
      </c>
    </row>
    <row r="156" spans="1:14">
      <c r="A156" s="249">
        <f t="shared" si="18"/>
        <v>1</v>
      </c>
      <c r="B156" s="250" t="str">
        <f t="shared" si="23"/>
        <v/>
      </c>
      <c r="C156" s="251">
        <f t="shared" si="19"/>
        <v>0</v>
      </c>
      <c r="D156" s="252">
        <f t="shared" si="20"/>
        <v>0</v>
      </c>
      <c r="E156" s="252">
        <f t="shared" si="12"/>
        <v>0</v>
      </c>
      <c r="F156" s="252">
        <f t="shared" si="13"/>
        <v>0</v>
      </c>
      <c r="G156" s="252">
        <f t="shared" si="21"/>
        <v>0</v>
      </c>
      <c r="H156" s="252">
        <f t="shared" si="22"/>
        <v>0</v>
      </c>
      <c r="I156" s="252">
        <f t="shared" si="14"/>
        <v>0</v>
      </c>
      <c r="J156" s="252">
        <f t="shared" si="15"/>
        <v>0</v>
      </c>
      <c r="K156" s="252">
        <f t="shared" si="16"/>
        <v>0</v>
      </c>
      <c r="N156" s="249">
        <f t="shared" si="17"/>
        <v>2</v>
      </c>
    </row>
    <row r="157" spans="1:14">
      <c r="A157" s="249">
        <f t="shared" si="18"/>
        <v>1</v>
      </c>
      <c r="B157" s="250" t="str">
        <f t="shared" si="23"/>
        <v/>
      </c>
      <c r="C157" s="251">
        <f t="shared" si="19"/>
        <v>0</v>
      </c>
      <c r="D157" s="252">
        <f t="shared" si="20"/>
        <v>0</v>
      </c>
      <c r="E157" s="252">
        <f t="shared" si="12"/>
        <v>0</v>
      </c>
      <c r="F157" s="252">
        <f t="shared" si="13"/>
        <v>0</v>
      </c>
      <c r="G157" s="252">
        <f t="shared" si="21"/>
        <v>0</v>
      </c>
      <c r="H157" s="252">
        <f t="shared" si="22"/>
        <v>0</v>
      </c>
      <c r="I157" s="252">
        <f t="shared" si="14"/>
        <v>0</v>
      </c>
      <c r="J157" s="252">
        <f t="shared" si="15"/>
        <v>0</v>
      </c>
      <c r="K157" s="252">
        <f t="shared" si="16"/>
        <v>0</v>
      </c>
      <c r="N157" s="249">
        <f t="shared" si="17"/>
        <v>2</v>
      </c>
    </row>
    <row r="158" spans="1:14">
      <c r="A158" s="249">
        <f t="shared" si="18"/>
        <v>1</v>
      </c>
      <c r="B158" s="250" t="str">
        <f t="shared" si="23"/>
        <v/>
      </c>
      <c r="C158" s="251">
        <f t="shared" si="19"/>
        <v>0</v>
      </c>
      <c r="D158" s="252">
        <f t="shared" si="20"/>
        <v>0</v>
      </c>
      <c r="E158" s="252">
        <f t="shared" si="12"/>
        <v>0</v>
      </c>
      <c r="F158" s="252">
        <f t="shared" si="13"/>
        <v>0</v>
      </c>
      <c r="G158" s="252">
        <f t="shared" si="21"/>
        <v>0</v>
      </c>
      <c r="H158" s="252">
        <f t="shared" si="22"/>
        <v>0</v>
      </c>
      <c r="I158" s="252">
        <f t="shared" si="14"/>
        <v>0</v>
      </c>
      <c r="J158" s="252">
        <f t="shared" si="15"/>
        <v>0</v>
      </c>
      <c r="K158" s="252">
        <f t="shared" si="16"/>
        <v>0</v>
      </c>
      <c r="N158" s="249">
        <f t="shared" si="17"/>
        <v>2</v>
      </c>
    </row>
    <row r="159" spans="1:14">
      <c r="A159" s="249">
        <f t="shared" si="18"/>
        <v>1</v>
      </c>
      <c r="B159" s="250" t="str">
        <f t="shared" si="23"/>
        <v/>
      </c>
      <c r="C159" s="251">
        <f t="shared" si="19"/>
        <v>0</v>
      </c>
      <c r="D159" s="252">
        <f t="shared" si="20"/>
        <v>0</v>
      </c>
      <c r="E159" s="252">
        <f t="shared" si="12"/>
        <v>0</v>
      </c>
      <c r="F159" s="252">
        <f t="shared" si="13"/>
        <v>0</v>
      </c>
      <c r="G159" s="252">
        <f t="shared" si="21"/>
        <v>0</v>
      </c>
      <c r="H159" s="252">
        <f t="shared" si="22"/>
        <v>0</v>
      </c>
      <c r="I159" s="252">
        <f t="shared" si="14"/>
        <v>0</v>
      </c>
      <c r="J159" s="252">
        <f t="shared" si="15"/>
        <v>0</v>
      </c>
      <c r="K159" s="252">
        <f t="shared" si="16"/>
        <v>0</v>
      </c>
      <c r="N159" s="249">
        <f t="shared" si="17"/>
        <v>2</v>
      </c>
    </row>
    <row r="160" spans="1:14">
      <c r="A160" s="249">
        <f t="shared" si="18"/>
        <v>1</v>
      </c>
      <c r="B160" s="250" t="str">
        <f t="shared" si="23"/>
        <v/>
      </c>
      <c r="C160" s="251">
        <f t="shared" si="19"/>
        <v>0</v>
      </c>
      <c r="D160" s="252">
        <f t="shared" si="20"/>
        <v>0</v>
      </c>
      <c r="E160" s="252">
        <f t="shared" si="12"/>
        <v>0</v>
      </c>
      <c r="F160" s="252">
        <f t="shared" si="13"/>
        <v>0</v>
      </c>
      <c r="G160" s="252">
        <f t="shared" si="21"/>
        <v>0</v>
      </c>
      <c r="H160" s="252">
        <f t="shared" si="22"/>
        <v>0</v>
      </c>
      <c r="I160" s="252">
        <f t="shared" si="14"/>
        <v>0</v>
      </c>
      <c r="J160" s="252">
        <f t="shared" si="15"/>
        <v>0</v>
      </c>
      <c r="K160" s="252">
        <f t="shared" si="16"/>
        <v>0</v>
      </c>
      <c r="N160" s="249">
        <f t="shared" si="17"/>
        <v>2</v>
      </c>
    </row>
    <row r="161" spans="1:14">
      <c r="A161" s="249">
        <f t="shared" si="18"/>
        <v>1</v>
      </c>
      <c r="B161" s="250" t="str">
        <f t="shared" si="23"/>
        <v/>
      </c>
      <c r="C161" s="251">
        <f t="shared" si="19"/>
        <v>0</v>
      </c>
      <c r="D161" s="252">
        <f t="shared" si="20"/>
        <v>0</v>
      </c>
      <c r="E161" s="252">
        <f t="shared" si="12"/>
        <v>0</v>
      </c>
      <c r="F161" s="252">
        <f t="shared" si="13"/>
        <v>0</v>
      </c>
      <c r="G161" s="252">
        <f t="shared" si="21"/>
        <v>0</v>
      </c>
      <c r="H161" s="252">
        <f t="shared" si="22"/>
        <v>0</v>
      </c>
      <c r="I161" s="252">
        <f t="shared" si="14"/>
        <v>0</v>
      </c>
      <c r="J161" s="252">
        <f t="shared" si="15"/>
        <v>0</v>
      </c>
      <c r="K161" s="252">
        <f t="shared" si="16"/>
        <v>0</v>
      </c>
      <c r="N161" s="249">
        <f t="shared" si="17"/>
        <v>2</v>
      </c>
    </row>
    <row r="162" spans="1:14">
      <c r="A162" s="249">
        <f t="shared" si="18"/>
        <v>1</v>
      </c>
      <c r="B162" s="250" t="str">
        <f t="shared" si="23"/>
        <v/>
      </c>
      <c r="C162" s="251">
        <f t="shared" si="19"/>
        <v>0</v>
      </c>
      <c r="D162" s="252">
        <f t="shared" si="20"/>
        <v>0</v>
      </c>
      <c r="E162" s="252">
        <f t="shared" si="12"/>
        <v>0</v>
      </c>
      <c r="F162" s="252">
        <f t="shared" si="13"/>
        <v>0</v>
      </c>
      <c r="G162" s="252">
        <f t="shared" si="21"/>
        <v>0</v>
      </c>
      <c r="H162" s="252">
        <f t="shared" si="22"/>
        <v>0</v>
      </c>
      <c r="I162" s="252">
        <f t="shared" si="14"/>
        <v>0</v>
      </c>
      <c r="J162" s="252">
        <f t="shared" si="15"/>
        <v>0</v>
      </c>
      <c r="K162" s="252">
        <f t="shared" si="16"/>
        <v>0</v>
      </c>
      <c r="N162" s="249">
        <f t="shared" si="17"/>
        <v>2</v>
      </c>
    </row>
    <row r="163" spans="1:14">
      <c r="A163" s="249">
        <f t="shared" si="18"/>
        <v>1</v>
      </c>
      <c r="B163" s="250" t="str">
        <f t="shared" si="23"/>
        <v/>
      </c>
      <c r="C163" s="251">
        <f t="shared" si="19"/>
        <v>0</v>
      </c>
      <c r="D163" s="252">
        <f t="shared" si="20"/>
        <v>0</v>
      </c>
      <c r="E163" s="252">
        <f t="shared" si="12"/>
        <v>0</v>
      </c>
      <c r="F163" s="252">
        <f t="shared" si="13"/>
        <v>0</v>
      </c>
      <c r="G163" s="252">
        <f t="shared" si="21"/>
        <v>0</v>
      </c>
      <c r="H163" s="252">
        <f t="shared" si="22"/>
        <v>0</v>
      </c>
      <c r="I163" s="252">
        <f t="shared" si="14"/>
        <v>0</v>
      </c>
      <c r="J163" s="252">
        <f t="shared" si="15"/>
        <v>0</v>
      </c>
      <c r="K163" s="252">
        <f t="shared" si="16"/>
        <v>0</v>
      </c>
      <c r="N163" s="249">
        <f t="shared" si="17"/>
        <v>2</v>
      </c>
    </row>
    <row r="164" spans="1:14">
      <c r="A164" s="249">
        <f t="shared" si="18"/>
        <v>1</v>
      </c>
      <c r="B164" s="250" t="str">
        <f t="shared" si="23"/>
        <v/>
      </c>
      <c r="C164" s="251">
        <f t="shared" si="19"/>
        <v>0</v>
      </c>
      <c r="D164" s="252">
        <f t="shared" si="20"/>
        <v>0</v>
      </c>
      <c r="E164" s="252">
        <f t="shared" si="12"/>
        <v>0</v>
      </c>
      <c r="F164" s="252">
        <f t="shared" si="13"/>
        <v>0</v>
      </c>
      <c r="G164" s="252">
        <f t="shared" si="21"/>
        <v>0</v>
      </c>
      <c r="H164" s="252">
        <f t="shared" si="22"/>
        <v>0</v>
      </c>
      <c r="I164" s="252">
        <f t="shared" si="14"/>
        <v>0</v>
      </c>
      <c r="J164" s="252">
        <f t="shared" si="15"/>
        <v>0</v>
      </c>
      <c r="K164" s="252">
        <f t="shared" si="16"/>
        <v>0</v>
      </c>
      <c r="N164" s="249">
        <f t="shared" si="17"/>
        <v>2</v>
      </c>
    </row>
    <row r="165" spans="1:14">
      <c r="A165" s="249">
        <f t="shared" si="18"/>
        <v>1</v>
      </c>
      <c r="B165" s="250" t="str">
        <f t="shared" si="23"/>
        <v/>
      </c>
      <c r="C165" s="251">
        <f t="shared" si="19"/>
        <v>0</v>
      </c>
      <c r="D165" s="252">
        <f t="shared" si="20"/>
        <v>0</v>
      </c>
      <c r="E165" s="252">
        <f t="shared" si="12"/>
        <v>0</v>
      </c>
      <c r="F165" s="252">
        <f t="shared" si="13"/>
        <v>0</v>
      </c>
      <c r="G165" s="252">
        <f t="shared" si="21"/>
        <v>0</v>
      </c>
      <c r="H165" s="252">
        <f t="shared" si="22"/>
        <v>0</v>
      </c>
      <c r="I165" s="252">
        <f t="shared" si="14"/>
        <v>0</v>
      </c>
      <c r="J165" s="252">
        <f t="shared" si="15"/>
        <v>0</v>
      </c>
      <c r="K165" s="252">
        <f t="shared" si="16"/>
        <v>0</v>
      </c>
      <c r="N165" s="249">
        <f t="shared" si="17"/>
        <v>2</v>
      </c>
    </row>
    <row r="166" spans="1:14">
      <c r="A166" s="249">
        <f t="shared" si="18"/>
        <v>1</v>
      </c>
      <c r="B166" s="250" t="str">
        <f t="shared" si="23"/>
        <v/>
      </c>
      <c r="C166" s="251">
        <f t="shared" si="19"/>
        <v>0</v>
      </c>
      <c r="D166" s="252">
        <f t="shared" si="20"/>
        <v>0</v>
      </c>
      <c r="E166" s="252">
        <f t="shared" si="12"/>
        <v>0</v>
      </c>
      <c r="F166" s="252">
        <f t="shared" si="13"/>
        <v>0</v>
      </c>
      <c r="G166" s="252">
        <f t="shared" si="21"/>
        <v>0</v>
      </c>
      <c r="H166" s="252">
        <f t="shared" si="22"/>
        <v>0</v>
      </c>
      <c r="I166" s="252">
        <f t="shared" si="14"/>
        <v>0</v>
      </c>
      <c r="J166" s="252">
        <f t="shared" si="15"/>
        <v>0</v>
      </c>
      <c r="K166" s="252">
        <f t="shared" si="16"/>
        <v>0</v>
      </c>
      <c r="N166" s="249">
        <f t="shared" si="17"/>
        <v>2</v>
      </c>
    </row>
    <row r="167" spans="1:14">
      <c r="A167" s="249">
        <f t="shared" si="18"/>
        <v>1</v>
      </c>
      <c r="B167" s="250" t="str">
        <f t="shared" si="23"/>
        <v/>
      </c>
      <c r="C167" s="251">
        <f t="shared" si="19"/>
        <v>0</v>
      </c>
      <c r="D167" s="252">
        <f t="shared" si="20"/>
        <v>0</v>
      </c>
      <c r="E167" s="252">
        <f t="shared" ref="E167:E230" si="24">IF($C167,D167-F167-J167,0)</f>
        <v>0</v>
      </c>
      <c r="F167" s="252">
        <f t="shared" ref="F167:F230" si="25">IF(Pay_at=1,IF(C167,ROUND((+C167)*IF(Loan_Schedule_Type=1,$E$20,IF(Loan_Schedule_Type=2,$E$26,$I$31))/SUMIF($M$15:$M$19,$I$16,$N$15:$N$19),2),0),IF(C167,ROUND((+C167-D167)*IF(Loan_Schedule_Type=1,$E$20,IF(Loan_Schedule_Type=2,$E$26,$I$31))/SUMIF($M$15:$M$19,$I$16,$N$15:$N$19),2),0))</f>
        <v>0</v>
      </c>
      <c r="G167" s="252">
        <f t="shared" si="21"/>
        <v>0</v>
      </c>
      <c r="H167" s="252">
        <f t="shared" si="22"/>
        <v>0</v>
      </c>
      <c r="I167" s="252">
        <f t="shared" ref="I167:I230" si="26">IF(C167,C167-E167-J167,0)</f>
        <v>0</v>
      </c>
      <c r="J167" s="252">
        <f t="shared" ref="J167:J230" si="27">IF(D167=0,0,ROUND((D167-F167)/IF(Loan_Schedule_Type=1,$E$19,IF(Loan_Schedule_Type=2,$E$25,$E$31))*IF(Loan_Schedule_Type=1,$J$21,IF(Loan_Schedule_Type=2,$J$27,$J$33)),2))</f>
        <v>0</v>
      </c>
      <c r="K167" s="252">
        <f t="shared" ref="K167:K230" si="28">ROUND(J167/11,2)</f>
        <v>0</v>
      </c>
      <c r="N167" s="249">
        <f t="shared" ref="N167:N230" si="29">IF(B167&lt;$I$10,0,IF(B167&gt;($I$10+364),2,1))</f>
        <v>2</v>
      </c>
    </row>
    <row r="168" spans="1:14">
      <c r="A168" s="249">
        <f t="shared" ref="A168:A231" si="30">IF(C168&gt;0,+A167+1,A167)</f>
        <v>1</v>
      </c>
      <c r="B168" s="250" t="str">
        <f t="shared" si="23"/>
        <v/>
      </c>
      <c r="C168" s="251">
        <f t="shared" ref="C168:C231" si="31">IF(+I167&gt;0.01,I167,0)</f>
        <v>0</v>
      </c>
      <c r="D168" s="252">
        <f t="shared" ref="D168:D231" si="32">IF(C168&gt;0.01,IF(Pay_at=1,IF(A168=IF(Loan_Schedule_Type=1,$I$19,IF(Loan_Schedule_Type=2,$E$27,$E$33)),C168+F168,D167),IF(A168=IF(Loan_Schedule_Type=1,$I$19,IF(Loan_Schedule_Type=2,$E$27,$E$33)),C168,D167)),0)</f>
        <v>0</v>
      </c>
      <c r="E168" s="252">
        <f t="shared" si="24"/>
        <v>0</v>
      </c>
      <c r="F168" s="252">
        <f t="shared" si="25"/>
        <v>0</v>
      </c>
      <c r="G168" s="252">
        <f t="shared" ref="G168:G231" si="33">IF(C168,G167+E168+J168,0)</f>
        <v>0</v>
      </c>
      <c r="H168" s="252">
        <f t="shared" ref="H168:H231" si="34">IF(C168,H167+F168,0)</f>
        <v>0</v>
      </c>
      <c r="I168" s="252">
        <f t="shared" si="26"/>
        <v>0</v>
      </c>
      <c r="J168" s="252">
        <f t="shared" si="27"/>
        <v>0</v>
      </c>
      <c r="K168" s="252">
        <f t="shared" si="28"/>
        <v>0</v>
      </c>
      <c r="N168" s="249">
        <f t="shared" si="29"/>
        <v>2</v>
      </c>
    </row>
    <row r="169" spans="1:14">
      <c r="A169" s="249">
        <f t="shared" si="30"/>
        <v>1</v>
      </c>
      <c r="B169" s="250" t="str">
        <f t="shared" ref="B169:B232" si="35">IF(A169&gt;$E$33,"",IF($I$16="weekly",B168+7,IF($I$16="fortnightly",B168+14,IF($I$16="monthly",DATE(YEAR(B168),MONTH(B168)+1,DAY(1)),IF($I$16="6 monthly",DATE(YEAR(B168),MONTH(B168)+6,DAY(1)),IF($I$16="Annually",DATE(YEAR(B168)+1,MONTH(B168),DAY(B168))))))))</f>
        <v/>
      </c>
      <c r="C169" s="251">
        <f t="shared" si="31"/>
        <v>0</v>
      </c>
      <c r="D169" s="252">
        <f t="shared" si="32"/>
        <v>0</v>
      </c>
      <c r="E169" s="252">
        <f t="shared" si="24"/>
        <v>0</v>
      </c>
      <c r="F169" s="252">
        <f t="shared" si="25"/>
        <v>0</v>
      </c>
      <c r="G169" s="252">
        <f t="shared" si="33"/>
        <v>0</v>
      </c>
      <c r="H169" s="252">
        <f t="shared" si="34"/>
        <v>0</v>
      </c>
      <c r="I169" s="252">
        <f t="shared" si="26"/>
        <v>0</v>
      </c>
      <c r="J169" s="252">
        <f t="shared" si="27"/>
        <v>0</v>
      </c>
      <c r="K169" s="252">
        <f t="shared" si="28"/>
        <v>0</v>
      </c>
      <c r="N169" s="249">
        <f t="shared" si="29"/>
        <v>2</v>
      </c>
    </row>
    <row r="170" spans="1:14">
      <c r="A170" s="249">
        <f t="shared" si="30"/>
        <v>1</v>
      </c>
      <c r="B170" s="250" t="str">
        <f t="shared" si="35"/>
        <v/>
      </c>
      <c r="C170" s="251">
        <f t="shared" si="31"/>
        <v>0</v>
      </c>
      <c r="D170" s="252">
        <f t="shared" si="32"/>
        <v>0</v>
      </c>
      <c r="E170" s="252">
        <f t="shared" si="24"/>
        <v>0</v>
      </c>
      <c r="F170" s="252">
        <f t="shared" si="25"/>
        <v>0</v>
      </c>
      <c r="G170" s="252">
        <f t="shared" si="33"/>
        <v>0</v>
      </c>
      <c r="H170" s="252">
        <f t="shared" si="34"/>
        <v>0</v>
      </c>
      <c r="I170" s="252">
        <f t="shared" si="26"/>
        <v>0</v>
      </c>
      <c r="J170" s="252">
        <f t="shared" si="27"/>
        <v>0</v>
      </c>
      <c r="K170" s="252">
        <f t="shared" si="28"/>
        <v>0</v>
      </c>
      <c r="N170" s="249">
        <f t="shared" si="29"/>
        <v>2</v>
      </c>
    </row>
    <row r="171" spans="1:14">
      <c r="A171" s="249">
        <f t="shared" si="30"/>
        <v>1</v>
      </c>
      <c r="B171" s="250" t="str">
        <f t="shared" si="35"/>
        <v/>
      </c>
      <c r="C171" s="251">
        <f t="shared" si="31"/>
        <v>0</v>
      </c>
      <c r="D171" s="252">
        <f t="shared" si="32"/>
        <v>0</v>
      </c>
      <c r="E171" s="252">
        <f t="shared" si="24"/>
        <v>0</v>
      </c>
      <c r="F171" s="252">
        <f t="shared" si="25"/>
        <v>0</v>
      </c>
      <c r="G171" s="252">
        <f t="shared" si="33"/>
        <v>0</v>
      </c>
      <c r="H171" s="252">
        <f t="shared" si="34"/>
        <v>0</v>
      </c>
      <c r="I171" s="252">
        <f t="shared" si="26"/>
        <v>0</v>
      </c>
      <c r="J171" s="252">
        <f t="shared" si="27"/>
        <v>0</v>
      </c>
      <c r="K171" s="252">
        <f t="shared" si="28"/>
        <v>0</v>
      </c>
      <c r="N171" s="249">
        <f t="shared" si="29"/>
        <v>2</v>
      </c>
    </row>
    <row r="172" spans="1:14">
      <c r="A172" s="249">
        <f t="shared" si="30"/>
        <v>1</v>
      </c>
      <c r="B172" s="250" t="str">
        <f t="shared" si="35"/>
        <v/>
      </c>
      <c r="C172" s="251">
        <f t="shared" si="31"/>
        <v>0</v>
      </c>
      <c r="D172" s="252">
        <f t="shared" si="32"/>
        <v>0</v>
      </c>
      <c r="E172" s="252">
        <f t="shared" si="24"/>
        <v>0</v>
      </c>
      <c r="F172" s="252">
        <f t="shared" si="25"/>
        <v>0</v>
      </c>
      <c r="G172" s="252">
        <f t="shared" si="33"/>
        <v>0</v>
      </c>
      <c r="H172" s="252">
        <f t="shared" si="34"/>
        <v>0</v>
      </c>
      <c r="I172" s="252">
        <f t="shared" si="26"/>
        <v>0</v>
      </c>
      <c r="J172" s="252">
        <f t="shared" si="27"/>
        <v>0</v>
      </c>
      <c r="K172" s="252">
        <f t="shared" si="28"/>
        <v>0</v>
      </c>
      <c r="N172" s="249">
        <f t="shared" si="29"/>
        <v>2</v>
      </c>
    </row>
    <row r="173" spans="1:14">
      <c r="A173" s="249">
        <f t="shared" si="30"/>
        <v>1</v>
      </c>
      <c r="B173" s="250" t="str">
        <f t="shared" si="35"/>
        <v/>
      </c>
      <c r="C173" s="251">
        <f t="shared" si="31"/>
        <v>0</v>
      </c>
      <c r="D173" s="252">
        <f t="shared" si="32"/>
        <v>0</v>
      </c>
      <c r="E173" s="252">
        <f t="shared" si="24"/>
        <v>0</v>
      </c>
      <c r="F173" s="252">
        <f t="shared" si="25"/>
        <v>0</v>
      </c>
      <c r="G173" s="252">
        <f t="shared" si="33"/>
        <v>0</v>
      </c>
      <c r="H173" s="252">
        <f t="shared" si="34"/>
        <v>0</v>
      </c>
      <c r="I173" s="252">
        <f t="shared" si="26"/>
        <v>0</v>
      </c>
      <c r="J173" s="252">
        <f t="shared" si="27"/>
        <v>0</v>
      </c>
      <c r="K173" s="252">
        <f t="shared" si="28"/>
        <v>0</v>
      </c>
      <c r="N173" s="249">
        <f t="shared" si="29"/>
        <v>2</v>
      </c>
    </row>
    <row r="174" spans="1:14">
      <c r="A174" s="249">
        <f t="shared" si="30"/>
        <v>1</v>
      </c>
      <c r="B174" s="250" t="str">
        <f t="shared" si="35"/>
        <v/>
      </c>
      <c r="C174" s="251">
        <f t="shared" si="31"/>
        <v>0</v>
      </c>
      <c r="D174" s="252">
        <f t="shared" si="32"/>
        <v>0</v>
      </c>
      <c r="E174" s="252">
        <f t="shared" si="24"/>
        <v>0</v>
      </c>
      <c r="F174" s="252">
        <f t="shared" si="25"/>
        <v>0</v>
      </c>
      <c r="G174" s="252">
        <f t="shared" si="33"/>
        <v>0</v>
      </c>
      <c r="H174" s="252">
        <f t="shared" si="34"/>
        <v>0</v>
      </c>
      <c r="I174" s="252">
        <f t="shared" si="26"/>
        <v>0</v>
      </c>
      <c r="J174" s="252">
        <f t="shared" si="27"/>
        <v>0</v>
      </c>
      <c r="K174" s="252">
        <f t="shared" si="28"/>
        <v>0</v>
      </c>
      <c r="N174" s="249">
        <f t="shared" si="29"/>
        <v>2</v>
      </c>
    </row>
    <row r="175" spans="1:14">
      <c r="A175" s="249">
        <f t="shared" si="30"/>
        <v>1</v>
      </c>
      <c r="B175" s="250" t="str">
        <f t="shared" si="35"/>
        <v/>
      </c>
      <c r="C175" s="251">
        <f t="shared" si="31"/>
        <v>0</v>
      </c>
      <c r="D175" s="252">
        <f t="shared" si="32"/>
        <v>0</v>
      </c>
      <c r="E175" s="252">
        <f t="shared" si="24"/>
        <v>0</v>
      </c>
      <c r="F175" s="252">
        <f t="shared" si="25"/>
        <v>0</v>
      </c>
      <c r="G175" s="252">
        <f t="shared" si="33"/>
        <v>0</v>
      </c>
      <c r="H175" s="252">
        <f t="shared" si="34"/>
        <v>0</v>
      </c>
      <c r="I175" s="252">
        <f t="shared" si="26"/>
        <v>0</v>
      </c>
      <c r="J175" s="252">
        <f t="shared" si="27"/>
        <v>0</v>
      </c>
      <c r="K175" s="252">
        <f t="shared" si="28"/>
        <v>0</v>
      </c>
      <c r="N175" s="249">
        <f t="shared" si="29"/>
        <v>2</v>
      </c>
    </row>
    <row r="176" spans="1:14">
      <c r="A176" s="249">
        <f t="shared" si="30"/>
        <v>1</v>
      </c>
      <c r="B176" s="250" t="str">
        <f t="shared" si="35"/>
        <v/>
      </c>
      <c r="C176" s="251">
        <f t="shared" si="31"/>
        <v>0</v>
      </c>
      <c r="D176" s="252">
        <f t="shared" si="32"/>
        <v>0</v>
      </c>
      <c r="E176" s="252">
        <f t="shared" si="24"/>
        <v>0</v>
      </c>
      <c r="F176" s="252">
        <f t="shared" si="25"/>
        <v>0</v>
      </c>
      <c r="G176" s="252">
        <f t="shared" si="33"/>
        <v>0</v>
      </c>
      <c r="H176" s="252">
        <f t="shared" si="34"/>
        <v>0</v>
      </c>
      <c r="I176" s="252">
        <f t="shared" si="26"/>
        <v>0</v>
      </c>
      <c r="J176" s="252">
        <f t="shared" si="27"/>
        <v>0</v>
      </c>
      <c r="K176" s="252">
        <f t="shared" si="28"/>
        <v>0</v>
      </c>
      <c r="N176" s="249">
        <f t="shared" si="29"/>
        <v>2</v>
      </c>
    </row>
    <row r="177" spans="1:14">
      <c r="A177" s="249">
        <f t="shared" si="30"/>
        <v>1</v>
      </c>
      <c r="B177" s="250" t="str">
        <f t="shared" si="35"/>
        <v/>
      </c>
      <c r="C177" s="251">
        <f t="shared" si="31"/>
        <v>0</v>
      </c>
      <c r="D177" s="252">
        <f t="shared" si="32"/>
        <v>0</v>
      </c>
      <c r="E177" s="252">
        <f t="shared" si="24"/>
        <v>0</v>
      </c>
      <c r="F177" s="252">
        <f t="shared" si="25"/>
        <v>0</v>
      </c>
      <c r="G177" s="252">
        <f t="shared" si="33"/>
        <v>0</v>
      </c>
      <c r="H177" s="252">
        <f t="shared" si="34"/>
        <v>0</v>
      </c>
      <c r="I177" s="252">
        <f t="shared" si="26"/>
        <v>0</v>
      </c>
      <c r="J177" s="252">
        <f t="shared" si="27"/>
        <v>0</v>
      </c>
      <c r="K177" s="252">
        <f t="shared" si="28"/>
        <v>0</v>
      </c>
      <c r="N177" s="249">
        <f t="shared" si="29"/>
        <v>2</v>
      </c>
    </row>
    <row r="178" spans="1:14">
      <c r="A178" s="249">
        <f t="shared" si="30"/>
        <v>1</v>
      </c>
      <c r="B178" s="250" t="str">
        <f t="shared" si="35"/>
        <v/>
      </c>
      <c r="C178" s="251">
        <f t="shared" si="31"/>
        <v>0</v>
      </c>
      <c r="D178" s="252">
        <f t="shared" si="32"/>
        <v>0</v>
      </c>
      <c r="E178" s="252">
        <f t="shared" si="24"/>
        <v>0</v>
      </c>
      <c r="F178" s="252">
        <f t="shared" si="25"/>
        <v>0</v>
      </c>
      <c r="G178" s="252">
        <f t="shared" si="33"/>
        <v>0</v>
      </c>
      <c r="H178" s="252">
        <f t="shared" si="34"/>
        <v>0</v>
      </c>
      <c r="I178" s="252">
        <f t="shared" si="26"/>
        <v>0</v>
      </c>
      <c r="J178" s="252">
        <f t="shared" si="27"/>
        <v>0</v>
      </c>
      <c r="K178" s="252">
        <f t="shared" si="28"/>
        <v>0</v>
      </c>
      <c r="N178" s="249">
        <f t="shared" si="29"/>
        <v>2</v>
      </c>
    </row>
    <row r="179" spans="1:14">
      <c r="A179" s="249">
        <f t="shared" si="30"/>
        <v>1</v>
      </c>
      <c r="B179" s="250" t="str">
        <f t="shared" si="35"/>
        <v/>
      </c>
      <c r="C179" s="251">
        <f t="shared" si="31"/>
        <v>0</v>
      </c>
      <c r="D179" s="252">
        <f t="shared" si="32"/>
        <v>0</v>
      </c>
      <c r="E179" s="252">
        <f t="shared" si="24"/>
        <v>0</v>
      </c>
      <c r="F179" s="252">
        <f t="shared" si="25"/>
        <v>0</v>
      </c>
      <c r="G179" s="252">
        <f t="shared" si="33"/>
        <v>0</v>
      </c>
      <c r="H179" s="252">
        <f t="shared" si="34"/>
        <v>0</v>
      </c>
      <c r="I179" s="252">
        <f t="shared" si="26"/>
        <v>0</v>
      </c>
      <c r="J179" s="252">
        <f t="shared" si="27"/>
        <v>0</v>
      </c>
      <c r="K179" s="252">
        <f t="shared" si="28"/>
        <v>0</v>
      </c>
      <c r="N179" s="249">
        <f t="shared" si="29"/>
        <v>2</v>
      </c>
    </row>
    <row r="180" spans="1:14">
      <c r="A180" s="249">
        <f t="shared" si="30"/>
        <v>1</v>
      </c>
      <c r="B180" s="250" t="str">
        <f t="shared" si="35"/>
        <v/>
      </c>
      <c r="C180" s="251">
        <f t="shared" si="31"/>
        <v>0</v>
      </c>
      <c r="D180" s="252">
        <f t="shared" si="32"/>
        <v>0</v>
      </c>
      <c r="E180" s="252">
        <f t="shared" si="24"/>
        <v>0</v>
      </c>
      <c r="F180" s="252">
        <f t="shared" si="25"/>
        <v>0</v>
      </c>
      <c r="G180" s="252">
        <f t="shared" si="33"/>
        <v>0</v>
      </c>
      <c r="H180" s="252">
        <f t="shared" si="34"/>
        <v>0</v>
      </c>
      <c r="I180" s="252">
        <f t="shared" si="26"/>
        <v>0</v>
      </c>
      <c r="J180" s="252">
        <f t="shared" si="27"/>
        <v>0</v>
      </c>
      <c r="K180" s="252">
        <f t="shared" si="28"/>
        <v>0</v>
      </c>
      <c r="N180" s="249">
        <f t="shared" si="29"/>
        <v>2</v>
      </c>
    </row>
    <row r="181" spans="1:14">
      <c r="A181" s="249">
        <f t="shared" si="30"/>
        <v>1</v>
      </c>
      <c r="B181" s="250" t="str">
        <f t="shared" si="35"/>
        <v/>
      </c>
      <c r="C181" s="251">
        <f t="shared" si="31"/>
        <v>0</v>
      </c>
      <c r="D181" s="252">
        <f t="shared" si="32"/>
        <v>0</v>
      </c>
      <c r="E181" s="252">
        <f t="shared" si="24"/>
        <v>0</v>
      </c>
      <c r="F181" s="252">
        <f t="shared" si="25"/>
        <v>0</v>
      </c>
      <c r="G181" s="252">
        <f t="shared" si="33"/>
        <v>0</v>
      </c>
      <c r="H181" s="252">
        <f t="shared" si="34"/>
        <v>0</v>
      </c>
      <c r="I181" s="252">
        <f t="shared" si="26"/>
        <v>0</v>
      </c>
      <c r="J181" s="252">
        <f t="shared" si="27"/>
        <v>0</v>
      </c>
      <c r="K181" s="252">
        <f t="shared" si="28"/>
        <v>0</v>
      </c>
      <c r="N181" s="249">
        <f t="shared" si="29"/>
        <v>2</v>
      </c>
    </row>
    <row r="182" spans="1:14">
      <c r="A182" s="249">
        <f t="shared" si="30"/>
        <v>1</v>
      </c>
      <c r="B182" s="250" t="str">
        <f t="shared" si="35"/>
        <v/>
      </c>
      <c r="C182" s="251">
        <f t="shared" si="31"/>
        <v>0</v>
      </c>
      <c r="D182" s="252">
        <f t="shared" si="32"/>
        <v>0</v>
      </c>
      <c r="E182" s="252">
        <f t="shared" si="24"/>
        <v>0</v>
      </c>
      <c r="F182" s="252">
        <f t="shared" si="25"/>
        <v>0</v>
      </c>
      <c r="G182" s="252">
        <f t="shared" si="33"/>
        <v>0</v>
      </c>
      <c r="H182" s="252">
        <f t="shared" si="34"/>
        <v>0</v>
      </c>
      <c r="I182" s="252">
        <f t="shared" si="26"/>
        <v>0</v>
      </c>
      <c r="J182" s="252">
        <f t="shared" si="27"/>
        <v>0</v>
      </c>
      <c r="K182" s="252">
        <f t="shared" si="28"/>
        <v>0</v>
      </c>
      <c r="N182" s="249">
        <f t="shared" si="29"/>
        <v>2</v>
      </c>
    </row>
    <row r="183" spans="1:14">
      <c r="A183" s="249">
        <f t="shared" si="30"/>
        <v>1</v>
      </c>
      <c r="B183" s="250" t="str">
        <f t="shared" si="35"/>
        <v/>
      </c>
      <c r="C183" s="251">
        <f t="shared" si="31"/>
        <v>0</v>
      </c>
      <c r="D183" s="252">
        <f t="shared" si="32"/>
        <v>0</v>
      </c>
      <c r="E183" s="252">
        <f t="shared" si="24"/>
        <v>0</v>
      </c>
      <c r="F183" s="252">
        <f t="shared" si="25"/>
        <v>0</v>
      </c>
      <c r="G183" s="252">
        <f t="shared" si="33"/>
        <v>0</v>
      </c>
      <c r="H183" s="252">
        <f t="shared" si="34"/>
        <v>0</v>
      </c>
      <c r="I183" s="252">
        <f t="shared" si="26"/>
        <v>0</v>
      </c>
      <c r="J183" s="252">
        <f t="shared" si="27"/>
        <v>0</v>
      </c>
      <c r="K183" s="252">
        <f t="shared" si="28"/>
        <v>0</v>
      </c>
      <c r="N183" s="249">
        <f t="shared" si="29"/>
        <v>2</v>
      </c>
    </row>
    <row r="184" spans="1:14">
      <c r="A184" s="249">
        <f t="shared" si="30"/>
        <v>1</v>
      </c>
      <c r="B184" s="250" t="str">
        <f t="shared" si="35"/>
        <v/>
      </c>
      <c r="C184" s="251">
        <f t="shared" si="31"/>
        <v>0</v>
      </c>
      <c r="D184" s="252">
        <f t="shared" si="32"/>
        <v>0</v>
      </c>
      <c r="E184" s="252">
        <f t="shared" si="24"/>
        <v>0</v>
      </c>
      <c r="F184" s="252">
        <f t="shared" si="25"/>
        <v>0</v>
      </c>
      <c r="G184" s="252">
        <f t="shared" si="33"/>
        <v>0</v>
      </c>
      <c r="H184" s="252">
        <f t="shared" si="34"/>
        <v>0</v>
      </c>
      <c r="I184" s="252">
        <f t="shared" si="26"/>
        <v>0</v>
      </c>
      <c r="J184" s="252">
        <f t="shared" si="27"/>
        <v>0</v>
      </c>
      <c r="K184" s="252">
        <f t="shared" si="28"/>
        <v>0</v>
      </c>
      <c r="N184" s="249">
        <f t="shared" si="29"/>
        <v>2</v>
      </c>
    </row>
    <row r="185" spans="1:14">
      <c r="A185" s="249">
        <f t="shared" si="30"/>
        <v>1</v>
      </c>
      <c r="B185" s="250" t="str">
        <f t="shared" si="35"/>
        <v/>
      </c>
      <c r="C185" s="251">
        <f t="shared" si="31"/>
        <v>0</v>
      </c>
      <c r="D185" s="252">
        <f t="shared" si="32"/>
        <v>0</v>
      </c>
      <c r="E185" s="252">
        <f t="shared" si="24"/>
        <v>0</v>
      </c>
      <c r="F185" s="252">
        <f t="shared" si="25"/>
        <v>0</v>
      </c>
      <c r="G185" s="252">
        <f t="shared" si="33"/>
        <v>0</v>
      </c>
      <c r="H185" s="252">
        <f t="shared" si="34"/>
        <v>0</v>
      </c>
      <c r="I185" s="252">
        <f t="shared" si="26"/>
        <v>0</v>
      </c>
      <c r="J185" s="252">
        <f t="shared" si="27"/>
        <v>0</v>
      </c>
      <c r="K185" s="252">
        <f t="shared" si="28"/>
        <v>0</v>
      </c>
      <c r="N185" s="249">
        <f t="shared" si="29"/>
        <v>2</v>
      </c>
    </row>
    <row r="186" spans="1:14">
      <c r="A186" s="249">
        <f t="shared" si="30"/>
        <v>1</v>
      </c>
      <c r="B186" s="250" t="str">
        <f t="shared" si="35"/>
        <v/>
      </c>
      <c r="C186" s="251">
        <f t="shared" si="31"/>
        <v>0</v>
      </c>
      <c r="D186" s="252">
        <f t="shared" si="32"/>
        <v>0</v>
      </c>
      <c r="E186" s="252">
        <f t="shared" si="24"/>
        <v>0</v>
      </c>
      <c r="F186" s="252">
        <f t="shared" si="25"/>
        <v>0</v>
      </c>
      <c r="G186" s="252">
        <f t="shared" si="33"/>
        <v>0</v>
      </c>
      <c r="H186" s="252">
        <f t="shared" si="34"/>
        <v>0</v>
      </c>
      <c r="I186" s="252">
        <f t="shared" si="26"/>
        <v>0</v>
      </c>
      <c r="J186" s="252">
        <f t="shared" si="27"/>
        <v>0</v>
      </c>
      <c r="K186" s="252">
        <f t="shared" si="28"/>
        <v>0</v>
      </c>
      <c r="N186" s="249">
        <f t="shared" si="29"/>
        <v>2</v>
      </c>
    </row>
    <row r="187" spans="1:14">
      <c r="A187" s="249">
        <f t="shared" si="30"/>
        <v>1</v>
      </c>
      <c r="B187" s="250" t="str">
        <f t="shared" si="35"/>
        <v/>
      </c>
      <c r="C187" s="251">
        <f t="shared" si="31"/>
        <v>0</v>
      </c>
      <c r="D187" s="252">
        <f t="shared" si="32"/>
        <v>0</v>
      </c>
      <c r="E187" s="252">
        <f t="shared" si="24"/>
        <v>0</v>
      </c>
      <c r="F187" s="252">
        <f t="shared" si="25"/>
        <v>0</v>
      </c>
      <c r="G187" s="252">
        <f t="shared" si="33"/>
        <v>0</v>
      </c>
      <c r="H187" s="252">
        <f t="shared" si="34"/>
        <v>0</v>
      </c>
      <c r="I187" s="252">
        <f t="shared" si="26"/>
        <v>0</v>
      </c>
      <c r="J187" s="252">
        <f t="shared" si="27"/>
        <v>0</v>
      </c>
      <c r="K187" s="252">
        <f t="shared" si="28"/>
        <v>0</v>
      </c>
      <c r="N187" s="249">
        <f t="shared" si="29"/>
        <v>2</v>
      </c>
    </row>
    <row r="188" spans="1:14">
      <c r="A188" s="249">
        <f t="shared" si="30"/>
        <v>1</v>
      </c>
      <c r="B188" s="250" t="str">
        <f t="shared" si="35"/>
        <v/>
      </c>
      <c r="C188" s="251">
        <f t="shared" si="31"/>
        <v>0</v>
      </c>
      <c r="D188" s="252">
        <f t="shared" si="32"/>
        <v>0</v>
      </c>
      <c r="E188" s="252">
        <f t="shared" si="24"/>
        <v>0</v>
      </c>
      <c r="F188" s="252">
        <f t="shared" si="25"/>
        <v>0</v>
      </c>
      <c r="G188" s="252">
        <f t="shared" si="33"/>
        <v>0</v>
      </c>
      <c r="H188" s="252">
        <f t="shared" si="34"/>
        <v>0</v>
      </c>
      <c r="I188" s="252">
        <f t="shared" si="26"/>
        <v>0</v>
      </c>
      <c r="J188" s="252">
        <f t="shared" si="27"/>
        <v>0</v>
      </c>
      <c r="K188" s="252">
        <f t="shared" si="28"/>
        <v>0</v>
      </c>
      <c r="N188" s="249">
        <f t="shared" si="29"/>
        <v>2</v>
      </c>
    </row>
    <row r="189" spans="1:14">
      <c r="A189" s="249">
        <f t="shared" si="30"/>
        <v>1</v>
      </c>
      <c r="B189" s="250" t="str">
        <f t="shared" si="35"/>
        <v/>
      </c>
      <c r="C189" s="251">
        <f t="shared" si="31"/>
        <v>0</v>
      </c>
      <c r="D189" s="252">
        <f t="shared" si="32"/>
        <v>0</v>
      </c>
      <c r="E189" s="252">
        <f t="shared" si="24"/>
        <v>0</v>
      </c>
      <c r="F189" s="252">
        <f t="shared" si="25"/>
        <v>0</v>
      </c>
      <c r="G189" s="252">
        <f t="shared" si="33"/>
        <v>0</v>
      </c>
      <c r="H189" s="252">
        <f t="shared" si="34"/>
        <v>0</v>
      </c>
      <c r="I189" s="252">
        <f t="shared" si="26"/>
        <v>0</v>
      </c>
      <c r="J189" s="252">
        <f t="shared" si="27"/>
        <v>0</v>
      </c>
      <c r="K189" s="252">
        <f t="shared" si="28"/>
        <v>0</v>
      </c>
      <c r="N189" s="249">
        <f t="shared" si="29"/>
        <v>2</v>
      </c>
    </row>
    <row r="190" spans="1:14">
      <c r="A190" s="249">
        <f t="shared" si="30"/>
        <v>1</v>
      </c>
      <c r="B190" s="250" t="str">
        <f t="shared" si="35"/>
        <v/>
      </c>
      <c r="C190" s="251">
        <f t="shared" si="31"/>
        <v>0</v>
      </c>
      <c r="D190" s="252">
        <f t="shared" si="32"/>
        <v>0</v>
      </c>
      <c r="E190" s="252">
        <f t="shared" si="24"/>
        <v>0</v>
      </c>
      <c r="F190" s="252">
        <f t="shared" si="25"/>
        <v>0</v>
      </c>
      <c r="G190" s="252">
        <f t="shared" si="33"/>
        <v>0</v>
      </c>
      <c r="H190" s="252">
        <f t="shared" si="34"/>
        <v>0</v>
      </c>
      <c r="I190" s="252">
        <f t="shared" si="26"/>
        <v>0</v>
      </c>
      <c r="J190" s="252">
        <f t="shared" si="27"/>
        <v>0</v>
      </c>
      <c r="K190" s="252">
        <f t="shared" si="28"/>
        <v>0</v>
      </c>
      <c r="N190" s="249">
        <f t="shared" si="29"/>
        <v>2</v>
      </c>
    </row>
    <row r="191" spans="1:14">
      <c r="A191" s="249">
        <f t="shared" si="30"/>
        <v>1</v>
      </c>
      <c r="B191" s="250" t="str">
        <f t="shared" si="35"/>
        <v/>
      </c>
      <c r="C191" s="251">
        <f t="shared" si="31"/>
        <v>0</v>
      </c>
      <c r="D191" s="252">
        <f t="shared" si="32"/>
        <v>0</v>
      </c>
      <c r="E191" s="252">
        <f t="shared" si="24"/>
        <v>0</v>
      </c>
      <c r="F191" s="252">
        <f t="shared" si="25"/>
        <v>0</v>
      </c>
      <c r="G191" s="252">
        <f t="shared" si="33"/>
        <v>0</v>
      </c>
      <c r="H191" s="252">
        <f t="shared" si="34"/>
        <v>0</v>
      </c>
      <c r="I191" s="252">
        <f t="shared" si="26"/>
        <v>0</v>
      </c>
      <c r="J191" s="252">
        <f t="shared" si="27"/>
        <v>0</v>
      </c>
      <c r="K191" s="252">
        <f t="shared" si="28"/>
        <v>0</v>
      </c>
      <c r="N191" s="249">
        <f t="shared" si="29"/>
        <v>2</v>
      </c>
    </row>
    <row r="192" spans="1:14">
      <c r="A192" s="249">
        <f t="shared" si="30"/>
        <v>1</v>
      </c>
      <c r="B192" s="250" t="str">
        <f t="shared" si="35"/>
        <v/>
      </c>
      <c r="C192" s="251">
        <f t="shared" si="31"/>
        <v>0</v>
      </c>
      <c r="D192" s="252">
        <f t="shared" si="32"/>
        <v>0</v>
      </c>
      <c r="E192" s="252">
        <f t="shared" si="24"/>
        <v>0</v>
      </c>
      <c r="F192" s="252">
        <f t="shared" si="25"/>
        <v>0</v>
      </c>
      <c r="G192" s="252">
        <f t="shared" si="33"/>
        <v>0</v>
      </c>
      <c r="H192" s="252">
        <f t="shared" si="34"/>
        <v>0</v>
      </c>
      <c r="I192" s="252">
        <f t="shared" si="26"/>
        <v>0</v>
      </c>
      <c r="J192" s="252">
        <f t="shared" si="27"/>
        <v>0</v>
      </c>
      <c r="K192" s="252">
        <f t="shared" si="28"/>
        <v>0</v>
      </c>
      <c r="N192" s="249">
        <f t="shared" si="29"/>
        <v>2</v>
      </c>
    </row>
    <row r="193" spans="1:14">
      <c r="A193" s="249">
        <f t="shared" si="30"/>
        <v>1</v>
      </c>
      <c r="B193" s="250" t="str">
        <f t="shared" si="35"/>
        <v/>
      </c>
      <c r="C193" s="251">
        <f t="shared" si="31"/>
        <v>0</v>
      </c>
      <c r="D193" s="252">
        <f t="shared" si="32"/>
        <v>0</v>
      </c>
      <c r="E193" s="252">
        <f t="shared" si="24"/>
        <v>0</v>
      </c>
      <c r="F193" s="252">
        <f t="shared" si="25"/>
        <v>0</v>
      </c>
      <c r="G193" s="252">
        <f t="shared" si="33"/>
        <v>0</v>
      </c>
      <c r="H193" s="252">
        <f t="shared" si="34"/>
        <v>0</v>
      </c>
      <c r="I193" s="252">
        <f t="shared" si="26"/>
        <v>0</v>
      </c>
      <c r="J193" s="252">
        <f t="shared" si="27"/>
        <v>0</v>
      </c>
      <c r="K193" s="252">
        <f t="shared" si="28"/>
        <v>0</v>
      </c>
      <c r="N193" s="249">
        <f t="shared" si="29"/>
        <v>2</v>
      </c>
    </row>
    <row r="194" spans="1:14">
      <c r="A194" s="249">
        <f t="shared" si="30"/>
        <v>1</v>
      </c>
      <c r="B194" s="250" t="str">
        <f t="shared" si="35"/>
        <v/>
      </c>
      <c r="C194" s="251">
        <f t="shared" si="31"/>
        <v>0</v>
      </c>
      <c r="D194" s="252">
        <f t="shared" si="32"/>
        <v>0</v>
      </c>
      <c r="E194" s="252">
        <f t="shared" si="24"/>
        <v>0</v>
      </c>
      <c r="F194" s="252">
        <f t="shared" si="25"/>
        <v>0</v>
      </c>
      <c r="G194" s="252">
        <f t="shared" si="33"/>
        <v>0</v>
      </c>
      <c r="H194" s="252">
        <f t="shared" si="34"/>
        <v>0</v>
      </c>
      <c r="I194" s="252">
        <f t="shared" si="26"/>
        <v>0</v>
      </c>
      <c r="J194" s="252">
        <f t="shared" si="27"/>
        <v>0</v>
      </c>
      <c r="K194" s="252">
        <f t="shared" si="28"/>
        <v>0</v>
      </c>
      <c r="N194" s="249">
        <f t="shared" si="29"/>
        <v>2</v>
      </c>
    </row>
    <row r="195" spans="1:14">
      <c r="A195" s="249">
        <f t="shared" si="30"/>
        <v>1</v>
      </c>
      <c r="B195" s="250" t="str">
        <f t="shared" si="35"/>
        <v/>
      </c>
      <c r="C195" s="251">
        <f t="shared" si="31"/>
        <v>0</v>
      </c>
      <c r="D195" s="252">
        <f t="shared" si="32"/>
        <v>0</v>
      </c>
      <c r="E195" s="252">
        <f t="shared" si="24"/>
        <v>0</v>
      </c>
      <c r="F195" s="252">
        <f t="shared" si="25"/>
        <v>0</v>
      </c>
      <c r="G195" s="252">
        <f t="shared" si="33"/>
        <v>0</v>
      </c>
      <c r="H195" s="252">
        <f t="shared" si="34"/>
        <v>0</v>
      </c>
      <c r="I195" s="252">
        <f t="shared" si="26"/>
        <v>0</v>
      </c>
      <c r="J195" s="252">
        <f t="shared" si="27"/>
        <v>0</v>
      </c>
      <c r="K195" s="252">
        <f t="shared" si="28"/>
        <v>0</v>
      </c>
      <c r="N195" s="249">
        <f t="shared" si="29"/>
        <v>2</v>
      </c>
    </row>
    <row r="196" spans="1:14">
      <c r="A196" s="249">
        <f t="shared" si="30"/>
        <v>1</v>
      </c>
      <c r="B196" s="250" t="str">
        <f t="shared" si="35"/>
        <v/>
      </c>
      <c r="C196" s="251">
        <f t="shared" si="31"/>
        <v>0</v>
      </c>
      <c r="D196" s="252">
        <f t="shared" si="32"/>
        <v>0</v>
      </c>
      <c r="E196" s="252">
        <f t="shared" si="24"/>
        <v>0</v>
      </c>
      <c r="F196" s="252">
        <f t="shared" si="25"/>
        <v>0</v>
      </c>
      <c r="G196" s="252">
        <f t="shared" si="33"/>
        <v>0</v>
      </c>
      <c r="H196" s="252">
        <f t="shared" si="34"/>
        <v>0</v>
      </c>
      <c r="I196" s="252">
        <f t="shared" si="26"/>
        <v>0</v>
      </c>
      <c r="J196" s="252">
        <f t="shared" si="27"/>
        <v>0</v>
      </c>
      <c r="K196" s="252">
        <f t="shared" si="28"/>
        <v>0</v>
      </c>
      <c r="N196" s="249">
        <f t="shared" si="29"/>
        <v>2</v>
      </c>
    </row>
    <row r="197" spans="1:14">
      <c r="A197" s="249">
        <f t="shared" si="30"/>
        <v>1</v>
      </c>
      <c r="B197" s="250" t="str">
        <f t="shared" si="35"/>
        <v/>
      </c>
      <c r="C197" s="251">
        <f t="shared" si="31"/>
        <v>0</v>
      </c>
      <c r="D197" s="252">
        <f t="shared" si="32"/>
        <v>0</v>
      </c>
      <c r="E197" s="252">
        <f t="shared" si="24"/>
        <v>0</v>
      </c>
      <c r="F197" s="252">
        <f t="shared" si="25"/>
        <v>0</v>
      </c>
      <c r="G197" s="252">
        <f t="shared" si="33"/>
        <v>0</v>
      </c>
      <c r="H197" s="252">
        <f t="shared" si="34"/>
        <v>0</v>
      </c>
      <c r="I197" s="252">
        <f t="shared" si="26"/>
        <v>0</v>
      </c>
      <c r="J197" s="252">
        <f t="shared" si="27"/>
        <v>0</v>
      </c>
      <c r="K197" s="252">
        <f t="shared" si="28"/>
        <v>0</v>
      </c>
      <c r="N197" s="249">
        <f t="shared" si="29"/>
        <v>2</v>
      </c>
    </row>
    <row r="198" spans="1:14">
      <c r="A198" s="249">
        <f t="shared" si="30"/>
        <v>1</v>
      </c>
      <c r="B198" s="250" t="str">
        <f t="shared" si="35"/>
        <v/>
      </c>
      <c r="C198" s="251">
        <f t="shared" si="31"/>
        <v>0</v>
      </c>
      <c r="D198" s="252">
        <f t="shared" si="32"/>
        <v>0</v>
      </c>
      <c r="E198" s="252">
        <f t="shared" si="24"/>
        <v>0</v>
      </c>
      <c r="F198" s="252">
        <f t="shared" si="25"/>
        <v>0</v>
      </c>
      <c r="G198" s="252">
        <f t="shared" si="33"/>
        <v>0</v>
      </c>
      <c r="H198" s="252">
        <f t="shared" si="34"/>
        <v>0</v>
      </c>
      <c r="I198" s="252">
        <f t="shared" si="26"/>
        <v>0</v>
      </c>
      <c r="J198" s="252">
        <f t="shared" si="27"/>
        <v>0</v>
      </c>
      <c r="K198" s="252">
        <f t="shared" si="28"/>
        <v>0</v>
      </c>
      <c r="N198" s="249">
        <f t="shared" si="29"/>
        <v>2</v>
      </c>
    </row>
    <row r="199" spans="1:14">
      <c r="A199" s="249">
        <f t="shared" si="30"/>
        <v>1</v>
      </c>
      <c r="B199" s="250" t="str">
        <f t="shared" si="35"/>
        <v/>
      </c>
      <c r="C199" s="251">
        <f t="shared" si="31"/>
        <v>0</v>
      </c>
      <c r="D199" s="252">
        <f t="shared" si="32"/>
        <v>0</v>
      </c>
      <c r="E199" s="252">
        <f t="shared" si="24"/>
        <v>0</v>
      </c>
      <c r="F199" s="252">
        <f t="shared" si="25"/>
        <v>0</v>
      </c>
      <c r="G199" s="252">
        <f t="shared" si="33"/>
        <v>0</v>
      </c>
      <c r="H199" s="252">
        <f t="shared" si="34"/>
        <v>0</v>
      </c>
      <c r="I199" s="252">
        <f t="shared" si="26"/>
        <v>0</v>
      </c>
      <c r="J199" s="252">
        <f t="shared" si="27"/>
        <v>0</v>
      </c>
      <c r="K199" s="252">
        <f t="shared" si="28"/>
        <v>0</v>
      </c>
      <c r="N199" s="249">
        <f t="shared" si="29"/>
        <v>2</v>
      </c>
    </row>
    <row r="200" spans="1:14">
      <c r="A200" s="249">
        <f t="shared" si="30"/>
        <v>1</v>
      </c>
      <c r="B200" s="250" t="str">
        <f t="shared" si="35"/>
        <v/>
      </c>
      <c r="C200" s="251">
        <f t="shared" si="31"/>
        <v>0</v>
      </c>
      <c r="D200" s="252">
        <f t="shared" si="32"/>
        <v>0</v>
      </c>
      <c r="E200" s="252">
        <f t="shared" si="24"/>
        <v>0</v>
      </c>
      <c r="F200" s="252">
        <f t="shared" si="25"/>
        <v>0</v>
      </c>
      <c r="G200" s="252">
        <f t="shared" si="33"/>
        <v>0</v>
      </c>
      <c r="H200" s="252">
        <f t="shared" si="34"/>
        <v>0</v>
      </c>
      <c r="I200" s="252">
        <f t="shared" si="26"/>
        <v>0</v>
      </c>
      <c r="J200" s="252">
        <f t="shared" si="27"/>
        <v>0</v>
      </c>
      <c r="K200" s="252">
        <f t="shared" si="28"/>
        <v>0</v>
      </c>
      <c r="N200" s="249">
        <f t="shared" si="29"/>
        <v>2</v>
      </c>
    </row>
    <row r="201" spans="1:14">
      <c r="A201" s="249">
        <f t="shared" si="30"/>
        <v>1</v>
      </c>
      <c r="B201" s="250" t="str">
        <f t="shared" si="35"/>
        <v/>
      </c>
      <c r="C201" s="251">
        <f t="shared" si="31"/>
        <v>0</v>
      </c>
      <c r="D201" s="252">
        <f t="shared" si="32"/>
        <v>0</v>
      </c>
      <c r="E201" s="252">
        <f t="shared" si="24"/>
        <v>0</v>
      </c>
      <c r="F201" s="252">
        <f t="shared" si="25"/>
        <v>0</v>
      </c>
      <c r="G201" s="252">
        <f t="shared" si="33"/>
        <v>0</v>
      </c>
      <c r="H201" s="252">
        <f t="shared" si="34"/>
        <v>0</v>
      </c>
      <c r="I201" s="252">
        <f t="shared" si="26"/>
        <v>0</v>
      </c>
      <c r="J201" s="252">
        <f t="shared" si="27"/>
        <v>0</v>
      </c>
      <c r="K201" s="252">
        <f t="shared" si="28"/>
        <v>0</v>
      </c>
      <c r="N201" s="249">
        <f t="shared" si="29"/>
        <v>2</v>
      </c>
    </row>
    <row r="202" spans="1:14">
      <c r="A202" s="249">
        <f t="shared" si="30"/>
        <v>1</v>
      </c>
      <c r="B202" s="250" t="str">
        <f t="shared" si="35"/>
        <v/>
      </c>
      <c r="C202" s="251">
        <f t="shared" si="31"/>
        <v>0</v>
      </c>
      <c r="D202" s="252">
        <f t="shared" si="32"/>
        <v>0</v>
      </c>
      <c r="E202" s="252">
        <f t="shared" si="24"/>
        <v>0</v>
      </c>
      <c r="F202" s="252">
        <f t="shared" si="25"/>
        <v>0</v>
      </c>
      <c r="G202" s="252">
        <f t="shared" si="33"/>
        <v>0</v>
      </c>
      <c r="H202" s="252">
        <f t="shared" si="34"/>
        <v>0</v>
      </c>
      <c r="I202" s="252">
        <f t="shared" si="26"/>
        <v>0</v>
      </c>
      <c r="J202" s="252">
        <f t="shared" si="27"/>
        <v>0</v>
      </c>
      <c r="K202" s="252">
        <f t="shared" si="28"/>
        <v>0</v>
      </c>
      <c r="N202" s="249">
        <f t="shared" si="29"/>
        <v>2</v>
      </c>
    </row>
    <row r="203" spans="1:14">
      <c r="A203" s="249">
        <f t="shared" si="30"/>
        <v>1</v>
      </c>
      <c r="B203" s="250" t="str">
        <f t="shared" si="35"/>
        <v/>
      </c>
      <c r="C203" s="251">
        <f t="shared" si="31"/>
        <v>0</v>
      </c>
      <c r="D203" s="252">
        <f t="shared" si="32"/>
        <v>0</v>
      </c>
      <c r="E203" s="252">
        <f t="shared" si="24"/>
        <v>0</v>
      </c>
      <c r="F203" s="252">
        <f t="shared" si="25"/>
        <v>0</v>
      </c>
      <c r="G203" s="252">
        <f t="shared" si="33"/>
        <v>0</v>
      </c>
      <c r="H203" s="252">
        <f t="shared" si="34"/>
        <v>0</v>
      </c>
      <c r="I203" s="252">
        <f t="shared" si="26"/>
        <v>0</v>
      </c>
      <c r="J203" s="252">
        <f t="shared" si="27"/>
        <v>0</v>
      </c>
      <c r="K203" s="252">
        <f t="shared" si="28"/>
        <v>0</v>
      </c>
      <c r="N203" s="249">
        <f t="shared" si="29"/>
        <v>2</v>
      </c>
    </row>
    <row r="204" spans="1:14">
      <c r="A204" s="249">
        <f t="shared" si="30"/>
        <v>1</v>
      </c>
      <c r="B204" s="250" t="str">
        <f t="shared" si="35"/>
        <v/>
      </c>
      <c r="C204" s="251">
        <f t="shared" si="31"/>
        <v>0</v>
      </c>
      <c r="D204" s="252">
        <f t="shared" si="32"/>
        <v>0</v>
      </c>
      <c r="E204" s="252">
        <f t="shared" si="24"/>
        <v>0</v>
      </c>
      <c r="F204" s="252">
        <f t="shared" si="25"/>
        <v>0</v>
      </c>
      <c r="G204" s="252">
        <f t="shared" si="33"/>
        <v>0</v>
      </c>
      <c r="H204" s="252">
        <f t="shared" si="34"/>
        <v>0</v>
      </c>
      <c r="I204" s="252">
        <f t="shared" si="26"/>
        <v>0</v>
      </c>
      <c r="J204" s="252">
        <f t="shared" si="27"/>
        <v>0</v>
      </c>
      <c r="K204" s="252">
        <f t="shared" si="28"/>
        <v>0</v>
      </c>
      <c r="N204" s="249">
        <f t="shared" si="29"/>
        <v>2</v>
      </c>
    </row>
    <row r="205" spans="1:14">
      <c r="A205" s="249">
        <f t="shared" si="30"/>
        <v>1</v>
      </c>
      <c r="B205" s="250" t="str">
        <f t="shared" si="35"/>
        <v/>
      </c>
      <c r="C205" s="251">
        <f t="shared" si="31"/>
        <v>0</v>
      </c>
      <c r="D205" s="252">
        <f t="shared" si="32"/>
        <v>0</v>
      </c>
      <c r="E205" s="252">
        <f t="shared" si="24"/>
        <v>0</v>
      </c>
      <c r="F205" s="252">
        <f t="shared" si="25"/>
        <v>0</v>
      </c>
      <c r="G205" s="252">
        <f t="shared" si="33"/>
        <v>0</v>
      </c>
      <c r="H205" s="252">
        <f t="shared" si="34"/>
        <v>0</v>
      </c>
      <c r="I205" s="252">
        <f t="shared" si="26"/>
        <v>0</v>
      </c>
      <c r="J205" s="252">
        <f t="shared" si="27"/>
        <v>0</v>
      </c>
      <c r="K205" s="252">
        <f t="shared" si="28"/>
        <v>0</v>
      </c>
      <c r="N205" s="249">
        <f t="shared" si="29"/>
        <v>2</v>
      </c>
    </row>
    <row r="206" spans="1:14">
      <c r="A206" s="249">
        <f t="shared" si="30"/>
        <v>1</v>
      </c>
      <c r="B206" s="250" t="str">
        <f t="shared" si="35"/>
        <v/>
      </c>
      <c r="C206" s="251">
        <f t="shared" si="31"/>
        <v>0</v>
      </c>
      <c r="D206" s="252">
        <f t="shared" si="32"/>
        <v>0</v>
      </c>
      <c r="E206" s="252">
        <f t="shared" si="24"/>
        <v>0</v>
      </c>
      <c r="F206" s="252">
        <f t="shared" si="25"/>
        <v>0</v>
      </c>
      <c r="G206" s="252">
        <f t="shared" si="33"/>
        <v>0</v>
      </c>
      <c r="H206" s="252">
        <f t="shared" si="34"/>
        <v>0</v>
      </c>
      <c r="I206" s="252">
        <f t="shared" si="26"/>
        <v>0</v>
      </c>
      <c r="J206" s="252">
        <f t="shared" si="27"/>
        <v>0</v>
      </c>
      <c r="K206" s="252">
        <f t="shared" si="28"/>
        <v>0</v>
      </c>
      <c r="N206" s="249">
        <f t="shared" si="29"/>
        <v>2</v>
      </c>
    </row>
    <row r="207" spans="1:14">
      <c r="A207" s="249">
        <f t="shared" si="30"/>
        <v>1</v>
      </c>
      <c r="B207" s="250" t="str">
        <f t="shared" si="35"/>
        <v/>
      </c>
      <c r="C207" s="251">
        <f t="shared" si="31"/>
        <v>0</v>
      </c>
      <c r="D207" s="252">
        <f t="shared" si="32"/>
        <v>0</v>
      </c>
      <c r="E207" s="252">
        <f t="shared" si="24"/>
        <v>0</v>
      </c>
      <c r="F207" s="252">
        <f t="shared" si="25"/>
        <v>0</v>
      </c>
      <c r="G207" s="252">
        <f t="shared" si="33"/>
        <v>0</v>
      </c>
      <c r="H207" s="252">
        <f t="shared" si="34"/>
        <v>0</v>
      </c>
      <c r="I207" s="252">
        <f t="shared" si="26"/>
        <v>0</v>
      </c>
      <c r="J207" s="252">
        <f t="shared" si="27"/>
        <v>0</v>
      </c>
      <c r="K207" s="252">
        <f t="shared" si="28"/>
        <v>0</v>
      </c>
      <c r="N207" s="249">
        <f t="shared" si="29"/>
        <v>2</v>
      </c>
    </row>
    <row r="208" spans="1:14">
      <c r="A208" s="249">
        <f t="shared" si="30"/>
        <v>1</v>
      </c>
      <c r="B208" s="250" t="str">
        <f t="shared" si="35"/>
        <v/>
      </c>
      <c r="C208" s="251">
        <f t="shared" si="31"/>
        <v>0</v>
      </c>
      <c r="D208" s="252">
        <f t="shared" si="32"/>
        <v>0</v>
      </c>
      <c r="E208" s="252">
        <f t="shared" si="24"/>
        <v>0</v>
      </c>
      <c r="F208" s="252">
        <f t="shared" si="25"/>
        <v>0</v>
      </c>
      <c r="G208" s="252">
        <f t="shared" si="33"/>
        <v>0</v>
      </c>
      <c r="H208" s="252">
        <f t="shared" si="34"/>
        <v>0</v>
      </c>
      <c r="I208" s="252">
        <f t="shared" si="26"/>
        <v>0</v>
      </c>
      <c r="J208" s="252">
        <f t="shared" si="27"/>
        <v>0</v>
      </c>
      <c r="K208" s="252">
        <f t="shared" si="28"/>
        <v>0</v>
      </c>
      <c r="N208" s="249">
        <f t="shared" si="29"/>
        <v>2</v>
      </c>
    </row>
    <row r="209" spans="1:14">
      <c r="A209" s="249">
        <f t="shared" si="30"/>
        <v>1</v>
      </c>
      <c r="B209" s="250" t="str">
        <f t="shared" si="35"/>
        <v/>
      </c>
      <c r="C209" s="251">
        <f t="shared" si="31"/>
        <v>0</v>
      </c>
      <c r="D209" s="252">
        <f t="shared" si="32"/>
        <v>0</v>
      </c>
      <c r="E209" s="252">
        <f t="shared" si="24"/>
        <v>0</v>
      </c>
      <c r="F209" s="252">
        <f t="shared" si="25"/>
        <v>0</v>
      </c>
      <c r="G209" s="252">
        <f t="shared" si="33"/>
        <v>0</v>
      </c>
      <c r="H209" s="252">
        <f t="shared" si="34"/>
        <v>0</v>
      </c>
      <c r="I209" s="252">
        <f t="shared" si="26"/>
        <v>0</v>
      </c>
      <c r="J209" s="252">
        <f t="shared" si="27"/>
        <v>0</v>
      </c>
      <c r="K209" s="252">
        <f t="shared" si="28"/>
        <v>0</v>
      </c>
      <c r="N209" s="249">
        <f t="shared" si="29"/>
        <v>2</v>
      </c>
    </row>
    <row r="210" spans="1:14">
      <c r="A210" s="249">
        <f t="shared" si="30"/>
        <v>1</v>
      </c>
      <c r="B210" s="250" t="str">
        <f t="shared" si="35"/>
        <v/>
      </c>
      <c r="C210" s="251">
        <f t="shared" si="31"/>
        <v>0</v>
      </c>
      <c r="D210" s="252">
        <f t="shared" si="32"/>
        <v>0</v>
      </c>
      <c r="E210" s="252">
        <f t="shared" si="24"/>
        <v>0</v>
      </c>
      <c r="F210" s="252">
        <f t="shared" si="25"/>
        <v>0</v>
      </c>
      <c r="G210" s="252">
        <f t="shared" si="33"/>
        <v>0</v>
      </c>
      <c r="H210" s="252">
        <f t="shared" si="34"/>
        <v>0</v>
      </c>
      <c r="I210" s="252">
        <f t="shared" si="26"/>
        <v>0</v>
      </c>
      <c r="J210" s="252">
        <f t="shared" si="27"/>
        <v>0</v>
      </c>
      <c r="K210" s="252">
        <f t="shared" si="28"/>
        <v>0</v>
      </c>
      <c r="N210" s="249">
        <f t="shared" si="29"/>
        <v>2</v>
      </c>
    </row>
    <row r="211" spans="1:14">
      <c r="A211" s="249">
        <f t="shared" si="30"/>
        <v>1</v>
      </c>
      <c r="B211" s="250" t="str">
        <f t="shared" si="35"/>
        <v/>
      </c>
      <c r="C211" s="251">
        <f t="shared" si="31"/>
        <v>0</v>
      </c>
      <c r="D211" s="252">
        <f t="shared" si="32"/>
        <v>0</v>
      </c>
      <c r="E211" s="252">
        <f t="shared" si="24"/>
        <v>0</v>
      </c>
      <c r="F211" s="252">
        <f t="shared" si="25"/>
        <v>0</v>
      </c>
      <c r="G211" s="252">
        <f t="shared" si="33"/>
        <v>0</v>
      </c>
      <c r="H211" s="252">
        <f t="shared" si="34"/>
        <v>0</v>
      </c>
      <c r="I211" s="252">
        <f t="shared" si="26"/>
        <v>0</v>
      </c>
      <c r="J211" s="252">
        <f t="shared" si="27"/>
        <v>0</v>
      </c>
      <c r="K211" s="252">
        <f t="shared" si="28"/>
        <v>0</v>
      </c>
      <c r="N211" s="249">
        <f t="shared" si="29"/>
        <v>2</v>
      </c>
    </row>
    <row r="212" spans="1:14">
      <c r="A212" s="249">
        <f t="shared" si="30"/>
        <v>1</v>
      </c>
      <c r="B212" s="250" t="str">
        <f t="shared" si="35"/>
        <v/>
      </c>
      <c r="C212" s="251">
        <f t="shared" si="31"/>
        <v>0</v>
      </c>
      <c r="D212" s="252">
        <f t="shared" si="32"/>
        <v>0</v>
      </c>
      <c r="E212" s="252">
        <f t="shared" si="24"/>
        <v>0</v>
      </c>
      <c r="F212" s="252">
        <f t="shared" si="25"/>
        <v>0</v>
      </c>
      <c r="G212" s="252">
        <f t="shared" si="33"/>
        <v>0</v>
      </c>
      <c r="H212" s="252">
        <f t="shared" si="34"/>
        <v>0</v>
      </c>
      <c r="I212" s="252">
        <f t="shared" si="26"/>
        <v>0</v>
      </c>
      <c r="J212" s="252">
        <f t="shared" si="27"/>
        <v>0</v>
      </c>
      <c r="K212" s="252">
        <f t="shared" si="28"/>
        <v>0</v>
      </c>
      <c r="N212" s="249">
        <f t="shared" si="29"/>
        <v>2</v>
      </c>
    </row>
    <row r="213" spans="1:14">
      <c r="A213" s="249">
        <f t="shared" si="30"/>
        <v>1</v>
      </c>
      <c r="B213" s="250" t="str">
        <f t="shared" si="35"/>
        <v/>
      </c>
      <c r="C213" s="251">
        <f t="shared" si="31"/>
        <v>0</v>
      </c>
      <c r="D213" s="252">
        <f t="shared" si="32"/>
        <v>0</v>
      </c>
      <c r="E213" s="252">
        <f t="shared" si="24"/>
        <v>0</v>
      </c>
      <c r="F213" s="252">
        <f t="shared" si="25"/>
        <v>0</v>
      </c>
      <c r="G213" s="252">
        <f t="shared" si="33"/>
        <v>0</v>
      </c>
      <c r="H213" s="252">
        <f t="shared" si="34"/>
        <v>0</v>
      </c>
      <c r="I213" s="252">
        <f t="shared" si="26"/>
        <v>0</v>
      </c>
      <c r="J213" s="252">
        <f t="shared" si="27"/>
        <v>0</v>
      </c>
      <c r="K213" s="252">
        <f t="shared" si="28"/>
        <v>0</v>
      </c>
      <c r="N213" s="249">
        <f t="shared" si="29"/>
        <v>2</v>
      </c>
    </row>
    <row r="214" spans="1:14">
      <c r="A214" s="249">
        <f t="shared" si="30"/>
        <v>1</v>
      </c>
      <c r="B214" s="250" t="str">
        <f t="shared" si="35"/>
        <v/>
      </c>
      <c r="C214" s="251">
        <f t="shared" si="31"/>
        <v>0</v>
      </c>
      <c r="D214" s="252">
        <f t="shared" si="32"/>
        <v>0</v>
      </c>
      <c r="E214" s="252">
        <f t="shared" si="24"/>
        <v>0</v>
      </c>
      <c r="F214" s="252">
        <f t="shared" si="25"/>
        <v>0</v>
      </c>
      <c r="G214" s="252">
        <f t="shared" si="33"/>
        <v>0</v>
      </c>
      <c r="H214" s="252">
        <f t="shared" si="34"/>
        <v>0</v>
      </c>
      <c r="I214" s="252">
        <f t="shared" si="26"/>
        <v>0</v>
      </c>
      <c r="J214" s="252">
        <f t="shared" si="27"/>
        <v>0</v>
      </c>
      <c r="K214" s="252">
        <f t="shared" si="28"/>
        <v>0</v>
      </c>
      <c r="N214" s="249">
        <f t="shared" si="29"/>
        <v>2</v>
      </c>
    </row>
    <row r="215" spans="1:14">
      <c r="A215" s="249">
        <f t="shared" si="30"/>
        <v>1</v>
      </c>
      <c r="B215" s="250" t="str">
        <f t="shared" si="35"/>
        <v/>
      </c>
      <c r="C215" s="251">
        <f t="shared" si="31"/>
        <v>0</v>
      </c>
      <c r="D215" s="252">
        <f t="shared" si="32"/>
        <v>0</v>
      </c>
      <c r="E215" s="252">
        <f t="shared" si="24"/>
        <v>0</v>
      </c>
      <c r="F215" s="252">
        <f t="shared" si="25"/>
        <v>0</v>
      </c>
      <c r="G215" s="252">
        <f t="shared" si="33"/>
        <v>0</v>
      </c>
      <c r="H215" s="252">
        <f t="shared" si="34"/>
        <v>0</v>
      </c>
      <c r="I215" s="252">
        <f t="shared" si="26"/>
        <v>0</v>
      </c>
      <c r="J215" s="252">
        <f t="shared" si="27"/>
        <v>0</v>
      </c>
      <c r="K215" s="252">
        <f t="shared" si="28"/>
        <v>0</v>
      </c>
      <c r="N215" s="249">
        <f t="shared" si="29"/>
        <v>2</v>
      </c>
    </row>
    <row r="216" spans="1:14">
      <c r="A216" s="249">
        <f t="shared" si="30"/>
        <v>1</v>
      </c>
      <c r="B216" s="250" t="str">
        <f t="shared" si="35"/>
        <v/>
      </c>
      <c r="C216" s="251">
        <f t="shared" si="31"/>
        <v>0</v>
      </c>
      <c r="D216" s="252">
        <f t="shared" si="32"/>
        <v>0</v>
      </c>
      <c r="E216" s="252">
        <f t="shared" si="24"/>
        <v>0</v>
      </c>
      <c r="F216" s="252">
        <f t="shared" si="25"/>
        <v>0</v>
      </c>
      <c r="G216" s="252">
        <f t="shared" si="33"/>
        <v>0</v>
      </c>
      <c r="H216" s="252">
        <f t="shared" si="34"/>
        <v>0</v>
      </c>
      <c r="I216" s="252">
        <f t="shared" si="26"/>
        <v>0</v>
      </c>
      <c r="J216" s="252">
        <f t="shared" si="27"/>
        <v>0</v>
      </c>
      <c r="K216" s="252">
        <f t="shared" si="28"/>
        <v>0</v>
      </c>
      <c r="N216" s="249">
        <f t="shared" si="29"/>
        <v>2</v>
      </c>
    </row>
    <row r="217" spans="1:14">
      <c r="A217" s="249">
        <f t="shared" si="30"/>
        <v>1</v>
      </c>
      <c r="B217" s="250" t="str">
        <f t="shared" si="35"/>
        <v/>
      </c>
      <c r="C217" s="251">
        <f t="shared" si="31"/>
        <v>0</v>
      </c>
      <c r="D217" s="252">
        <f t="shared" si="32"/>
        <v>0</v>
      </c>
      <c r="E217" s="252">
        <f t="shared" si="24"/>
        <v>0</v>
      </c>
      <c r="F217" s="252">
        <f t="shared" si="25"/>
        <v>0</v>
      </c>
      <c r="G217" s="252">
        <f t="shared" si="33"/>
        <v>0</v>
      </c>
      <c r="H217" s="252">
        <f t="shared" si="34"/>
        <v>0</v>
      </c>
      <c r="I217" s="252">
        <f t="shared" si="26"/>
        <v>0</v>
      </c>
      <c r="J217" s="252">
        <f t="shared" si="27"/>
        <v>0</v>
      </c>
      <c r="K217" s="252">
        <f t="shared" si="28"/>
        <v>0</v>
      </c>
      <c r="N217" s="249">
        <f t="shared" si="29"/>
        <v>2</v>
      </c>
    </row>
    <row r="218" spans="1:14">
      <c r="A218" s="249">
        <f t="shared" si="30"/>
        <v>1</v>
      </c>
      <c r="B218" s="250" t="str">
        <f t="shared" si="35"/>
        <v/>
      </c>
      <c r="C218" s="251">
        <f t="shared" si="31"/>
        <v>0</v>
      </c>
      <c r="D218" s="252">
        <f t="shared" si="32"/>
        <v>0</v>
      </c>
      <c r="E218" s="252">
        <f t="shared" si="24"/>
        <v>0</v>
      </c>
      <c r="F218" s="252">
        <f t="shared" si="25"/>
        <v>0</v>
      </c>
      <c r="G218" s="252">
        <f t="shared" si="33"/>
        <v>0</v>
      </c>
      <c r="H218" s="252">
        <f t="shared" si="34"/>
        <v>0</v>
      </c>
      <c r="I218" s="252">
        <f t="shared" si="26"/>
        <v>0</v>
      </c>
      <c r="J218" s="252">
        <f t="shared" si="27"/>
        <v>0</v>
      </c>
      <c r="K218" s="252">
        <f t="shared" si="28"/>
        <v>0</v>
      </c>
      <c r="N218" s="249">
        <f t="shared" si="29"/>
        <v>2</v>
      </c>
    </row>
    <row r="219" spans="1:14">
      <c r="A219" s="249">
        <f t="shared" si="30"/>
        <v>1</v>
      </c>
      <c r="B219" s="250" t="str">
        <f t="shared" si="35"/>
        <v/>
      </c>
      <c r="C219" s="251">
        <f t="shared" si="31"/>
        <v>0</v>
      </c>
      <c r="D219" s="252">
        <f t="shared" si="32"/>
        <v>0</v>
      </c>
      <c r="E219" s="252">
        <f t="shared" si="24"/>
        <v>0</v>
      </c>
      <c r="F219" s="252">
        <f t="shared" si="25"/>
        <v>0</v>
      </c>
      <c r="G219" s="252">
        <f t="shared" si="33"/>
        <v>0</v>
      </c>
      <c r="H219" s="252">
        <f t="shared" si="34"/>
        <v>0</v>
      </c>
      <c r="I219" s="252">
        <f t="shared" si="26"/>
        <v>0</v>
      </c>
      <c r="J219" s="252">
        <f t="shared" si="27"/>
        <v>0</v>
      </c>
      <c r="K219" s="252">
        <f t="shared" si="28"/>
        <v>0</v>
      </c>
      <c r="N219" s="249">
        <f t="shared" si="29"/>
        <v>2</v>
      </c>
    </row>
    <row r="220" spans="1:14">
      <c r="A220" s="249">
        <f t="shared" si="30"/>
        <v>1</v>
      </c>
      <c r="B220" s="250" t="str">
        <f t="shared" si="35"/>
        <v/>
      </c>
      <c r="C220" s="251">
        <f t="shared" si="31"/>
        <v>0</v>
      </c>
      <c r="D220" s="252">
        <f t="shared" si="32"/>
        <v>0</v>
      </c>
      <c r="E220" s="252">
        <f t="shared" si="24"/>
        <v>0</v>
      </c>
      <c r="F220" s="252">
        <f t="shared" si="25"/>
        <v>0</v>
      </c>
      <c r="G220" s="252">
        <f t="shared" si="33"/>
        <v>0</v>
      </c>
      <c r="H220" s="252">
        <f t="shared" si="34"/>
        <v>0</v>
      </c>
      <c r="I220" s="252">
        <f t="shared" si="26"/>
        <v>0</v>
      </c>
      <c r="J220" s="252">
        <f t="shared" si="27"/>
        <v>0</v>
      </c>
      <c r="K220" s="252">
        <f t="shared" si="28"/>
        <v>0</v>
      </c>
      <c r="N220" s="249">
        <f t="shared" si="29"/>
        <v>2</v>
      </c>
    </row>
    <row r="221" spans="1:14">
      <c r="A221" s="249">
        <f t="shared" si="30"/>
        <v>1</v>
      </c>
      <c r="B221" s="250" t="str">
        <f t="shared" si="35"/>
        <v/>
      </c>
      <c r="C221" s="251">
        <f t="shared" si="31"/>
        <v>0</v>
      </c>
      <c r="D221" s="252">
        <f t="shared" si="32"/>
        <v>0</v>
      </c>
      <c r="E221" s="252">
        <f t="shared" si="24"/>
        <v>0</v>
      </c>
      <c r="F221" s="252">
        <f t="shared" si="25"/>
        <v>0</v>
      </c>
      <c r="G221" s="252">
        <f t="shared" si="33"/>
        <v>0</v>
      </c>
      <c r="H221" s="252">
        <f t="shared" si="34"/>
        <v>0</v>
      </c>
      <c r="I221" s="252">
        <f t="shared" si="26"/>
        <v>0</v>
      </c>
      <c r="J221" s="252">
        <f t="shared" si="27"/>
        <v>0</v>
      </c>
      <c r="K221" s="252">
        <f t="shared" si="28"/>
        <v>0</v>
      </c>
      <c r="N221" s="249">
        <f t="shared" si="29"/>
        <v>2</v>
      </c>
    </row>
    <row r="222" spans="1:14">
      <c r="A222" s="249">
        <f t="shared" si="30"/>
        <v>1</v>
      </c>
      <c r="B222" s="250" t="str">
        <f t="shared" si="35"/>
        <v/>
      </c>
      <c r="C222" s="251">
        <f t="shared" si="31"/>
        <v>0</v>
      </c>
      <c r="D222" s="252">
        <f t="shared" si="32"/>
        <v>0</v>
      </c>
      <c r="E222" s="252">
        <f t="shared" si="24"/>
        <v>0</v>
      </c>
      <c r="F222" s="252">
        <f t="shared" si="25"/>
        <v>0</v>
      </c>
      <c r="G222" s="252">
        <f t="shared" si="33"/>
        <v>0</v>
      </c>
      <c r="H222" s="252">
        <f t="shared" si="34"/>
        <v>0</v>
      </c>
      <c r="I222" s="252">
        <f t="shared" si="26"/>
        <v>0</v>
      </c>
      <c r="J222" s="252">
        <f t="shared" si="27"/>
        <v>0</v>
      </c>
      <c r="K222" s="252">
        <f t="shared" si="28"/>
        <v>0</v>
      </c>
      <c r="N222" s="249">
        <f t="shared" si="29"/>
        <v>2</v>
      </c>
    </row>
    <row r="223" spans="1:14">
      <c r="A223" s="249">
        <f t="shared" si="30"/>
        <v>1</v>
      </c>
      <c r="B223" s="250" t="str">
        <f t="shared" si="35"/>
        <v/>
      </c>
      <c r="C223" s="251">
        <f t="shared" si="31"/>
        <v>0</v>
      </c>
      <c r="D223" s="252">
        <f t="shared" si="32"/>
        <v>0</v>
      </c>
      <c r="E223" s="252">
        <f t="shared" si="24"/>
        <v>0</v>
      </c>
      <c r="F223" s="252">
        <f t="shared" si="25"/>
        <v>0</v>
      </c>
      <c r="G223" s="252">
        <f t="shared" si="33"/>
        <v>0</v>
      </c>
      <c r="H223" s="252">
        <f t="shared" si="34"/>
        <v>0</v>
      </c>
      <c r="I223" s="252">
        <f t="shared" si="26"/>
        <v>0</v>
      </c>
      <c r="J223" s="252">
        <f t="shared" si="27"/>
        <v>0</v>
      </c>
      <c r="K223" s="252">
        <f t="shared" si="28"/>
        <v>0</v>
      </c>
      <c r="N223" s="249">
        <f t="shared" si="29"/>
        <v>2</v>
      </c>
    </row>
    <row r="224" spans="1:14">
      <c r="A224" s="249">
        <f t="shared" si="30"/>
        <v>1</v>
      </c>
      <c r="B224" s="250" t="str">
        <f t="shared" si="35"/>
        <v/>
      </c>
      <c r="C224" s="251">
        <f t="shared" si="31"/>
        <v>0</v>
      </c>
      <c r="D224" s="252">
        <f t="shared" si="32"/>
        <v>0</v>
      </c>
      <c r="E224" s="252">
        <f t="shared" si="24"/>
        <v>0</v>
      </c>
      <c r="F224" s="252">
        <f t="shared" si="25"/>
        <v>0</v>
      </c>
      <c r="G224" s="252">
        <f t="shared" si="33"/>
        <v>0</v>
      </c>
      <c r="H224" s="252">
        <f t="shared" si="34"/>
        <v>0</v>
      </c>
      <c r="I224" s="252">
        <f t="shared" si="26"/>
        <v>0</v>
      </c>
      <c r="J224" s="252">
        <f t="shared" si="27"/>
        <v>0</v>
      </c>
      <c r="K224" s="252">
        <f t="shared" si="28"/>
        <v>0</v>
      </c>
      <c r="N224" s="249">
        <f t="shared" si="29"/>
        <v>2</v>
      </c>
    </row>
    <row r="225" spans="1:14">
      <c r="A225" s="249">
        <f t="shared" si="30"/>
        <v>1</v>
      </c>
      <c r="B225" s="250" t="str">
        <f t="shared" si="35"/>
        <v/>
      </c>
      <c r="C225" s="251">
        <f t="shared" si="31"/>
        <v>0</v>
      </c>
      <c r="D225" s="252">
        <f t="shared" si="32"/>
        <v>0</v>
      </c>
      <c r="E225" s="252">
        <f t="shared" si="24"/>
        <v>0</v>
      </c>
      <c r="F225" s="252">
        <f t="shared" si="25"/>
        <v>0</v>
      </c>
      <c r="G225" s="252">
        <f t="shared" si="33"/>
        <v>0</v>
      </c>
      <c r="H225" s="252">
        <f t="shared" si="34"/>
        <v>0</v>
      </c>
      <c r="I225" s="252">
        <f t="shared" si="26"/>
        <v>0</v>
      </c>
      <c r="J225" s="252">
        <f t="shared" si="27"/>
        <v>0</v>
      </c>
      <c r="K225" s="252">
        <f t="shared" si="28"/>
        <v>0</v>
      </c>
      <c r="N225" s="249">
        <f t="shared" si="29"/>
        <v>2</v>
      </c>
    </row>
    <row r="226" spans="1:14">
      <c r="A226" s="249">
        <f t="shared" si="30"/>
        <v>1</v>
      </c>
      <c r="B226" s="250" t="str">
        <f t="shared" si="35"/>
        <v/>
      </c>
      <c r="C226" s="251">
        <f t="shared" si="31"/>
        <v>0</v>
      </c>
      <c r="D226" s="252">
        <f t="shared" si="32"/>
        <v>0</v>
      </c>
      <c r="E226" s="252">
        <f t="shared" si="24"/>
        <v>0</v>
      </c>
      <c r="F226" s="252">
        <f t="shared" si="25"/>
        <v>0</v>
      </c>
      <c r="G226" s="252">
        <f t="shared" si="33"/>
        <v>0</v>
      </c>
      <c r="H226" s="252">
        <f t="shared" si="34"/>
        <v>0</v>
      </c>
      <c r="I226" s="252">
        <f t="shared" si="26"/>
        <v>0</v>
      </c>
      <c r="J226" s="252">
        <f t="shared" si="27"/>
        <v>0</v>
      </c>
      <c r="K226" s="252">
        <f t="shared" si="28"/>
        <v>0</v>
      </c>
      <c r="N226" s="249">
        <f t="shared" si="29"/>
        <v>2</v>
      </c>
    </row>
    <row r="227" spans="1:14">
      <c r="A227" s="249">
        <f t="shared" si="30"/>
        <v>1</v>
      </c>
      <c r="B227" s="250" t="str">
        <f t="shared" si="35"/>
        <v/>
      </c>
      <c r="C227" s="251">
        <f t="shared" si="31"/>
        <v>0</v>
      </c>
      <c r="D227" s="252">
        <f t="shared" si="32"/>
        <v>0</v>
      </c>
      <c r="E227" s="252">
        <f t="shared" si="24"/>
        <v>0</v>
      </c>
      <c r="F227" s="252">
        <f t="shared" si="25"/>
        <v>0</v>
      </c>
      <c r="G227" s="252">
        <f t="shared" si="33"/>
        <v>0</v>
      </c>
      <c r="H227" s="252">
        <f t="shared" si="34"/>
        <v>0</v>
      </c>
      <c r="I227" s="252">
        <f t="shared" si="26"/>
        <v>0</v>
      </c>
      <c r="J227" s="252">
        <f t="shared" si="27"/>
        <v>0</v>
      </c>
      <c r="K227" s="252">
        <f t="shared" si="28"/>
        <v>0</v>
      </c>
      <c r="N227" s="249">
        <f t="shared" si="29"/>
        <v>2</v>
      </c>
    </row>
    <row r="228" spans="1:14">
      <c r="A228" s="249">
        <f t="shared" si="30"/>
        <v>1</v>
      </c>
      <c r="B228" s="250" t="str">
        <f t="shared" si="35"/>
        <v/>
      </c>
      <c r="C228" s="251">
        <f t="shared" si="31"/>
        <v>0</v>
      </c>
      <c r="D228" s="252">
        <f t="shared" si="32"/>
        <v>0</v>
      </c>
      <c r="E228" s="252">
        <f t="shared" si="24"/>
        <v>0</v>
      </c>
      <c r="F228" s="252">
        <f t="shared" si="25"/>
        <v>0</v>
      </c>
      <c r="G228" s="252">
        <f t="shared" si="33"/>
        <v>0</v>
      </c>
      <c r="H228" s="252">
        <f t="shared" si="34"/>
        <v>0</v>
      </c>
      <c r="I228" s="252">
        <f t="shared" si="26"/>
        <v>0</v>
      </c>
      <c r="J228" s="252">
        <f t="shared" si="27"/>
        <v>0</v>
      </c>
      <c r="K228" s="252">
        <f t="shared" si="28"/>
        <v>0</v>
      </c>
      <c r="N228" s="249">
        <f t="shared" si="29"/>
        <v>2</v>
      </c>
    </row>
    <row r="229" spans="1:14">
      <c r="A229" s="249">
        <f t="shared" si="30"/>
        <v>1</v>
      </c>
      <c r="B229" s="250" t="str">
        <f t="shared" si="35"/>
        <v/>
      </c>
      <c r="C229" s="251">
        <f t="shared" si="31"/>
        <v>0</v>
      </c>
      <c r="D229" s="252">
        <f t="shared" si="32"/>
        <v>0</v>
      </c>
      <c r="E229" s="252">
        <f t="shared" si="24"/>
        <v>0</v>
      </c>
      <c r="F229" s="252">
        <f t="shared" si="25"/>
        <v>0</v>
      </c>
      <c r="G229" s="252">
        <f t="shared" si="33"/>
        <v>0</v>
      </c>
      <c r="H229" s="252">
        <f t="shared" si="34"/>
        <v>0</v>
      </c>
      <c r="I229" s="252">
        <f t="shared" si="26"/>
        <v>0</v>
      </c>
      <c r="J229" s="252">
        <f t="shared" si="27"/>
        <v>0</v>
      </c>
      <c r="K229" s="252">
        <f t="shared" si="28"/>
        <v>0</v>
      </c>
      <c r="N229" s="249">
        <f t="shared" si="29"/>
        <v>2</v>
      </c>
    </row>
    <row r="230" spans="1:14">
      <c r="A230" s="249">
        <f t="shared" si="30"/>
        <v>1</v>
      </c>
      <c r="B230" s="250" t="str">
        <f t="shared" si="35"/>
        <v/>
      </c>
      <c r="C230" s="251">
        <f t="shared" si="31"/>
        <v>0</v>
      </c>
      <c r="D230" s="252">
        <f t="shared" si="32"/>
        <v>0</v>
      </c>
      <c r="E230" s="252">
        <f t="shared" si="24"/>
        <v>0</v>
      </c>
      <c r="F230" s="252">
        <f t="shared" si="25"/>
        <v>0</v>
      </c>
      <c r="G230" s="252">
        <f t="shared" si="33"/>
        <v>0</v>
      </c>
      <c r="H230" s="252">
        <f t="shared" si="34"/>
        <v>0</v>
      </c>
      <c r="I230" s="252">
        <f t="shared" si="26"/>
        <v>0</v>
      </c>
      <c r="J230" s="252">
        <f t="shared" si="27"/>
        <v>0</v>
      </c>
      <c r="K230" s="252">
        <f t="shared" si="28"/>
        <v>0</v>
      </c>
      <c r="N230" s="249">
        <f t="shared" si="29"/>
        <v>2</v>
      </c>
    </row>
    <row r="231" spans="1:14">
      <c r="A231" s="249">
        <f t="shared" si="30"/>
        <v>1</v>
      </c>
      <c r="B231" s="250" t="str">
        <f t="shared" si="35"/>
        <v/>
      </c>
      <c r="C231" s="251">
        <f t="shared" si="31"/>
        <v>0</v>
      </c>
      <c r="D231" s="252">
        <f t="shared" si="32"/>
        <v>0</v>
      </c>
      <c r="E231" s="252">
        <f t="shared" ref="E231:E294" si="36">IF($C231,D231-F231-J231,0)</f>
        <v>0</v>
      </c>
      <c r="F231" s="252">
        <f t="shared" ref="F231:F294" si="37">IF(Pay_at=1,IF(C231,ROUND((+C231)*IF(Loan_Schedule_Type=1,$E$20,IF(Loan_Schedule_Type=2,$E$26,$I$31))/SUMIF($M$15:$M$19,$I$16,$N$15:$N$19),2),0),IF(C231,ROUND((+C231-D231)*IF(Loan_Schedule_Type=1,$E$20,IF(Loan_Schedule_Type=2,$E$26,$I$31))/SUMIF($M$15:$M$19,$I$16,$N$15:$N$19),2),0))</f>
        <v>0</v>
      </c>
      <c r="G231" s="252">
        <f t="shared" si="33"/>
        <v>0</v>
      </c>
      <c r="H231" s="252">
        <f t="shared" si="34"/>
        <v>0</v>
      </c>
      <c r="I231" s="252">
        <f t="shared" ref="I231:I294" si="38">IF(C231,C231-E231-J231,0)</f>
        <v>0</v>
      </c>
      <c r="J231" s="252">
        <f t="shared" ref="J231:J294" si="39">IF(D231=0,0,ROUND((D231-F231)/IF(Loan_Schedule_Type=1,$E$19,IF(Loan_Schedule_Type=2,$E$25,$E$31))*IF(Loan_Schedule_Type=1,$J$21,IF(Loan_Schedule_Type=2,$J$27,$J$33)),2))</f>
        <v>0</v>
      </c>
      <c r="K231" s="252">
        <f t="shared" ref="K231:K294" si="40">ROUND(J231/11,2)</f>
        <v>0</v>
      </c>
      <c r="N231" s="249">
        <f t="shared" ref="N231:N294" si="41">IF(B231&lt;$I$10,0,IF(B231&gt;($I$10+364),2,1))</f>
        <v>2</v>
      </c>
    </row>
    <row r="232" spans="1:14">
      <c r="A232" s="249">
        <f t="shared" ref="A232:A295" si="42">IF(C232&gt;0,+A231+1,A231)</f>
        <v>1</v>
      </c>
      <c r="B232" s="250" t="str">
        <f t="shared" si="35"/>
        <v/>
      </c>
      <c r="C232" s="251">
        <f t="shared" ref="C232:C295" si="43">IF(+I231&gt;0.01,I231,0)</f>
        <v>0</v>
      </c>
      <c r="D232" s="252">
        <f t="shared" ref="D232:D295" si="44">IF(C232&gt;0.01,IF(Pay_at=1,IF(A232=IF(Loan_Schedule_Type=1,$I$19,IF(Loan_Schedule_Type=2,$E$27,$E$33)),C232+F232,D231),IF(A232=IF(Loan_Schedule_Type=1,$I$19,IF(Loan_Schedule_Type=2,$E$27,$E$33)),C232,D231)),0)</f>
        <v>0</v>
      </c>
      <c r="E232" s="252">
        <f t="shared" si="36"/>
        <v>0</v>
      </c>
      <c r="F232" s="252">
        <f t="shared" si="37"/>
        <v>0</v>
      </c>
      <c r="G232" s="252">
        <f t="shared" ref="G232:G295" si="45">IF(C232,G231+E232+J232,0)</f>
        <v>0</v>
      </c>
      <c r="H232" s="252">
        <f t="shared" ref="H232:H295" si="46">IF(C232,H231+F232,0)</f>
        <v>0</v>
      </c>
      <c r="I232" s="252">
        <f t="shared" si="38"/>
        <v>0</v>
      </c>
      <c r="J232" s="252">
        <f t="shared" si="39"/>
        <v>0</v>
      </c>
      <c r="K232" s="252">
        <f t="shared" si="40"/>
        <v>0</v>
      </c>
      <c r="N232" s="249">
        <f t="shared" si="41"/>
        <v>2</v>
      </c>
    </row>
    <row r="233" spans="1:14">
      <c r="A233" s="249">
        <f t="shared" si="42"/>
        <v>1</v>
      </c>
      <c r="B233" s="250" t="str">
        <f t="shared" ref="B233:B296" si="47">IF(A233&gt;$E$33,"",IF($I$16="weekly",B232+7,IF($I$16="fortnightly",B232+14,IF($I$16="monthly",DATE(YEAR(B232),MONTH(B232)+1,DAY(1)),IF($I$16="6 monthly",DATE(YEAR(B232),MONTH(B232)+6,DAY(1)),IF($I$16="Annually",DATE(YEAR(B232)+1,MONTH(B232),DAY(B232))))))))</f>
        <v/>
      </c>
      <c r="C233" s="251">
        <f t="shared" si="43"/>
        <v>0</v>
      </c>
      <c r="D233" s="252">
        <f t="shared" si="44"/>
        <v>0</v>
      </c>
      <c r="E233" s="252">
        <f t="shared" si="36"/>
        <v>0</v>
      </c>
      <c r="F233" s="252">
        <f t="shared" si="37"/>
        <v>0</v>
      </c>
      <c r="G233" s="252">
        <f t="shared" si="45"/>
        <v>0</v>
      </c>
      <c r="H233" s="252">
        <f t="shared" si="46"/>
        <v>0</v>
      </c>
      <c r="I233" s="252">
        <f t="shared" si="38"/>
        <v>0</v>
      </c>
      <c r="J233" s="252">
        <f t="shared" si="39"/>
        <v>0</v>
      </c>
      <c r="K233" s="252">
        <f t="shared" si="40"/>
        <v>0</v>
      </c>
      <c r="N233" s="249">
        <f t="shared" si="41"/>
        <v>2</v>
      </c>
    </row>
    <row r="234" spans="1:14">
      <c r="A234" s="249">
        <f t="shared" si="42"/>
        <v>1</v>
      </c>
      <c r="B234" s="250" t="str">
        <f t="shared" si="47"/>
        <v/>
      </c>
      <c r="C234" s="251">
        <f t="shared" si="43"/>
        <v>0</v>
      </c>
      <c r="D234" s="252">
        <f t="shared" si="44"/>
        <v>0</v>
      </c>
      <c r="E234" s="252">
        <f t="shared" si="36"/>
        <v>0</v>
      </c>
      <c r="F234" s="252">
        <f t="shared" si="37"/>
        <v>0</v>
      </c>
      <c r="G234" s="252">
        <f t="shared" si="45"/>
        <v>0</v>
      </c>
      <c r="H234" s="252">
        <f t="shared" si="46"/>
        <v>0</v>
      </c>
      <c r="I234" s="252">
        <f t="shared" si="38"/>
        <v>0</v>
      </c>
      <c r="J234" s="252">
        <f t="shared" si="39"/>
        <v>0</v>
      </c>
      <c r="K234" s="252">
        <f t="shared" si="40"/>
        <v>0</v>
      </c>
      <c r="N234" s="249">
        <f t="shared" si="41"/>
        <v>2</v>
      </c>
    </row>
    <row r="235" spans="1:14">
      <c r="A235" s="249">
        <f t="shared" si="42"/>
        <v>1</v>
      </c>
      <c r="B235" s="250" t="str">
        <f t="shared" si="47"/>
        <v/>
      </c>
      <c r="C235" s="251">
        <f t="shared" si="43"/>
        <v>0</v>
      </c>
      <c r="D235" s="252">
        <f t="shared" si="44"/>
        <v>0</v>
      </c>
      <c r="E235" s="252">
        <f t="shared" si="36"/>
        <v>0</v>
      </c>
      <c r="F235" s="252">
        <f t="shared" si="37"/>
        <v>0</v>
      </c>
      <c r="G235" s="252">
        <f t="shared" si="45"/>
        <v>0</v>
      </c>
      <c r="H235" s="252">
        <f t="shared" si="46"/>
        <v>0</v>
      </c>
      <c r="I235" s="252">
        <f t="shared" si="38"/>
        <v>0</v>
      </c>
      <c r="J235" s="252">
        <f t="shared" si="39"/>
        <v>0</v>
      </c>
      <c r="K235" s="252">
        <f t="shared" si="40"/>
        <v>0</v>
      </c>
      <c r="N235" s="249">
        <f t="shared" si="41"/>
        <v>2</v>
      </c>
    </row>
    <row r="236" spans="1:14">
      <c r="A236" s="249">
        <f t="shared" si="42"/>
        <v>1</v>
      </c>
      <c r="B236" s="250" t="str">
        <f t="shared" si="47"/>
        <v/>
      </c>
      <c r="C236" s="251">
        <f t="shared" si="43"/>
        <v>0</v>
      </c>
      <c r="D236" s="252">
        <f t="shared" si="44"/>
        <v>0</v>
      </c>
      <c r="E236" s="252">
        <f t="shared" si="36"/>
        <v>0</v>
      </c>
      <c r="F236" s="252">
        <f t="shared" si="37"/>
        <v>0</v>
      </c>
      <c r="G236" s="252">
        <f t="shared" si="45"/>
        <v>0</v>
      </c>
      <c r="H236" s="252">
        <f t="shared" si="46"/>
        <v>0</v>
      </c>
      <c r="I236" s="252">
        <f t="shared" si="38"/>
        <v>0</v>
      </c>
      <c r="J236" s="252">
        <f t="shared" si="39"/>
        <v>0</v>
      </c>
      <c r="K236" s="252">
        <f t="shared" si="40"/>
        <v>0</v>
      </c>
      <c r="N236" s="249">
        <f t="shared" si="41"/>
        <v>2</v>
      </c>
    </row>
    <row r="237" spans="1:14">
      <c r="A237" s="249">
        <f t="shared" si="42"/>
        <v>1</v>
      </c>
      <c r="B237" s="250" t="str">
        <f t="shared" si="47"/>
        <v/>
      </c>
      <c r="C237" s="251">
        <f t="shared" si="43"/>
        <v>0</v>
      </c>
      <c r="D237" s="252">
        <f t="shared" si="44"/>
        <v>0</v>
      </c>
      <c r="E237" s="252">
        <f t="shared" si="36"/>
        <v>0</v>
      </c>
      <c r="F237" s="252">
        <f t="shared" si="37"/>
        <v>0</v>
      </c>
      <c r="G237" s="252">
        <f t="shared" si="45"/>
        <v>0</v>
      </c>
      <c r="H237" s="252">
        <f t="shared" si="46"/>
        <v>0</v>
      </c>
      <c r="I237" s="252">
        <f t="shared" si="38"/>
        <v>0</v>
      </c>
      <c r="J237" s="252">
        <f t="shared" si="39"/>
        <v>0</v>
      </c>
      <c r="K237" s="252">
        <f t="shared" si="40"/>
        <v>0</v>
      </c>
      <c r="N237" s="249">
        <f t="shared" si="41"/>
        <v>2</v>
      </c>
    </row>
    <row r="238" spans="1:14">
      <c r="A238" s="249">
        <f t="shared" si="42"/>
        <v>1</v>
      </c>
      <c r="B238" s="250" t="str">
        <f t="shared" si="47"/>
        <v/>
      </c>
      <c r="C238" s="251">
        <f t="shared" si="43"/>
        <v>0</v>
      </c>
      <c r="D238" s="252">
        <f t="shared" si="44"/>
        <v>0</v>
      </c>
      <c r="E238" s="252">
        <f t="shared" si="36"/>
        <v>0</v>
      </c>
      <c r="F238" s="252">
        <f t="shared" si="37"/>
        <v>0</v>
      </c>
      <c r="G238" s="252">
        <f t="shared" si="45"/>
        <v>0</v>
      </c>
      <c r="H238" s="252">
        <f t="shared" si="46"/>
        <v>0</v>
      </c>
      <c r="I238" s="252">
        <f t="shared" si="38"/>
        <v>0</v>
      </c>
      <c r="J238" s="252">
        <f t="shared" si="39"/>
        <v>0</v>
      </c>
      <c r="K238" s="252">
        <f t="shared" si="40"/>
        <v>0</v>
      </c>
      <c r="N238" s="249">
        <f t="shared" si="41"/>
        <v>2</v>
      </c>
    </row>
    <row r="239" spans="1:14">
      <c r="A239" s="249">
        <f t="shared" si="42"/>
        <v>1</v>
      </c>
      <c r="B239" s="250" t="str">
        <f t="shared" si="47"/>
        <v/>
      </c>
      <c r="C239" s="251">
        <f t="shared" si="43"/>
        <v>0</v>
      </c>
      <c r="D239" s="252">
        <f t="shared" si="44"/>
        <v>0</v>
      </c>
      <c r="E239" s="252">
        <f t="shared" si="36"/>
        <v>0</v>
      </c>
      <c r="F239" s="252">
        <f t="shared" si="37"/>
        <v>0</v>
      </c>
      <c r="G239" s="252">
        <f t="shared" si="45"/>
        <v>0</v>
      </c>
      <c r="H239" s="252">
        <f t="shared" si="46"/>
        <v>0</v>
      </c>
      <c r="I239" s="252">
        <f t="shared" si="38"/>
        <v>0</v>
      </c>
      <c r="J239" s="252">
        <f t="shared" si="39"/>
        <v>0</v>
      </c>
      <c r="K239" s="252">
        <f t="shared" si="40"/>
        <v>0</v>
      </c>
      <c r="N239" s="249">
        <f t="shared" si="41"/>
        <v>2</v>
      </c>
    </row>
    <row r="240" spans="1:14">
      <c r="A240" s="249">
        <f t="shared" si="42"/>
        <v>1</v>
      </c>
      <c r="B240" s="250" t="str">
        <f t="shared" si="47"/>
        <v/>
      </c>
      <c r="C240" s="251">
        <f t="shared" si="43"/>
        <v>0</v>
      </c>
      <c r="D240" s="252">
        <f t="shared" si="44"/>
        <v>0</v>
      </c>
      <c r="E240" s="252">
        <f t="shared" si="36"/>
        <v>0</v>
      </c>
      <c r="F240" s="252">
        <f t="shared" si="37"/>
        <v>0</v>
      </c>
      <c r="G240" s="252">
        <f t="shared" si="45"/>
        <v>0</v>
      </c>
      <c r="H240" s="252">
        <f t="shared" si="46"/>
        <v>0</v>
      </c>
      <c r="I240" s="252">
        <f t="shared" si="38"/>
        <v>0</v>
      </c>
      <c r="J240" s="252">
        <f t="shared" si="39"/>
        <v>0</v>
      </c>
      <c r="K240" s="252">
        <f t="shared" si="40"/>
        <v>0</v>
      </c>
      <c r="N240" s="249">
        <f t="shared" si="41"/>
        <v>2</v>
      </c>
    </row>
    <row r="241" spans="1:14">
      <c r="A241" s="249">
        <f t="shared" si="42"/>
        <v>1</v>
      </c>
      <c r="B241" s="250" t="str">
        <f t="shared" si="47"/>
        <v/>
      </c>
      <c r="C241" s="251">
        <f t="shared" si="43"/>
        <v>0</v>
      </c>
      <c r="D241" s="252">
        <f t="shared" si="44"/>
        <v>0</v>
      </c>
      <c r="E241" s="252">
        <f t="shared" si="36"/>
        <v>0</v>
      </c>
      <c r="F241" s="252">
        <f t="shared" si="37"/>
        <v>0</v>
      </c>
      <c r="G241" s="252">
        <f t="shared" si="45"/>
        <v>0</v>
      </c>
      <c r="H241" s="252">
        <f t="shared" si="46"/>
        <v>0</v>
      </c>
      <c r="I241" s="252">
        <f t="shared" si="38"/>
        <v>0</v>
      </c>
      <c r="J241" s="252">
        <f t="shared" si="39"/>
        <v>0</v>
      </c>
      <c r="K241" s="252">
        <f t="shared" si="40"/>
        <v>0</v>
      </c>
      <c r="N241" s="249">
        <f t="shared" si="41"/>
        <v>2</v>
      </c>
    </row>
    <row r="242" spans="1:14">
      <c r="A242" s="249">
        <f t="shared" si="42"/>
        <v>1</v>
      </c>
      <c r="B242" s="250" t="str">
        <f t="shared" si="47"/>
        <v/>
      </c>
      <c r="C242" s="251">
        <f t="shared" si="43"/>
        <v>0</v>
      </c>
      <c r="D242" s="252">
        <f t="shared" si="44"/>
        <v>0</v>
      </c>
      <c r="E242" s="252">
        <f t="shared" si="36"/>
        <v>0</v>
      </c>
      <c r="F242" s="252">
        <f t="shared" si="37"/>
        <v>0</v>
      </c>
      <c r="G242" s="252">
        <f t="shared" si="45"/>
        <v>0</v>
      </c>
      <c r="H242" s="252">
        <f t="shared" si="46"/>
        <v>0</v>
      </c>
      <c r="I242" s="252">
        <f t="shared" si="38"/>
        <v>0</v>
      </c>
      <c r="J242" s="252">
        <f t="shared" si="39"/>
        <v>0</v>
      </c>
      <c r="K242" s="252">
        <f t="shared" si="40"/>
        <v>0</v>
      </c>
      <c r="N242" s="249">
        <f t="shared" si="41"/>
        <v>2</v>
      </c>
    </row>
    <row r="243" spans="1:14">
      <c r="A243" s="249">
        <f t="shared" si="42"/>
        <v>1</v>
      </c>
      <c r="B243" s="250" t="str">
        <f t="shared" si="47"/>
        <v/>
      </c>
      <c r="C243" s="251">
        <f t="shared" si="43"/>
        <v>0</v>
      </c>
      <c r="D243" s="252">
        <f t="shared" si="44"/>
        <v>0</v>
      </c>
      <c r="E243" s="252">
        <f t="shared" si="36"/>
        <v>0</v>
      </c>
      <c r="F243" s="252">
        <f t="shared" si="37"/>
        <v>0</v>
      </c>
      <c r="G243" s="252">
        <f t="shared" si="45"/>
        <v>0</v>
      </c>
      <c r="H243" s="252">
        <f t="shared" si="46"/>
        <v>0</v>
      </c>
      <c r="I243" s="252">
        <f t="shared" si="38"/>
        <v>0</v>
      </c>
      <c r="J243" s="252">
        <f t="shared" si="39"/>
        <v>0</v>
      </c>
      <c r="K243" s="252">
        <f t="shared" si="40"/>
        <v>0</v>
      </c>
      <c r="N243" s="249">
        <f t="shared" si="41"/>
        <v>2</v>
      </c>
    </row>
    <row r="244" spans="1:14">
      <c r="A244" s="249">
        <f t="shared" si="42"/>
        <v>1</v>
      </c>
      <c r="B244" s="250" t="str">
        <f t="shared" si="47"/>
        <v/>
      </c>
      <c r="C244" s="251">
        <f t="shared" si="43"/>
        <v>0</v>
      </c>
      <c r="D244" s="252">
        <f t="shared" si="44"/>
        <v>0</v>
      </c>
      <c r="E244" s="252">
        <f t="shared" si="36"/>
        <v>0</v>
      </c>
      <c r="F244" s="252">
        <f t="shared" si="37"/>
        <v>0</v>
      </c>
      <c r="G244" s="252">
        <f t="shared" si="45"/>
        <v>0</v>
      </c>
      <c r="H244" s="252">
        <f t="shared" si="46"/>
        <v>0</v>
      </c>
      <c r="I244" s="252">
        <f t="shared" si="38"/>
        <v>0</v>
      </c>
      <c r="J244" s="252">
        <f t="shared" si="39"/>
        <v>0</v>
      </c>
      <c r="K244" s="252">
        <f t="shared" si="40"/>
        <v>0</v>
      </c>
      <c r="N244" s="249">
        <f t="shared" si="41"/>
        <v>2</v>
      </c>
    </row>
    <row r="245" spans="1:14">
      <c r="A245" s="249">
        <f t="shared" si="42"/>
        <v>1</v>
      </c>
      <c r="B245" s="250" t="str">
        <f t="shared" si="47"/>
        <v/>
      </c>
      <c r="C245" s="251">
        <f t="shared" si="43"/>
        <v>0</v>
      </c>
      <c r="D245" s="252">
        <f t="shared" si="44"/>
        <v>0</v>
      </c>
      <c r="E245" s="252">
        <f t="shared" si="36"/>
        <v>0</v>
      </c>
      <c r="F245" s="252">
        <f t="shared" si="37"/>
        <v>0</v>
      </c>
      <c r="G245" s="252">
        <f t="shared" si="45"/>
        <v>0</v>
      </c>
      <c r="H245" s="252">
        <f t="shared" si="46"/>
        <v>0</v>
      </c>
      <c r="I245" s="252">
        <f t="shared" si="38"/>
        <v>0</v>
      </c>
      <c r="J245" s="252">
        <f t="shared" si="39"/>
        <v>0</v>
      </c>
      <c r="K245" s="252">
        <f t="shared" si="40"/>
        <v>0</v>
      </c>
      <c r="N245" s="249">
        <f t="shared" si="41"/>
        <v>2</v>
      </c>
    </row>
    <row r="246" spans="1:14">
      <c r="A246" s="249">
        <f t="shared" si="42"/>
        <v>1</v>
      </c>
      <c r="B246" s="250" t="str">
        <f t="shared" si="47"/>
        <v/>
      </c>
      <c r="C246" s="251">
        <f t="shared" si="43"/>
        <v>0</v>
      </c>
      <c r="D246" s="252">
        <f t="shared" si="44"/>
        <v>0</v>
      </c>
      <c r="E246" s="252">
        <f t="shared" si="36"/>
        <v>0</v>
      </c>
      <c r="F246" s="252">
        <f t="shared" si="37"/>
        <v>0</v>
      </c>
      <c r="G246" s="252">
        <f t="shared" si="45"/>
        <v>0</v>
      </c>
      <c r="H246" s="252">
        <f t="shared" si="46"/>
        <v>0</v>
      </c>
      <c r="I246" s="252">
        <f t="shared" si="38"/>
        <v>0</v>
      </c>
      <c r="J246" s="252">
        <f t="shared" si="39"/>
        <v>0</v>
      </c>
      <c r="K246" s="252">
        <f t="shared" si="40"/>
        <v>0</v>
      </c>
      <c r="N246" s="249">
        <f t="shared" si="41"/>
        <v>2</v>
      </c>
    </row>
    <row r="247" spans="1:14">
      <c r="A247" s="249">
        <f t="shared" si="42"/>
        <v>1</v>
      </c>
      <c r="B247" s="250" t="str">
        <f t="shared" si="47"/>
        <v/>
      </c>
      <c r="C247" s="251">
        <f t="shared" si="43"/>
        <v>0</v>
      </c>
      <c r="D247" s="252">
        <f t="shared" si="44"/>
        <v>0</v>
      </c>
      <c r="E247" s="252">
        <f t="shared" si="36"/>
        <v>0</v>
      </c>
      <c r="F247" s="252">
        <f t="shared" si="37"/>
        <v>0</v>
      </c>
      <c r="G247" s="252">
        <f t="shared" si="45"/>
        <v>0</v>
      </c>
      <c r="H247" s="252">
        <f t="shared" si="46"/>
        <v>0</v>
      </c>
      <c r="I247" s="252">
        <f t="shared" si="38"/>
        <v>0</v>
      </c>
      <c r="J247" s="252">
        <f t="shared" si="39"/>
        <v>0</v>
      </c>
      <c r="K247" s="252">
        <f t="shared" si="40"/>
        <v>0</v>
      </c>
      <c r="N247" s="249">
        <f t="shared" si="41"/>
        <v>2</v>
      </c>
    </row>
    <row r="248" spans="1:14">
      <c r="A248" s="249">
        <f t="shared" si="42"/>
        <v>1</v>
      </c>
      <c r="B248" s="250" t="str">
        <f t="shared" si="47"/>
        <v/>
      </c>
      <c r="C248" s="251">
        <f t="shared" si="43"/>
        <v>0</v>
      </c>
      <c r="D248" s="252">
        <f t="shared" si="44"/>
        <v>0</v>
      </c>
      <c r="E248" s="252">
        <f t="shared" si="36"/>
        <v>0</v>
      </c>
      <c r="F248" s="252">
        <f t="shared" si="37"/>
        <v>0</v>
      </c>
      <c r="G248" s="252">
        <f t="shared" si="45"/>
        <v>0</v>
      </c>
      <c r="H248" s="252">
        <f t="shared" si="46"/>
        <v>0</v>
      </c>
      <c r="I248" s="252">
        <f t="shared" si="38"/>
        <v>0</v>
      </c>
      <c r="J248" s="252">
        <f t="shared" si="39"/>
        <v>0</v>
      </c>
      <c r="K248" s="252">
        <f t="shared" si="40"/>
        <v>0</v>
      </c>
      <c r="N248" s="249">
        <f t="shared" si="41"/>
        <v>2</v>
      </c>
    </row>
    <row r="249" spans="1:14">
      <c r="A249" s="249">
        <f t="shared" si="42"/>
        <v>1</v>
      </c>
      <c r="B249" s="250" t="str">
        <f t="shared" si="47"/>
        <v/>
      </c>
      <c r="C249" s="251">
        <f t="shared" si="43"/>
        <v>0</v>
      </c>
      <c r="D249" s="252">
        <f t="shared" si="44"/>
        <v>0</v>
      </c>
      <c r="E249" s="252">
        <f t="shared" si="36"/>
        <v>0</v>
      </c>
      <c r="F249" s="252">
        <f t="shared" si="37"/>
        <v>0</v>
      </c>
      <c r="G249" s="252">
        <f t="shared" si="45"/>
        <v>0</v>
      </c>
      <c r="H249" s="252">
        <f t="shared" si="46"/>
        <v>0</v>
      </c>
      <c r="I249" s="252">
        <f t="shared" si="38"/>
        <v>0</v>
      </c>
      <c r="J249" s="252">
        <f t="shared" si="39"/>
        <v>0</v>
      </c>
      <c r="K249" s="252">
        <f t="shared" si="40"/>
        <v>0</v>
      </c>
      <c r="N249" s="249">
        <f t="shared" si="41"/>
        <v>2</v>
      </c>
    </row>
    <row r="250" spans="1:14">
      <c r="A250" s="249">
        <f t="shared" si="42"/>
        <v>1</v>
      </c>
      <c r="B250" s="250" t="str">
        <f t="shared" si="47"/>
        <v/>
      </c>
      <c r="C250" s="251">
        <f t="shared" si="43"/>
        <v>0</v>
      </c>
      <c r="D250" s="252">
        <f t="shared" si="44"/>
        <v>0</v>
      </c>
      <c r="E250" s="252">
        <f t="shared" si="36"/>
        <v>0</v>
      </c>
      <c r="F250" s="252">
        <f t="shared" si="37"/>
        <v>0</v>
      </c>
      <c r="G250" s="252">
        <f t="shared" si="45"/>
        <v>0</v>
      </c>
      <c r="H250" s="252">
        <f t="shared" si="46"/>
        <v>0</v>
      </c>
      <c r="I250" s="252">
        <f t="shared" si="38"/>
        <v>0</v>
      </c>
      <c r="J250" s="252">
        <f t="shared" si="39"/>
        <v>0</v>
      </c>
      <c r="K250" s="252">
        <f t="shared" si="40"/>
        <v>0</v>
      </c>
      <c r="N250" s="249">
        <f t="shared" si="41"/>
        <v>2</v>
      </c>
    </row>
    <row r="251" spans="1:14">
      <c r="A251" s="249">
        <f t="shared" si="42"/>
        <v>1</v>
      </c>
      <c r="B251" s="250" t="str">
        <f t="shared" si="47"/>
        <v/>
      </c>
      <c r="C251" s="251">
        <f t="shared" si="43"/>
        <v>0</v>
      </c>
      <c r="D251" s="252">
        <f t="shared" si="44"/>
        <v>0</v>
      </c>
      <c r="E251" s="252">
        <f t="shared" si="36"/>
        <v>0</v>
      </c>
      <c r="F251" s="252">
        <f t="shared" si="37"/>
        <v>0</v>
      </c>
      <c r="G251" s="252">
        <f t="shared" si="45"/>
        <v>0</v>
      </c>
      <c r="H251" s="252">
        <f t="shared" si="46"/>
        <v>0</v>
      </c>
      <c r="I251" s="252">
        <f t="shared" si="38"/>
        <v>0</v>
      </c>
      <c r="J251" s="252">
        <f t="shared" si="39"/>
        <v>0</v>
      </c>
      <c r="K251" s="252">
        <f t="shared" si="40"/>
        <v>0</v>
      </c>
      <c r="N251" s="249">
        <f t="shared" si="41"/>
        <v>2</v>
      </c>
    </row>
    <row r="252" spans="1:14">
      <c r="A252" s="249">
        <f t="shared" si="42"/>
        <v>1</v>
      </c>
      <c r="B252" s="250" t="str">
        <f t="shared" si="47"/>
        <v/>
      </c>
      <c r="C252" s="251">
        <f t="shared" si="43"/>
        <v>0</v>
      </c>
      <c r="D252" s="252">
        <f t="shared" si="44"/>
        <v>0</v>
      </c>
      <c r="E252" s="252">
        <f t="shared" si="36"/>
        <v>0</v>
      </c>
      <c r="F252" s="252">
        <f t="shared" si="37"/>
        <v>0</v>
      </c>
      <c r="G252" s="252">
        <f t="shared" si="45"/>
        <v>0</v>
      </c>
      <c r="H252" s="252">
        <f t="shared" si="46"/>
        <v>0</v>
      </c>
      <c r="I252" s="252">
        <f t="shared" si="38"/>
        <v>0</v>
      </c>
      <c r="J252" s="252">
        <f t="shared" si="39"/>
        <v>0</v>
      </c>
      <c r="K252" s="252">
        <f t="shared" si="40"/>
        <v>0</v>
      </c>
      <c r="N252" s="249">
        <f t="shared" si="41"/>
        <v>2</v>
      </c>
    </row>
    <row r="253" spans="1:14">
      <c r="A253" s="249">
        <f t="shared" si="42"/>
        <v>1</v>
      </c>
      <c r="B253" s="250" t="str">
        <f t="shared" si="47"/>
        <v/>
      </c>
      <c r="C253" s="251">
        <f t="shared" si="43"/>
        <v>0</v>
      </c>
      <c r="D253" s="252">
        <f t="shared" si="44"/>
        <v>0</v>
      </c>
      <c r="E253" s="252">
        <f t="shared" si="36"/>
        <v>0</v>
      </c>
      <c r="F253" s="252">
        <f t="shared" si="37"/>
        <v>0</v>
      </c>
      <c r="G253" s="252">
        <f t="shared" si="45"/>
        <v>0</v>
      </c>
      <c r="H253" s="252">
        <f t="shared" si="46"/>
        <v>0</v>
      </c>
      <c r="I253" s="252">
        <f t="shared" si="38"/>
        <v>0</v>
      </c>
      <c r="J253" s="252">
        <f t="shared" si="39"/>
        <v>0</v>
      </c>
      <c r="K253" s="252">
        <f t="shared" si="40"/>
        <v>0</v>
      </c>
      <c r="N253" s="249">
        <f t="shared" si="41"/>
        <v>2</v>
      </c>
    </row>
    <row r="254" spans="1:14">
      <c r="A254" s="249">
        <f t="shared" si="42"/>
        <v>1</v>
      </c>
      <c r="B254" s="250" t="str">
        <f t="shared" si="47"/>
        <v/>
      </c>
      <c r="C254" s="251">
        <f t="shared" si="43"/>
        <v>0</v>
      </c>
      <c r="D254" s="252">
        <f t="shared" si="44"/>
        <v>0</v>
      </c>
      <c r="E254" s="252">
        <f t="shared" si="36"/>
        <v>0</v>
      </c>
      <c r="F254" s="252">
        <f t="shared" si="37"/>
        <v>0</v>
      </c>
      <c r="G254" s="252">
        <f t="shared" si="45"/>
        <v>0</v>
      </c>
      <c r="H254" s="252">
        <f t="shared" si="46"/>
        <v>0</v>
      </c>
      <c r="I254" s="252">
        <f t="shared" si="38"/>
        <v>0</v>
      </c>
      <c r="J254" s="252">
        <f t="shared" si="39"/>
        <v>0</v>
      </c>
      <c r="K254" s="252">
        <f t="shared" si="40"/>
        <v>0</v>
      </c>
      <c r="N254" s="249">
        <f t="shared" si="41"/>
        <v>2</v>
      </c>
    </row>
    <row r="255" spans="1:14">
      <c r="A255" s="249">
        <f t="shared" si="42"/>
        <v>1</v>
      </c>
      <c r="B255" s="250" t="str">
        <f t="shared" si="47"/>
        <v/>
      </c>
      <c r="C255" s="251">
        <f t="shared" si="43"/>
        <v>0</v>
      </c>
      <c r="D255" s="252">
        <f t="shared" si="44"/>
        <v>0</v>
      </c>
      <c r="E255" s="252">
        <f t="shared" si="36"/>
        <v>0</v>
      </c>
      <c r="F255" s="252">
        <f t="shared" si="37"/>
        <v>0</v>
      </c>
      <c r="G255" s="252">
        <f t="shared" si="45"/>
        <v>0</v>
      </c>
      <c r="H255" s="252">
        <f t="shared" si="46"/>
        <v>0</v>
      </c>
      <c r="I255" s="252">
        <f t="shared" si="38"/>
        <v>0</v>
      </c>
      <c r="J255" s="252">
        <f t="shared" si="39"/>
        <v>0</v>
      </c>
      <c r="K255" s="252">
        <f t="shared" si="40"/>
        <v>0</v>
      </c>
      <c r="N255" s="249">
        <f t="shared" si="41"/>
        <v>2</v>
      </c>
    </row>
    <row r="256" spans="1:14">
      <c r="A256" s="249">
        <f t="shared" si="42"/>
        <v>1</v>
      </c>
      <c r="B256" s="250" t="str">
        <f t="shared" si="47"/>
        <v/>
      </c>
      <c r="C256" s="251">
        <f t="shared" si="43"/>
        <v>0</v>
      </c>
      <c r="D256" s="252">
        <f t="shared" si="44"/>
        <v>0</v>
      </c>
      <c r="E256" s="252">
        <f t="shared" si="36"/>
        <v>0</v>
      </c>
      <c r="F256" s="252">
        <f t="shared" si="37"/>
        <v>0</v>
      </c>
      <c r="G256" s="252">
        <f t="shared" si="45"/>
        <v>0</v>
      </c>
      <c r="H256" s="252">
        <f t="shared" si="46"/>
        <v>0</v>
      </c>
      <c r="I256" s="252">
        <f t="shared" si="38"/>
        <v>0</v>
      </c>
      <c r="J256" s="252">
        <f t="shared" si="39"/>
        <v>0</v>
      </c>
      <c r="K256" s="252">
        <f t="shared" si="40"/>
        <v>0</v>
      </c>
      <c r="N256" s="249">
        <f t="shared" si="41"/>
        <v>2</v>
      </c>
    </row>
    <row r="257" spans="1:14">
      <c r="A257" s="249">
        <f t="shared" si="42"/>
        <v>1</v>
      </c>
      <c r="B257" s="250" t="str">
        <f t="shared" si="47"/>
        <v/>
      </c>
      <c r="C257" s="251">
        <f t="shared" si="43"/>
        <v>0</v>
      </c>
      <c r="D257" s="252">
        <f t="shared" si="44"/>
        <v>0</v>
      </c>
      <c r="E257" s="252">
        <f t="shared" si="36"/>
        <v>0</v>
      </c>
      <c r="F257" s="252">
        <f t="shared" si="37"/>
        <v>0</v>
      </c>
      <c r="G257" s="252">
        <f t="shared" si="45"/>
        <v>0</v>
      </c>
      <c r="H257" s="252">
        <f t="shared" si="46"/>
        <v>0</v>
      </c>
      <c r="I257" s="252">
        <f t="shared" si="38"/>
        <v>0</v>
      </c>
      <c r="J257" s="252">
        <f t="shared" si="39"/>
        <v>0</v>
      </c>
      <c r="K257" s="252">
        <f t="shared" si="40"/>
        <v>0</v>
      </c>
      <c r="N257" s="249">
        <f t="shared" si="41"/>
        <v>2</v>
      </c>
    </row>
    <row r="258" spans="1:14">
      <c r="A258" s="249">
        <f t="shared" si="42"/>
        <v>1</v>
      </c>
      <c r="B258" s="250" t="str">
        <f t="shared" si="47"/>
        <v/>
      </c>
      <c r="C258" s="251">
        <f t="shared" si="43"/>
        <v>0</v>
      </c>
      <c r="D258" s="252">
        <f t="shared" si="44"/>
        <v>0</v>
      </c>
      <c r="E258" s="252">
        <f t="shared" si="36"/>
        <v>0</v>
      </c>
      <c r="F258" s="252">
        <f t="shared" si="37"/>
        <v>0</v>
      </c>
      <c r="G258" s="252">
        <f t="shared" si="45"/>
        <v>0</v>
      </c>
      <c r="H258" s="252">
        <f t="shared" si="46"/>
        <v>0</v>
      </c>
      <c r="I258" s="252">
        <f t="shared" si="38"/>
        <v>0</v>
      </c>
      <c r="J258" s="252">
        <f t="shared" si="39"/>
        <v>0</v>
      </c>
      <c r="K258" s="252">
        <f t="shared" si="40"/>
        <v>0</v>
      </c>
      <c r="N258" s="249">
        <f t="shared" si="41"/>
        <v>2</v>
      </c>
    </row>
    <row r="259" spans="1:14">
      <c r="A259" s="249">
        <f t="shared" si="42"/>
        <v>1</v>
      </c>
      <c r="B259" s="250" t="str">
        <f t="shared" si="47"/>
        <v/>
      </c>
      <c r="C259" s="251">
        <f t="shared" si="43"/>
        <v>0</v>
      </c>
      <c r="D259" s="252">
        <f t="shared" si="44"/>
        <v>0</v>
      </c>
      <c r="E259" s="252">
        <f t="shared" si="36"/>
        <v>0</v>
      </c>
      <c r="F259" s="252">
        <f t="shared" si="37"/>
        <v>0</v>
      </c>
      <c r="G259" s="252">
        <f t="shared" si="45"/>
        <v>0</v>
      </c>
      <c r="H259" s="252">
        <f t="shared" si="46"/>
        <v>0</v>
      </c>
      <c r="I259" s="252">
        <f t="shared" si="38"/>
        <v>0</v>
      </c>
      <c r="J259" s="252">
        <f t="shared" si="39"/>
        <v>0</v>
      </c>
      <c r="K259" s="252">
        <f t="shared" si="40"/>
        <v>0</v>
      </c>
      <c r="N259" s="249">
        <f t="shared" si="41"/>
        <v>2</v>
      </c>
    </row>
    <row r="260" spans="1:14">
      <c r="A260" s="249">
        <f t="shared" si="42"/>
        <v>1</v>
      </c>
      <c r="B260" s="250" t="str">
        <f t="shared" si="47"/>
        <v/>
      </c>
      <c r="C260" s="251">
        <f t="shared" si="43"/>
        <v>0</v>
      </c>
      <c r="D260" s="252">
        <f t="shared" si="44"/>
        <v>0</v>
      </c>
      <c r="E260" s="252">
        <f t="shared" si="36"/>
        <v>0</v>
      </c>
      <c r="F260" s="252">
        <f t="shared" si="37"/>
        <v>0</v>
      </c>
      <c r="G260" s="252">
        <f t="shared" si="45"/>
        <v>0</v>
      </c>
      <c r="H260" s="252">
        <f t="shared" si="46"/>
        <v>0</v>
      </c>
      <c r="I260" s="252">
        <f t="shared" si="38"/>
        <v>0</v>
      </c>
      <c r="J260" s="252">
        <f t="shared" si="39"/>
        <v>0</v>
      </c>
      <c r="K260" s="252">
        <f t="shared" si="40"/>
        <v>0</v>
      </c>
      <c r="N260" s="249">
        <f t="shared" si="41"/>
        <v>2</v>
      </c>
    </row>
    <row r="261" spans="1:14">
      <c r="A261" s="249">
        <f t="shared" si="42"/>
        <v>1</v>
      </c>
      <c r="B261" s="250" t="str">
        <f t="shared" si="47"/>
        <v/>
      </c>
      <c r="C261" s="251">
        <f t="shared" si="43"/>
        <v>0</v>
      </c>
      <c r="D261" s="252">
        <f t="shared" si="44"/>
        <v>0</v>
      </c>
      <c r="E261" s="252">
        <f t="shared" si="36"/>
        <v>0</v>
      </c>
      <c r="F261" s="252">
        <f t="shared" si="37"/>
        <v>0</v>
      </c>
      <c r="G261" s="252">
        <f t="shared" si="45"/>
        <v>0</v>
      </c>
      <c r="H261" s="252">
        <f t="shared" si="46"/>
        <v>0</v>
      </c>
      <c r="I261" s="252">
        <f t="shared" si="38"/>
        <v>0</v>
      </c>
      <c r="J261" s="252">
        <f t="shared" si="39"/>
        <v>0</v>
      </c>
      <c r="K261" s="252">
        <f t="shared" si="40"/>
        <v>0</v>
      </c>
      <c r="N261" s="249">
        <f t="shared" si="41"/>
        <v>2</v>
      </c>
    </row>
    <row r="262" spans="1:14">
      <c r="A262" s="249">
        <f t="shared" si="42"/>
        <v>1</v>
      </c>
      <c r="B262" s="250" t="str">
        <f t="shared" si="47"/>
        <v/>
      </c>
      <c r="C262" s="251">
        <f t="shared" si="43"/>
        <v>0</v>
      </c>
      <c r="D262" s="252">
        <f t="shared" si="44"/>
        <v>0</v>
      </c>
      <c r="E262" s="252">
        <f t="shared" si="36"/>
        <v>0</v>
      </c>
      <c r="F262" s="252">
        <f t="shared" si="37"/>
        <v>0</v>
      </c>
      <c r="G262" s="252">
        <f t="shared" si="45"/>
        <v>0</v>
      </c>
      <c r="H262" s="252">
        <f t="shared" si="46"/>
        <v>0</v>
      </c>
      <c r="I262" s="252">
        <f t="shared" si="38"/>
        <v>0</v>
      </c>
      <c r="J262" s="252">
        <f t="shared" si="39"/>
        <v>0</v>
      </c>
      <c r="K262" s="252">
        <f t="shared" si="40"/>
        <v>0</v>
      </c>
      <c r="N262" s="249">
        <f t="shared" si="41"/>
        <v>2</v>
      </c>
    </row>
    <row r="263" spans="1:14">
      <c r="A263" s="249">
        <f t="shared" si="42"/>
        <v>1</v>
      </c>
      <c r="B263" s="250" t="str">
        <f t="shared" si="47"/>
        <v/>
      </c>
      <c r="C263" s="251">
        <f t="shared" si="43"/>
        <v>0</v>
      </c>
      <c r="D263" s="252">
        <f t="shared" si="44"/>
        <v>0</v>
      </c>
      <c r="E263" s="252">
        <f t="shared" si="36"/>
        <v>0</v>
      </c>
      <c r="F263" s="252">
        <f t="shared" si="37"/>
        <v>0</v>
      </c>
      <c r="G263" s="252">
        <f t="shared" si="45"/>
        <v>0</v>
      </c>
      <c r="H263" s="252">
        <f t="shared" si="46"/>
        <v>0</v>
      </c>
      <c r="I263" s="252">
        <f t="shared" si="38"/>
        <v>0</v>
      </c>
      <c r="J263" s="252">
        <f t="shared" si="39"/>
        <v>0</v>
      </c>
      <c r="K263" s="252">
        <f t="shared" si="40"/>
        <v>0</v>
      </c>
      <c r="N263" s="249">
        <f t="shared" si="41"/>
        <v>2</v>
      </c>
    </row>
    <row r="264" spans="1:14">
      <c r="A264" s="249">
        <f t="shared" si="42"/>
        <v>1</v>
      </c>
      <c r="B264" s="250" t="str">
        <f t="shared" si="47"/>
        <v/>
      </c>
      <c r="C264" s="251">
        <f t="shared" si="43"/>
        <v>0</v>
      </c>
      <c r="D264" s="252">
        <f t="shared" si="44"/>
        <v>0</v>
      </c>
      <c r="E264" s="252">
        <f t="shared" si="36"/>
        <v>0</v>
      </c>
      <c r="F264" s="252">
        <f t="shared" si="37"/>
        <v>0</v>
      </c>
      <c r="G264" s="252">
        <f t="shared" si="45"/>
        <v>0</v>
      </c>
      <c r="H264" s="252">
        <f t="shared" si="46"/>
        <v>0</v>
      </c>
      <c r="I264" s="252">
        <f t="shared" si="38"/>
        <v>0</v>
      </c>
      <c r="J264" s="252">
        <f t="shared" si="39"/>
        <v>0</v>
      </c>
      <c r="K264" s="252">
        <f t="shared" si="40"/>
        <v>0</v>
      </c>
      <c r="N264" s="249">
        <f t="shared" si="41"/>
        <v>2</v>
      </c>
    </row>
    <row r="265" spans="1:14">
      <c r="A265" s="249">
        <f t="shared" si="42"/>
        <v>1</v>
      </c>
      <c r="B265" s="250" t="str">
        <f t="shared" si="47"/>
        <v/>
      </c>
      <c r="C265" s="251">
        <f t="shared" si="43"/>
        <v>0</v>
      </c>
      <c r="D265" s="252">
        <f t="shared" si="44"/>
        <v>0</v>
      </c>
      <c r="E265" s="252">
        <f t="shared" si="36"/>
        <v>0</v>
      </c>
      <c r="F265" s="252">
        <f t="shared" si="37"/>
        <v>0</v>
      </c>
      <c r="G265" s="252">
        <f t="shared" si="45"/>
        <v>0</v>
      </c>
      <c r="H265" s="252">
        <f t="shared" si="46"/>
        <v>0</v>
      </c>
      <c r="I265" s="252">
        <f t="shared" si="38"/>
        <v>0</v>
      </c>
      <c r="J265" s="252">
        <f t="shared" si="39"/>
        <v>0</v>
      </c>
      <c r="K265" s="252">
        <f t="shared" si="40"/>
        <v>0</v>
      </c>
      <c r="N265" s="249">
        <f t="shared" si="41"/>
        <v>2</v>
      </c>
    </row>
    <row r="266" spans="1:14">
      <c r="A266" s="249">
        <f t="shared" si="42"/>
        <v>1</v>
      </c>
      <c r="B266" s="250" t="str">
        <f t="shared" si="47"/>
        <v/>
      </c>
      <c r="C266" s="251">
        <f t="shared" si="43"/>
        <v>0</v>
      </c>
      <c r="D266" s="252">
        <f t="shared" si="44"/>
        <v>0</v>
      </c>
      <c r="E266" s="252">
        <f t="shared" si="36"/>
        <v>0</v>
      </c>
      <c r="F266" s="252">
        <f t="shared" si="37"/>
        <v>0</v>
      </c>
      <c r="G266" s="252">
        <f t="shared" si="45"/>
        <v>0</v>
      </c>
      <c r="H266" s="252">
        <f t="shared" si="46"/>
        <v>0</v>
      </c>
      <c r="I266" s="252">
        <f t="shared" si="38"/>
        <v>0</v>
      </c>
      <c r="J266" s="252">
        <f t="shared" si="39"/>
        <v>0</v>
      </c>
      <c r="K266" s="252">
        <f t="shared" si="40"/>
        <v>0</v>
      </c>
      <c r="N266" s="249">
        <f t="shared" si="41"/>
        <v>2</v>
      </c>
    </row>
    <row r="267" spans="1:14">
      <c r="A267" s="249">
        <f t="shared" si="42"/>
        <v>1</v>
      </c>
      <c r="B267" s="250" t="str">
        <f t="shared" si="47"/>
        <v/>
      </c>
      <c r="C267" s="251">
        <f t="shared" si="43"/>
        <v>0</v>
      </c>
      <c r="D267" s="252">
        <f t="shared" si="44"/>
        <v>0</v>
      </c>
      <c r="E267" s="252">
        <f t="shared" si="36"/>
        <v>0</v>
      </c>
      <c r="F267" s="252">
        <f t="shared" si="37"/>
        <v>0</v>
      </c>
      <c r="G267" s="252">
        <f t="shared" si="45"/>
        <v>0</v>
      </c>
      <c r="H267" s="252">
        <f t="shared" si="46"/>
        <v>0</v>
      </c>
      <c r="I267" s="252">
        <f t="shared" si="38"/>
        <v>0</v>
      </c>
      <c r="J267" s="252">
        <f t="shared" si="39"/>
        <v>0</v>
      </c>
      <c r="K267" s="252">
        <f t="shared" si="40"/>
        <v>0</v>
      </c>
      <c r="N267" s="249">
        <f t="shared" si="41"/>
        <v>2</v>
      </c>
    </row>
    <row r="268" spans="1:14">
      <c r="A268" s="249">
        <f t="shared" si="42"/>
        <v>1</v>
      </c>
      <c r="B268" s="250" t="str">
        <f t="shared" si="47"/>
        <v/>
      </c>
      <c r="C268" s="251">
        <f t="shared" si="43"/>
        <v>0</v>
      </c>
      <c r="D268" s="252">
        <f t="shared" si="44"/>
        <v>0</v>
      </c>
      <c r="E268" s="252">
        <f t="shared" si="36"/>
        <v>0</v>
      </c>
      <c r="F268" s="252">
        <f t="shared" si="37"/>
        <v>0</v>
      </c>
      <c r="G268" s="252">
        <f t="shared" si="45"/>
        <v>0</v>
      </c>
      <c r="H268" s="252">
        <f t="shared" si="46"/>
        <v>0</v>
      </c>
      <c r="I268" s="252">
        <f t="shared" si="38"/>
        <v>0</v>
      </c>
      <c r="J268" s="252">
        <f t="shared" si="39"/>
        <v>0</v>
      </c>
      <c r="K268" s="252">
        <f t="shared" si="40"/>
        <v>0</v>
      </c>
      <c r="N268" s="249">
        <f t="shared" si="41"/>
        <v>2</v>
      </c>
    </row>
    <row r="269" spans="1:14">
      <c r="A269" s="249">
        <f t="shared" si="42"/>
        <v>1</v>
      </c>
      <c r="B269" s="250" t="str">
        <f t="shared" si="47"/>
        <v/>
      </c>
      <c r="C269" s="251">
        <f t="shared" si="43"/>
        <v>0</v>
      </c>
      <c r="D269" s="252">
        <f t="shared" si="44"/>
        <v>0</v>
      </c>
      <c r="E269" s="252">
        <f t="shared" si="36"/>
        <v>0</v>
      </c>
      <c r="F269" s="252">
        <f t="shared" si="37"/>
        <v>0</v>
      </c>
      <c r="G269" s="252">
        <f t="shared" si="45"/>
        <v>0</v>
      </c>
      <c r="H269" s="252">
        <f t="shared" si="46"/>
        <v>0</v>
      </c>
      <c r="I269" s="252">
        <f t="shared" si="38"/>
        <v>0</v>
      </c>
      <c r="J269" s="252">
        <f t="shared" si="39"/>
        <v>0</v>
      </c>
      <c r="K269" s="252">
        <f t="shared" si="40"/>
        <v>0</v>
      </c>
      <c r="N269" s="249">
        <f t="shared" si="41"/>
        <v>2</v>
      </c>
    </row>
    <row r="270" spans="1:14">
      <c r="A270" s="249">
        <f t="shared" si="42"/>
        <v>1</v>
      </c>
      <c r="B270" s="250" t="str">
        <f t="shared" si="47"/>
        <v/>
      </c>
      <c r="C270" s="251">
        <f t="shared" si="43"/>
        <v>0</v>
      </c>
      <c r="D270" s="252">
        <f t="shared" si="44"/>
        <v>0</v>
      </c>
      <c r="E270" s="252">
        <f t="shared" si="36"/>
        <v>0</v>
      </c>
      <c r="F270" s="252">
        <f t="shared" si="37"/>
        <v>0</v>
      </c>
      <c r="G270" s="252">
        <f t="shared" si="45"/>
        <v>0</v>
      </c>
      <c r="H270" s="252">
        <f t="shared" si="46"/>
        <v>0</v>
      </c>
      <c r="I270" s="252">
        <f t="shared" si="38"/>
        <v>0</v>
      </c>
      <c r="J270" s="252">
        <f t="shared" si="39"/>
        <v>0</v>
      </c>
      <c r="K270" s="252">
        <f t="shared" si="40"/>
        <v>0</v>
      </c>
      <c r="N270" s="249">
        <f t="shared" si="41"/>
        <v>2</v>
      </c>
    </row>
    <row r="271" spans="1:14">
      <c r="A271" s="249">
        <f t="shared" si="42"/>
        <v>1</v>
      </c>
      <c r="B271" s="250" t="str">
        <f t="shared" si="47"/>
        <v/>
      </c>
      <c r="C271" s="251">
        <f t="shared" si="43"/>
        <v>0</v>
      </c>
      <c r="D271" s="252">
        <f t="shared" si="44"/>
        <v>0</v>
      </c>
      <c r="E271" s="252">
        <f t="shared" si="36"/>
        <v>0</v>
      </c>
      <c r="F271" s="252">
        <f t="shared" si="37"/>
        <v>0</v>
      </c>
      <c r="G271" s="252">
        <f t="shared" si="45"/>
        <v>0</v>
      </c>
      <c r="H271" s="252">
        <f t="shared" si="46"/>
        <v>0</v>
      </c>
      <c r="I271" s="252">
        <f t="shared" si="38"/>
        <v>0</v>
      </c>
      <c r="J271" s="252">
        <f t="shared" si="39"/>
        <v>0</v>
      </c>
      <c r="K271" s="252">
        <f t="shared" si="40"/>
        <v>0</v>
      </c>
      <c r="N271" s="249">
        <f t="shared" si="41"/>
        <v>2</v>
      </c>
    </row>
    <row r="272" spans="1:14">
      <c r="A272" s="249">
        <f t="shared" si="42"/>
        <v>1</v>
      </c>
      <c r="B272" s="250" t="str">
        <f t="shared" si="47"/>
        <v/>
      </c>
      <c r="C272" s="251">
        <f t="shared" si="43"/>
        <v>0</v>
      </c>
      <c r="D272" s="252">
        <f t="shared" si="44"/>
        <v>0</v>
      </c>
      <c r="E272" s="252">
        <f t="shared" si="36"/>
        <v>0</v>
      </c>
      <c r="F272" s="252">
        <f t="shared" si="37"/>
        <v>0</v>
      </c>
      <c r="G272" s="252">
        <f t="shared" si="45"/>
        <v>0</v>
      </c>
      <c r="H272" s="252">
        <f t="shared" si="46"/>
        <v>0</v>
      </c>
      <c r="I272" s="252">
        <f t="shared" si="38"/>
        <v>0</v>
      </c>
      <c r="J272" s="252">
        <f t="shared" si="39"/>
        <v>0</v>
      </c>
      <c r="K272" s="252">
        <f t="shared" si="40"/>
        <v>0</v>
      </c>
      <c r="N272" s="249">
        <f t="shared" si="41"/>
        <v>2</v>
      </c>
    </row>
    <row r="273" spans="1:14">
      <c r="A273" s="249">
        <f t="shared" si="42"/>
        <v>1</v>
      </c>
      <c r="B273" s="250" t="str">
        <f t="shared" si="47"/>
        <v/>
      </c>
      <c r="C273" s="251">
        <f t="shared" si="43"/>
        <v>0</v>
      </c>
      <c r="D273" s="252">
        <f t="shared" si="44"/>
        <v>0</v>
      </c>
      <c r="E273" s="252">
        <f t="shared" si="36"/>
        <v>0</v>
      </c>
      <c r="F273" s="252">
        <f t="shared" si="37"/>
        <v>0</v>
      </c>
      <c r="G273" s="252">
        <f t="shared" si="45"/>
        <v>0</v>
      </c>
      <c r="H273" s="252">
        <f t="shared" si="46"/>
        <v>0</v>
      </c>
      <c r="I273" s="252">
        <f t="shared" si="38"/>
        <v>0</v>
      </c>
      <c r="J273" s="252">
        <f t="shared" si="39"/>
        <v>0</v>
      </c>
      <c r="K273" s="252">
        <f t="shared" si="40"/>
        <v>0</v>
      </c>
      <c r="N273" s="249">
        <f t="shared" si="41"/>
        <v>2</v>
      </c>
    </row>
    <row r="274" spans="1:14">
      <c r="A274" s="249">
        <f t="shared" si="42"/>
        <v>1</v>
      </c>
      <c r="B274" s="250" t="str">
        <f t="shared" si="47"/>
        <v/>
      </c>
      <c r="C274" s="251">
        <f t="shared" si="43"/>
        <v>0</v>
      </c>
      <c r="D274" s="252">
        <f t="shared" si="44"/>
        <v>0</v>
      </c>
      <c r="E274" s="252">
        <f t="shared" si="36"/>
        <v>0</v>
      </c>
      <c r="F274" s="252">
        <f t="shared" si="37"/>
        <v>0</v>
      </c>
      <c r="G274" s="252">
        <f t="shared" si="45"/>
        <v>0</v>
      </c>
      <c r="H274" s="252">
        <f t="shared" si="46"/>
        <v>0</v>
      </c>
      <c r="I274" s="252">
        <f t="shared" si="38"/>
        <v>0</v>
      </c>
      <c r="J274" s="252">
        <f t="shared" si="39"/>
        <v>0</v>
      </c>
      <c r="K274" s="252">
        <f t="shared" si="40"/>
        <v>0</v>
      </c>
      <c r="N274" s="249">
        <f t="shared" si="41"/>
        <v>2</v>
      </c>
    </row>
    <row r="275" spans="1:14">
      <c r="A275" s="249">
        <f t="shared" si="42"/>
        <v>1</v>
      </c>
      <c r="B275" s="250" t="str">
        <f t="shared" si="47"/>
        <v/>
      </c>
      <c r="C275" s="251">
        <f t="shared" si="43"/>
        <v>0</v>
      </c>
      <c r="D275" s="252">
        <f t="shared" si="44"/>
        <v>0</v>
      </c>
      <c r="E275" s="252">
        <f t="shared" si="36"/>
        <v>0</v>
      </c>
      <c r="F275" s="252">
        <f t="shared" si="37"/>
        <v>0</v>
      </c>
      <c r="G275" s="252">
        <f t="shared" si="45"/>
        <v>0</v>
      </c>
      <c r="H275" s="252">
        <f t="shared" si="46"/>
        <v>0</v>
      </c>
      <c r="I275" s="252">
        <f t="shared" si="38"/>
        <v>0</v>
      </c>
      <c r="J275" s="252">
        <f t="shared" si="39"/>
        <v>0</v>
      </c>
      <c r="K275" s="252">
        <f t="shared" si="40"/>
        <v>0</v>
      </c>
      <c r="N275" s="249">
        <f t="shared" si="41"/>
        <v>2</v>
      </c>
    </row>
    <row r="276" spans="1:14">
      <c r="A276" s="249">
        <f t="shared" si="42"/>
        <v>1</v>
      </c>
      <c r="B276" s="250" t="str">
        <f t="shared" si="47"/>
        <v/>
      </c>
      <c r="C276" s="251">
        <f t="shared" si="43"/>
        <v>0</v>
      </c>
      <c r="D276" s="252">
        <f t="shared" si="44"/>
        <v>0</v>
      </c>
      <c r="E276" s="252">
        <f t="shared" si="36"/>
        <v>0</v>
      </c>
      <c r="F276" s="252">
        <f t="shared" si="37"/>
        <v>0</v>
      </c>
      <c r="G276" s="252">
        <f t="shared" si="45"/>
        <v>0</v>
      </c>
      <c r="H276" s="252">
        <f t="shared" si="46"/>
        <v>0</v>
      </c>
      <c r="I276" s="252">
        <f t="shared" si="38"/>
        <v>0</v>
      </c>
      <c r="J276" s="252">
        <f t="shared" si="39"/>
        <v>0</v>
      </c>
      <c r="K276" s="252">
        <f t="shared" si="40"/>
        <v>0</v>
      </c>
      <c r="N276" s="249">
        <f t="shared" si="41"/>
        <v>2</v>
      </c>
    </row>
    <row r="277" spans="1:14">
      <c r="A277" s="249">
        <f t="shared" si="42"/>
        <v>1</v>
      </c>
      <c r="B277" s="250" t="str">
        <f t="shared" si="47"/>
        <v/>
      </c>
      <c r="C277" s="251">
        <f t="shared" si="43"/>
        <v>0</v>
      </c>
      <c r="D277" s="252">
        <f t="shared" si="44"/>
        <v>0</v>
      </c>
      <c r="E277" s="252">
        <f t="shared" si="36"/>
        <v>0</v>
      </c>
      <c r="F277" s="252">
        <f t="shared" si="37"/>
        <v>0</v>
      </c>
      <c r="G277" s="252">
        <f t="shared" si="45"/>
        <v>0</v>
      </c>
      <c r="H277" s="252">
        <f t="shared" si="46"/>
        <v>0</v>
      </c>
      <c r="I277" s="252">
        <f t="shared" si="38"/>
        <v>0</v>
      </c>
      <c r="J277" s="252">
        <f t="shared" si="39"/>
        <v>0</v>
      </c>
      <c r="K277" s="252">
        <f t="shared" si="40"/>
        <v>0</v>
      </c>
      <c r="N277" s="249">
        <f t="shared" si="41"/>
        <v>2</v>
      </c>
    </row>
    <row r="278" spans="1:14">
      <c r="A278" s="249">
        <f t="shared" si="42"/>
        <v>1</v>
      </c>
      <c r="B278" s="250" t="str">
        <f t="shared" si="47"/>
        <v/>
      </c>
      <c r="C278" s="251">
        <f t="shared" si="43"/>
        <v>0</v>
      </c>
      <c r="D278" s="252">
        <f t="shared" si="44"/>
        <v>0</v>
      </c>
      <c r="E278" s="252">
        <f t="shared" si="36"/>
        <v>0</v>
      </c>
      <c r="F278" s="252">
        <f t="shared" si="37"/>
        <v>0</v>
      </c>
      <c r="G278" s="252">
        <f t="shared" si="45"/>
        <v>0</v>
      </c>
      <c r="H278" s="252">
        <f t="shared" si="46"/>
        <v>0</v>
      </c>
      <c r="I278" s="252">
        <f t="shared" si="38"/>
        <v>0</v>
      </c>
      <c r="J278" s="252">
        <f t="shared" si="39"/>
        <v>0</v>
      </c>
      <c r="K278" s="252">
        <f t="shared" si="40"/>
        <v>0</v>
      </c>
      <c r="N278" s="249">
        <f t="shared" si="41"/>
        <v>2</v>
      </c>
    </row>
    <row r="279" spans="1:14">
      <c r="A279" s="249">
        <f t="shared" si="42"/>
        <v>1</v>
      </c>
      <c r="B279" s="250" t="str">
        <f t="shared" si="47"/>
        <v/>
      </c>
      <c r="C279" s="251">
        <f t="shared" si="43"/>
        <v>0</v>
      </c>
      <c r="D279" s="252">
        <f t="shared" si="44"/>
        <v>0</v>
      </c>
      <c r="E279" s="252">
        <f t="shared" si="36"/>
        <v>0</v>
      </c>
      <c r="F279" s="252">
        <f t="shared" si="37"/>
        <v>0</v>
      </c>
      <c r="G279" s="252">
        <f t="shared" si="45"/>
        <v>0</v>
      </c>
      <c r="H279" s="252">
        <f t="shared" si="46"/>
        <v>0</v>
      </c>
      <c r="I279" s="252">
        <f t="shared" si="38"/>
        <v>0</v>
      </c>
      <c r="J279" s="252">
        <f t="shared" si="39"/>
        <v>0</v>
      </c>
      <c r="K279" s="252">
        <f t="shared" si="40"/>
        <v>0</v>
      </c>
      <c r="N279" s="249">
        <f t="shared" si="41"/>
        <v>2</v>
      </c>
    </row>
    <row r="280" spans="1:14">
      <c r="A280" s="249">
        <f t="shared" si="42"/>
        <v>1</v>
      </c>
      <c r="B280" s="250" t="str">
        <f t="shared" si="47"/>
        <v/>
      </c>
      <c r="C280" s="251">
        <f t="shared" si="43"/>
        <v>0</v>
      </c>
      <c r="D280" s="252">
        <f t="shared" si="44"/>
        <v>0</v>
      </c>
      <c r="E280" s="252">
        <f t="shared" si="36"/>
        <v>0</v>
      </c>
      <c r="F280" s="252">
        <f t="shared" si="37"/>
        <v>0</v>
      </c>
      <c r="G280" s="252">
        <f t="shared" si="45"/>
        <v>0</v>
      </c>
      <c r="H280" s="252">
        <f t="shared" si="46"/>
        <v>0</v>
      </c>
      <c r="I280" s="252">
        <f t="shared" si="38"/>
        <v>0</v>
      </c>
      <c r="J280" s="252">
        <f t="shared" si="39"/>
        <v>0</v>
      </c>
      <c r="K280" s="252">
        <f t="shared" si="40"/>
        <v>0</v>
      </c>
      <c r="N280" s="249">
        <f t="shared" si="41"/>
        <v>2</v>
      </c>
    </row>
    <row r="281" spans="1:14">
      <c r="A281" s="249">
        <f t="shared" si="42"/>
        <v>1</v>
      </c>
      <c r="B281" s="250" t="str">
        <f t="shared" si="47"/>
        <v/>
      </c>
      <c r="C281" s="251">
        <f t="shared" si="43"/>
        <v>0</v>
      </c>
      <c r="D281" s="252">
        <f t="shared" si="44"/>
        <v>0</v>
      </c>
      <c r="E281" s="252">
        <f t="shared" si="36"/>
        <v>0</v>
      </c>
      <c r="F281" s="252">
        <f t="shared" si="37"/>
        <v>0</v>
      </c>
      <c r="G281" s="252">
        <f t="shared" si="45"/>
        <v>0</v>
      </c>
      <c r="H281" s="252">
        <f t="shared" si="46"/>
        <v>0</v>
      </c>
      <c r="I281" s="252">
        <f t="shared" si="38"/>
        <v>0</v>
      </c>
      <c r="J281" s="252">
        <f t="shared" si="39"/>
        <v>0</v>
      </c>
      <c r="K281" s="252">
        <f t="shared" si="40"/>
        <v>0</v>
      </c>
      <c r="N281" s="249">
        <f t="shared" si="41"/>
        <v>2</v>
      </c>
    </row>
    <row r="282" spans="1:14">
      <c r="A282" s="249">
        <f t="shared" si="42"/>
        <v>1</v>
      </c>
      <c r="B282" s="250" t="str">
        <f t="shared" si="47"/>
        <v/>
      </c>
      <c r="C282" s="251">
        <f t="shared" si="43"/>
        <v>0</v>
      </c>
      <c r="D282" s="252">
        <f t="shared" si="44"/>
        <v>0</v>
      </c>
      <c r="E282" s="252">
        <f t="shared" si="36"/>
        <v>0</v>
      </c>
      <c r="F282" s="252">
        <f t="shared" si="37"/>
        <v>0</v>
      </c>
      <c r="G282" s="252">
        <f t="shared" si="45"/>
        <v>0</v>
      </c>
      <c r="H282" s="252">
        <f t="shared" si="46"/>
        <v>0</v>
      </c>
      <c r="I282" s="252">
        <f t="shared" si="38"/>
        <v>0</v>
      </c>
      <c r="J282" s="252">
        <f t="shared" si="39"/>
        <v>0</v>
      </c>
      <c r="K282" s="252">
        <f t="shared" si="40"/>
        <v>0</v>
      </c>
      <c r="N282" s="249">
        <f t="shared" si="41"/>
        <v>2</v>
      </c>
    </row>
    <row r="283" spans="1:14">
      <c r="A283" s="249">
        <f t="shared" si="42"/>
        <v>1</v>
      </c>
      <c r="B283" s="250" t="str">
        <f t="shared" si="47"/>
        <v/>
      </c>
      <c r="C283" s="251">
        <f t="shared" si="43"/>
        <v>0</v>
      </c>
      <c r="D283" s="252">
        <f t="shared" si="44"/>
        <v>0</v>
      </c>
      <c r="E283" s="252">
        <f t="shared" si="36"/>
        <v>0</v>
      </c>
      <c r="F283" s="252">
        <f t="shared" si="37"/>
        <v>0</v>
      </c>
      <c r="G283" s="252">
        <f t="shared" si="45"/>
        <v>0</v>
      </c>
      <c r="H283" s="252">
        <f t="shared" si="46"/>
        <v>0</v>
      </c>
      <c r="I283" s="252">
        <f t="shared" si="38"/>
        <v>0</v>
      </c>
      <c r="J283" s="252">
        <f t="shared" si="39"/>
        <v>0</v>
      </c>
      <c r="K283" s="252">
        <f t="shared" si="40"/>
        <v>0</v>
      </c>
      <c r="N283" s="249">
        <f t="shared" si="41"/>
        <v>2</v>
      </c>
    </row>
    <row r="284" spans="1:14">
      <c r="A284" s="249">
        <f t="shared" si="42"/>
        <v>1</v>
      </c>
      <c r="B284" s="250" t="str">
        <f t="shared" si="47"/>
        <v/>
      </c>
      <c r="C284" s="251">
        <f t="shared" si="43"/>
        <v>0</v>
      </c>
      <c r="D284" s="252">
        <f t="shared" si="44"/>
        <v>0</v>
      </c>
      <c r="E284" s="252">
        <f t="shared" si="36"/>
        <v>0</v>
      </c>
      <c r="F284" s="252">
        <f t="shared" si="37"/>
        <v>0</v>
      </c>
      <c r="G284" s="252">
        <f t="shared" si="45"/>
        <v>0</v>
      </c>
      <c r="H284" s="252">
        <f t="shared" si="46"/>
        <v>0</v>
      </c>
      <c r="I284" s="252">
        <f t="shared" si="38"/>
        <v>0</v>
      </c>
      <c r="J284" s="252">
        <f t="shared" si="39"/>
        <v>0</v>
      </c>
      <c r="K284" s="252">
        <f t="shared" si="40"/>
        <v>0</v>
      </c>
      <c r="N284" s="249">
        <f t="shared" si="41"/>
        <v>2</v>
      </c>
    </row>
    <row r="285" spans="1:14">
      <c r="A285" s="249">
        <f t="shared" si="42"/>
        <v>1</v>
      </c>
      <c r="B285" s="250" t="str">
        <f t="shared" si="47"/>
        <v/>
      </c>
      <c r="C285" s="251">
        <f t="shared" si="43"/>
        <v>0</v>
      </c>
      <c r="D285" s="252">
        <f t="shared" si="44"/>
        <v>0</v>
      </c>
      <c r="E285" s="252">
        <f t="shared" si="36"/>
        <v>0</v>
      </c>
      <c r="F285" s="252">
        <f t="shared" si="37"/>
        <v>0</v>
      </c>
      <c r="G285" s="252">
        <f t="shared" si="45"/>
        <v>0</v>
      </c>
      <c r="H285" s="252">
        <f t="shared" si="46"/>
        <v>0</v>
      </c>
      <c r="I285" s="252">
        <f t="shared" si="38"/>
        <v>0</v>
      </c>
      <c r="J285" s="252">
        <f t="shared" si="39"/>
        <v>0</v>
      </c>
      <c r="K285" s="252">
        <f t="shared" si="40"/>
        <v>0</v>
      </c>
      <c r="N285" s="249">
        <f t="shared" si="41"/>
        <v>2</v>
      </c>
    </row>
    <row r="286" spans="1:14">
      <c r="A286" s="249">
        <f t="shared" si="42"/>
        <v>1</v>
      </c>
      <c r="B286" s="250" t="str">
        <f t="shared" si="47"/>
        <v/>
      </c>
      <c r="C286" s="251">
        <f t="shared" si="43"/>
        <v>0</v>
      </c>
      <c r="D286" s="252">
        <f t="shared" si="44"/>
        <v>0</v>
      </c>
      <c r="E286" s="252">
        <f t="shared" si="36"/>
        <v>0</v>
      </c>
      <c r="F286" s="252">
        <f t="shared" si="37"/>
        <v>0</v>
      </c>
      <c r="G286" s="252">
        <f t="shared" si="45"/>
        <v>0</v>
      </c>
      <c r="H286" s="252">
        <f t="shared" si="46"/>
        <v>0</v>
      </c>
      <c r="I286" s="252">
        <f t="shared" si="38"/>
        <v>0</v>
      </c>
      <c r="J286" s="252">
        <f t="shared" si="39"/>
        <v>0</v>
      </c>
      <c r="K286" s="252">
        <f t="shared" si="40"/>
        <v>0</v>
      </c>
      <c r="N286" s="249">
        <f t="shared" si="41"/>
        <v>2</v>
      </c>
    </row>
    <row r="287" spans="1:14">
      <c r="A287" s="249">
        <f t="shared" si="42"/>
        <v>1</v>
      </c>
      <c r="B287" s="250" t="str">
        <f t="shared" si="47"/>
        <v/>
      </c>
      <c r="C287" s="251">
        <f t="shared" si="43"/>
        <v>0</v>
      </c>
      <c r="D287" s="252">
        <f t="shared" si="44"/>
        <v>0</v>
      </c>
      <c r="E287" s="252">
        <f t="shared" si="36"/>
        <v>0</v>
      </c>
      <c r="F287" s="252">
        <f t="shared" si="37"/>
        <v>0</v>
      </c>
      <c r="G287" s="252">
        <f t="shared" si="45"/>
        <v>0</v>
      </c>
      <c r="H287" s="252">
        <f t="shared" si="46"/>
        <v>0</v>
      </c>
      <c r="I287" s="252">
        <f t="shared" si="38"/>
        <v>0</v>
      </c>
      <c r="J287" s="252">
        <f t="shared" si="39"/>
        <v>0</v>
      </c>
      <c r="K287" s="252">
        <f t="shared" si="40"/>
        <v>0</v>
      </c>
      <c r="N287" s="249">
        <f t="shared" si="41"/>
        <v>2</v>
      </c>
    </row>
    <row r="288" spans="1:14">
      <c r="A288" s="249">
        <f t="shared" si="42"/>
        <v>1</v>
      </c>
      <c r="B288" s="250" t="str">
        <f t="shared" si="47"/>
        <v/>
      </c>
      <c r="C288" s="251">
        <f t="shared" si="43"/>
        <v>0</v>
      </c>
      <c r="D288" s="252">
        <f t="shared" si="44"/>
        <v>0</v>
      </c>
      <c r="E288" s="252">
        <f t="shared" si="36"/>
        <v>0</v>
      </c>
      <c r="F288" s="252">
        <f t="shared" si="37"/>
        <v>0</v>
      </c>
      <c r="G288" s="252">
        <f t="shared" si="45"/>
        <v>0</v>
      </c>
      <c r="H288" s="252">
        <f t="shared" si="46"/>
        <v>0</v>
      </c>
      <c r="I288" s="252">
        <f t="shared" si="38"/>
        <v>0</v>
      </c>
      <c r="J288" s="252">
        <f t="shared" si="39"/>
        <v>0</v>
      </c>
      <c r="K288" s="252">
        <f t="shared" si="40"/>
        <v>0</v>
      </c>
      <c r="N288" s="249">
        <f t="shared" si="41"/>
        <v>2</v>
      </c>
    </row>
    <row r="289" spans="1:14">
      <c r="A289" s="249">
        <f t="shared" si="42"/>
        <v>1</v>
      </c>
      <c r="B289" s="250" t="str">
        <f t="shared" si="47"/>
        <v/>
      </c>
      <c r="C289" s="251">
        <f t="shared" si="43"/>
        <v>0</v>
      </c>
      <c r="D289" s="252">
        <f t="shared" si="44"/>
        <v>0</v>
      </c>
      <c r="E289" s="252">
        <f t="shared" si="36"/>
        <v>0</v>
      </c>
      <c r="F289" s="252">
        <f t="shared" si="37"/>
        <v>0</v>
      </c>
      <c r="G289" s="252">
        <f t="shared" si="45"/>
        <v>0</v>
      </c>
      <c r="H289" s="252">
        <f t="shared" si="46"/>
        <v>0</v>
      </c>
      <c r="I289" s="252">
        <f t="shared" si="38"/>
        <v>0</v>
      </c>
      <c r="J289" s="252">
        <f t="shared" si="39"/>
        <v>0</v>
      </c>
      <c r="K289" s="252">
        <f t="shared" si="40"/>
        <v>0</v>
      </c>
      <c r="N289" s="249">
        <f t="shared" si="41"/>
        <v>2</v>
      </c>
    </row>
    <row r="290" spans="1:14">
      <c r="A290" s="249">
        <f t="shared" si="42"/>
        <v>1</v>
      </c>
      <c r="B290" s="250" t="str">
        <f t="shared" si="47"/>
        <v/>
      </c>
      <c r="C290" s="251">
        <f t="shared" si="43"/>
        <v>0</v>
      </c>
      <c r="D290" s="252">
        <f t="shared" si="44"/>
        <v>0</v>
      </c>
      <c r="E290" s="252">
        <f t="shared" si="36"/>
        <v>0</v>
      </c>
      <c r="F290" s="252">
        <f t="shared" si="37"/>
        <v>0</v>
      </c>
      <c r="G290" s="252">
        <f t="shared" si="45"/>
        <v>0</v>
      </c>
      <c r="H290" s="252">
        <f t="shared" si="46"/>
        <v>0</v>
      </c>
      <c r="I290" s="252">
        <f t="shared" si="38"/>
        <v>0</v>
      </c>
      <c r="J290" s="252">
        <f t="shared" si="39"/>
        <v>0</v>
      </c>
      <c r="K290" s="252">
        <f t="shared" si="40"/>
        <v>0</v>
      </c>
      <c r="N290" s="249">
        <f t="shared" si="41"/>
        <v>2</v>
      </c>
    </row>
    <row r="291" spans="1:14">
      <c r="A291" s="249">
        <f t="shared" si="42"/>
        <v>1</v>
      </c>
      <c r="B291" s="250" t="str">
        <f t="shared" si="47"/>
        <v/>
      </c>
      <c r="C291" s="251">
        <f t="shared" si="43"/>
        <v>0</v>
      </c>
      <c r="D291" s="252">
        <f t="shared" si="44"/>
        <v>0</v>
      </c>
      <c r="E291" s="252">
        <f t="shared" si="36"/>
        <v>0</v>
      </c>
      <c r="F291" s="252">
        <f t="shared" si="37"/>
        <v>0</v>
      </c>
      <c r="G291" s="252">
        <f t="shared" si="45"/>
        <v>0</v>
      </c>
      <c r="H291" s="252">
        <f t="shared" si="46"/>
        <v>0</v>
      </c>
      <c r="I291" s="252">
        <f t="shared" si="38"/>
        <v>0</v>
      </c>
      <c r="J291" s="252">
        <f t="shared" si="39"/>
        <v>0</v>
      </c>
      <c r="K291" s="252">
        <f t="shared" si="40"/>
        <v>0</v>
      </c>
      <c r="N291" s="249">
        <f t="shared" si="41"/>
        <v>2</v>
      </c>
    </row>
    <row r="292" spans="1:14">
      <c r="A292" s="249">
        <f t="shared" si="42"/>
        <v>1</v>
      </c>
      <c r="B292" s="250" t="str">
        <f t="shared" si="47"/>
        <v/>
      </c>
      <c r="C292" s="251">
        <f t="shared" si="43"/>
        <v>0</v>
      </c>
      <c r="D292" s="252">
        <f t="shared" si="44"/>
        <v>0</v>
      </c>
      <c r="E292" s="252">
        <f t="shared" si="36"/>
        <v>0</v>
      </c>
      <c r="F292" s="252">
        <f t="shared" si="37"/>
        <v>0</v>
      </c>
      <c r="G292" s="252">
        <f t="shared" si="45"/>
        <v>0</v>
      </c>
      <c r="H292" s="252">
        <f t="shared" si="46"/>
        <v>0</v>
      </c>
      <c r="I292" s="252">
        <f t="shared" si="38"/>
        <v>0</v>
      </c>
      <c r="J292" s="252">
        <f t="shared" si="39"/>
        <v>0</v>
      </c>
      <c r="K292" s="252">
        <f t="shared" si="40"/>
        <v>0</v>
      </c>
      <c r="N292" s="249">
        <f t="shared" si="41"/>
        <v>2</v>
      </c>
    </row>
    <row r="293" spans="1:14">
      <c r="A293" s="249">
        <f t="shared" si="42"/>
        <v>1</v>
      </c>
      <c r="B293" s="250" t="str">
        <f t="shared" si="47"/>
        <v/>
      </c>
      <c r="C293" s="251">
        <f t="shared" si="43"/>
        <v>0</v>
      </c>
      <c r="D293" s="252">
        <f t="shared" si="44"/>
        <v>0</v>
      </c>
      <c r="E293" s="252">
        <f t="shared" si="36"/>
        <v>0</v>
      </c>
      <c r="F293" s="252">
        <f t="shared" si="37"/>
        <v>0</v>
      </c>
      <c r="G293" s="252">
        <f t="shared" si="45"/>
        <v>0</v>
      </c>
      <c r="H293" s="252">
        <f t="shared" si="46"/>
        <v>0</v>
      </c>
      <c r="I293" s="252">
        <f t="shared" si="38"/>
        <v>0</v>
      </c>
      <c r="J293" s="252">
        <f t="shared" si="39"/>
        <v>0</v>
      </c>
      <c r="K293" s="252">
        <f t="shared" si="40"/>
        <v>0</v>
      </c>
      <c r="N293" s="249">
        <f t="shared" si="41"/>
        <v>2</v>
      </c>
    </row>
    <row r="294" spans="1:14">
      <c r="A294" s="249">
        <f t="shared" si="42"/>
        <v>1</v>
      </c>
      <c r="B294" s="250" t="str">
        <f t="shared" si="47"/>
        <v/>
      </c>
      <c r="C294" s="251">
        <f t="shared" si="43"/>
        <v>0</v>
      </c>
      <c r="D294" s="252">
        <f t="shared" si="44"/>
        <v>0</v>
      </c>
      <c r="E294" s="252">
        <f t="shared" si="36"/>
        <v>0</v>
      </c>
      <c r="F294" s="252">
        <f t="shared" si="37"/>
        <v>0</v>
      </c>
      <c r="G294" s="252">
        <f t="shared" si="45"/>
        <v>0</v>
      </c>
      <c r="H294" s="252">
        <f t="shared" si="46"/>
        <v>0</v>
      </c>
      <c r="I294" s="252">
        <f t="shared" si="38"/>
        <v>0</v>
      </c>
      <c r="J294" s="252">
        <f t="shared" si="39"/>
        <v>0</v>
      </c>
      <c r="K294" s="252">
        <f t="shared" si="40"/>
        <v>0</v>
      </c>
      <c r="N294" s="249">
        <f t="shared" si="41"/>
        <v>2</v>
      </c>
    </row>
    <row r="295" spans="1:14">
      <c r="A295" s="249">
        <f t="shared" si="42"/>
        <v>1</v>
      </c>
      <c r="B295" s="250" t="str">
        <f t="shared" si="47"/>
        <v/>
      </c>
      <c r="C295" s="251">
        <f t="shared" si="43"/>
        <v>0</v>
      </c>
      <c r="D295" s="252">
        <f t="shared" si="44"/>
        <v>0</v>
      </c>
      <c r="E295" s="252">
        <f t="shared" ref="E295:E358" si="48">IF($C295,D295-F295-J295,0)</f>
        <v>0</v>
      </c>
      <c r="F295" s="252">
        <f t="shared" ref="F295:F358" si="49">IF(Pay_at=1,IF(C295,ROUND((+C295)*IF(Loan_Schedule_Type=1,$E$20,IF(Loan_Schedule_Type=2,$E$26,$I$31))/SUMIF($M$15:$M$19,$I$16,$N$15:$N$19),2),0),IF(C295,ROUND((+C295-D295)*IF(Loan_Schedule_Type=1,$E$20,IF(Loan_Schedule_Type=2,$E$26,$I$31))/SUMIF($M$15:$M$19,$I$16,$N$15:$N$19),2),0))</f>
        <v>0</v>
      </c>
      <c r="G295" s="252">
        <f t="shared" si="45"/>
        <v>0</v>
      </c>
      <c r="H295" s="252">
        <f t="shared" si="46"/>
        <v>0</v>
      </c>
      <c r="I295" s="252">
        <f t="shared" ref="I295:I358" si="50">IF(C295,C295-E295-J295,0)</f>
        <v>0</v>
      </c>
      <c r="J295" s="252">
        <f t="shared" ref="J295:J358" si="51">IF(D295=0,0,ROUND((D295-F295)/IF(Loan_Schedule_Type=1,$E$19,IF(Loan_Schedule_Type=2,$E$25,$E$31))*IF(Loan_Schedule_Type=1,$J$21,IF(Loan_Schedule_Type=2,$J$27,$J$33)),2))</f>
        <v>0</v>
      </c>
      <c r="K295" s="252">
        <f t="shared" ref="K295:K358" si="52">ROUND(J295/11,2)</f>
        <v>0</v>
      </c>
      <c r="N295" s="249">
        <f t="shared" ref="N295:N358" si="53">IF(B295&lt;$I$10,0,IF(B295&gt;($I$10+364),2,1))</f>
        <v>2</v>
      </c>
    </row>
    <row r="296" spans="1:14">
      <c r="A296" s="249">
        <f t="shared" ref="A296:A359" si="54">IF(C296&gt;0,+A295+1,A295)</f>
        <v>1</v>
      </c>
      <c r="B296" s="250" t="str">
        <f t="shared" si="47"/>
        <v/>
      </c>
      <c r="C296" s="251">
        <f t="shared" ref="C296:C359" si="55">IF(+I295&gt;0.01,I295,0)</f>
        <v>0</v>
      </c>
      <c r="D296" s="252">
        <f t="shared" ref="D296:D359" si="56">IF(C296&gt;0.01,IF(Pay_at=1,IF(A296=IF(Loan_Schedule_Type=1,$I$19,IF(Loan_Schedule_Type=2,$E$27,$E$33)),C296+F296,D295),IF(A296=IF(Loan_Schedule_Type=1,$I$19,IF(Loan_Schedule_Type=2,$E$27,$E$33)),C296,D295)),0)</f>
        <v>0</v>
      </c>
      <c r="E296" s="252">
        <f t="shared" si="48"/>
        <v>0</v>
      </c>
      <c r="F296" s="252">
        <f t="shared" si="49"/>
        <v>0</v>
      </c>
      <c r="G296" s="252">
        <f t="shared" ref="G296:G359" si="57">IF(C296,G295+E296+J296,0)</f>
        <v>0</v>
      </c>
      <c r="H296" s="252">
        <f t="shared" ref="H296:H359" si="58">IF(C296,H295+F296,0)</f>
        <v>0</v>
      </c>
      <c r="I296" s="252">
        <f t="shared" si="50"/>
        <v>0</v>
      </c>
      <c r="J296" s="252">
        <f t="shared" si="51"/>
        <v>0</v>
      </c>
      <c r="K296" s="252">
        <f t="shared" si="52"/>
        <v>0</v>
      </c>
      <c r="N296" s="249">
        <f t="shared" si="53"/>
        <v>2</v>
      </c>
    </row>
    <row r="297" spans="1:14">
      <c r="A297" s="249">
        <f t="shared" si="54"/>
        <v>1</v>
      </c>
      <c r="B297" s="250" t="str">
        <f t="shared" ref="B297:B360" si="59">IF(A297&gt;$E$33,"",IF($I$16="weekly",B296+7,IF($I$16="fortnightly",B296+14,IF($I$16="monthly",DATE(YEAR(B296),MONTH(B296)+1,DAY(1)),IF($I$16="6 monthly",DATE(YEAR(B296),MONTH(B296)+6,DAY(1)),IF($I$16="Annually",DATE(YEAR(B296)+1,MONTH(B296),DAY(B296))))))))</f>
        <v/>
      </c>
      <c r="C297" s="251">
        <f t="shared" si="55"/>
        <v>0</v>
      </c>
      <c r="D297" s="252">
        <f t="shared" si="56"/>
        <v>0</v>
      </c>
      <c r="E297" s="252">
        <f t="shared" si="48"/>
        <v>0</v>
      </c>
      <c r="F297" s="252">
        <f t="shared" si="49"/>
        <v>0</v>
      </c>
      <c r="G297" s="252">
        <f t="shared" si="57"/>
        <v>0</v>
      </c>
      <c r="H297" s="252">
        <f t="shared" si="58"/>
        <v>0</v>
      </c>
      <c r="I297" s="252">
        <f t="shared" si="50"/>
        <v>0</v>
      </c>
      <c r="J297" s="252">
        <f t="shared" si="51"/>
        <v>0</v>
      </c>
      <c r="K297" s="252">
        <f t="shared" si="52"/>
        <v>0</v>
      </c>
      <c r="N297" s="249">
        <f t="shared" si="53"/>
        <v>2</v>
      </c>
    </row>
    <row r="298" spans="1:14">
      <c r="A298" s="249">
        <f t="shared" si="54"/>
        <v>1</v>
      </c>
      <c r="B298" s="250" t="str">
        <f t="shared" si="59"/>
        <v/>
      </c>
      <c r="C298" s="251">
        <f t="shared" si="55"/>
        <v>0</v>
      </c>
      <c r="D298" s="252">
        <f t="shared" si="56"/>
        <v>0</v>
      </c>
      <c r="E298" s="252">
        <f t="shared" si="48"/>
        <v>0</v>
      </c>
      <c r="F298" s="252">
        <f t="shared" si="49"/>
        <v>0</v>
      </c>
      <c r="G298" s="252">
        <f t="shared" si="57"/>
        <v>0</v>
      </c>
      <c r="H298" s="252">
        <f t="shared" si="58"/>
        <v>0</v>
      </c>
      <c r="I298" s="252">
        <f t="shared" si="50"/>
        <v>0</v>
      </c>
      <c r="J298" s="252">
        <f t="shared" si="51"/>
        <v>0</v>
      </c>
      <c r="K298" s="252">
        <f t="shared" si="52"/>
        <v>0</v>
      </c>
      <c r="N298" s="249">
        <f t="shared" si="53"/>
        <v>2</v>
      </c>
    </row>
    <row r="299" spans="1:14">
      <c r="A299" s="249">
        <f t="shared" si="54"/>
        <v>1</v>
      </c>
      <c r="B299" s="250" t="str">
        <f t="shared" si="59"/>
        <v/>
      </c>
      <c r="C299" s="251">
        <f t="shared" si="55"/>
        <v>0</v>
      </c>
      <c r="D299" s="252">
        <f t="shared" si="56"/>
        <v>0</v>
      </c>
      <c r="E299" s="252">
        <f t="shared" si="48"/>
        <v>0</v>
      </c>
      <c r="F299" s="252">
        <f t="shared" si="49"/>
        <v>0</v>
      </c>
      <c r="G299" s="252">
        <f t="shared" si="57"/>
        <v>0</v>
      </c>
      <c r="H299" s="252">
        <f t="shared" si="58"/>
        <v>0</v>
      </c>
      <c r="I299" s="252">
        <f t="shared" si="50"/>
        <v>0</v>
      </c>
      <c r="J299" s="252">
        <f t="shared" si="51"/>
        <v>0</v>
      </c>
      <c r="K299" s="252">
        <f t="shared" si="52"/>
        <v>0</v>
      </c>
      <c r="N299" s="249">
        <f t="shared" si="53"/>
        <v>2</v>
      </c>
    </row>
    <row r="300" spans="1:14">
      <c r="A300" s="249">
        <f t="shared" si="54"/>
        <v>1</v>
      </c>
      <c r="B300" s="250" t="str">
        <f t="shared" si="59"/>
        <v/>
      </c>
      <c r="C300" s="251">
        <f t="shared" si="55"/>
        <v>0</v>
      </c>
      <c r="D300" s="252">
        <f t="shared" si="56"/>
        <v>0</v>
      </c>
      <c r="E300" s="252">
        <f t="shared" si="48"/>
        <v>0</v>
      </c>
      <c r="F300" s="252">
        <f t="shared" si="49"/>
        <v>0</v>
      </c>
      <c r="G300" s="252">
        <f t="shared" si="57"/>
        <v>0</v>
      </c>
      <c r="H300" s="252">
        <f t="shared" si="58"/>
        <v>0</v>
      </c>
      <c r="I300" s="252">
        <f t="shared" si="50"/>
        <v>0</v>
      </c>
      <c r="J300" s="252">
        <f t="shared" si="51"/>
        <v>0</v>
      </c>
      <c r="K300" s="252">
        <f t="shared" si="52"/>
        <v>0</v>
      </c>
      <c r="N300" s="249">
        <f t="shared" si="53"/>
        <v>2</v>
      </c>
    </row>
    <row r="301" spans="1:14">
      <c r="A301" s="249">
        <f t="shared" si="54"/>
        <v>1</v>
      </c>
      <c r="B301" s="250" t="str">
        <f t="shared" si="59"/>
        <v/>
      </c>
      <c r="C301" s="251">
        <f t="shared" si="55"/>
        <v>0</v>
      </c>
      <c r="D301" s="252">
        <f t="shared" si="56"/>
        <v>0</v>
      </c>
      <c r="E301" s="252">
        <f t="shared" si="48"/>
        <v>0</v>
      </c>
      <c r="F301" s="252">
        <f t="shared" si="49"/>
        <v>0</v>
      </c>
      <c r="G301" s="252">
        <f t="shared" si="57"/>
        <v>0</v>
      </c>
      <c r="H301" s="252">
        <f t="shared" si="58"/>
        <v>0</v>
      </c>
      <c r="I301" s="252">
        <f t="shared" si="50"/>
        <v>0</v>
      </c>
      <c r="J301" s="252">
        <f t="shared" si="51"/>
        <v>0</v>
      </c>
      <c r="K301" s="252">
        <f t="shared" si="52"/>
        <v>0</v>
      </c>
      <c r="N301" s="249">
        <f t="shared" si="53"/>
        <v>2</v>
      </c>
    </row>
    <row r="302" spans="1:14">
      <c r="A302" s="249">
        <f t="shared" si="54"/>
        <v>1</v>
      </c>
      <c r="B302" s="250" t="str">
        <f t="shared" si="59"/>
        <v/>
      </c>
      <c r="C302" s="251">
        <f t="shared" si="55"/>
        <v>0</v>
      </c>
      <c r="D302" s="252">
        <f t="shared" si="56"/>
        <v>0</v>
      </c>
      <c r="E302" s="252">
        <f t="shared" si="48"/>
        <v>0</v>
      </c>
      <c r="F302" s="252">
        <f t="shared" si="49"/>
        <v>0</v>
      </c>
      <c r="G302" s="252">
        <f t="shared" si="57"/>
        <v>0</v>
      </c>
      <c r="H302" s="252">
        <f t="shared" si="58"/>
        <v>0</v>
      </c>
      <c r="I302" s="252">
        <f t="shared" si="50"/>
        <v>0</v>
      </c>
      <c r="J302" s="252">
        <f t="shared" si="51"/>
        <v>0</v>
      </c>
      <c r="K302" s="252">
        <f t="shared" si="52"/>
        <v>0</v>
      </c>
      <c r="N302" s="249">
        <f t="shared" si="53"/>
        <v>2</v>
      </c>
    </row>
    <row r="303" spans="1:14">
      <c r="A303" s="249">
        <f t="shared" si="54"/>
        <v>1</v>
      </c>
      <c r="B303" s="250" t="str">
        <f t="shared" si="59"/>
        <v/>
      </c>
      <c r="C303" s="251">
        <f t="shared" si="55"/>
        <v>0</v>
      </c>
      <c r="D303" s="252">
        <f t="shared" si="56"/>
        <v>0</v>
      </c>
      <c r="E303" s="252">
        <f t="shared" si="48"/>
        <v>0</v>
      </c>
      <c r="F303" s="252">
        <f t="shared" si="49"/>
        <v>0</v>
      </c>
      <c r="G303" s="252">
        <f t="shared" si="57"/>
        <v>0</v>
      </c>
      <c r="H303" s="252">
        <f t="shared" si="58"/>
        <v>0</v>
      </c>
      <c r="I303" s="252">
        <f t="shared" si="50"/>
        <v>0</v>
      </c>
      <c r="J303" s="252">
        <f t="shared" si="51"/>
        <v>0</v>
      </c>
      <c r="K303" s="252">
        <f t="shared" si="52"/>
        <v>0</v>
      </c>
      <c r="N303" s="249">
        <f t="shared" si="53"/>
        <v>2</v>
      </c>
    </row>
    <row r="304" spans="1:14">
      <c r="A304" s="249">
        <f t="shared" si="54"/>
        <v>1</v>
      </c>
      <c r="B304" s="250" t="str">
        <f t="shared" si="59"/>
        <v/>
      </c>
      <c r="C304" s="251">
        <f t="shared" si="55"/>
        <v>0</v>
      </c>
      <c r="D304" s="252">
        <f t="shared" si="56"/>
        <v>0</v>
      </c>
      <c r="E304" s="252">
        <f t="shared" si="48"/>
        <v>0</v>
      </c>
      <c r="F304" s="252">
        <f t="shared" si="49"/>
        <v>0</v>
      </c>
      <c r="G304" s="252">
        <f t="shared" si="57"/>
        <v>0</v>
      </c>
      <c r="H304" s="252">
        <f t="shared" si="58"/>
        <v>0</v>
      </c>
      <c r="I304" s="252">
        <f t="shared" si="50"/>
        <v>0</v>
      </c>
      <c r="J304" s="252">
        <f t="shared" si="51"/>
        <v>0</v>
      </c>
      <c r="K304" s="252">
        <f t="shared" si="52"/>
        <v>0</v>
      </c>
      <c r="N304" s="249">
        <f t="shared" si="53"/>
        <v>2</v>
      </c>
    </row>
    <row r="305" spans="1:14">
      <c r="A305" s="249">
        <f t="shared" si="54"/>
        <v>1</v>
      </c>
      <c r="B305" s="250" t="str">
        <f t="shared" si="59"/>
        <v/>
      </c>
      <c r="C305" s="251">
        <f t="shared" si="55"/>
        <v>0</v>
      </c>
      <c r="D305" s="252">
        <f t="shared" si="56"/>
        <v>0</v>
      </c>
      <c r="E305" s="252">
        <f t="shared" si="48"/>
        <v>0</v>
      </c>
      <c r="F305" s="252">
        <f t="shared" si="49"/>
        <v>0</v>
      </c>
      <c r="G305" s="252">
        <f t="shared" si="57"/>
        <v>0</v>
      </c>
      <c r="H305" s="252">
        <f t="shared" si="58"/>
        <v>0</v>
      </c>
      <c r="I305" s="252">
        <f t="shared" si="50"/>
        <v>0</v>
      </c>
      <c r="J305" s="252">
        <f t="shared" si="51"/>
        <v>0</v>
      </c>
      <c r="K305" s="252">
        <f t="shared" si="52"/>
        <v>0</v>
      </c>
      <c r="N305" s="249">
        <f t="shared" si="53"/>
        <v>2</v>
      </c>
    </row>
    <row r="306" spans="1:14">
      <c r="A306" s="249">
        <f t="shared" si="54"/>
        <v>1</v>
      </c>
      <c r="B306" s="250" t="str">
        <f t="shared" si="59"/>
        <v/>
      </c>
      <c r="C306" s="251">
        <f t="shared" si="55"/>
        <v>0</v>
      </c>
      <c r="D306" s="252">
        <f t="shared" si="56"/>
        <v>0</v>
      </c>
      <c r="E306" s="252">
        <f t="shared" si="48"/>
        <v>0</v>
      </c>
      <c r="F306" s="252">
        <f t="shared" si="49"/>
        <v>0</v>
      </c>
      <c r="G306" s="252">
        <f t="shared" si="57"/>
        <v>0</v>
      </c>
      <c r="H306" s="252">
        <f t="shared" si="58"/>
        <v>0</v>
      </c>
      <c r="I306" s="252">
        <f t="shared" si="50"/>
        <v>0</v>
      </c>
      <c r="J306" s="252">
        <f t="shared" si="51"/>
        <v>0</v>
      </c>
      <c r="K306" s="252">
        <f t="shared" si="52"/>
        <v>0</v>
      </c>
      <c r="N306" s="249">
        <f t="shared" si="53"/>
        <v>2</v>
      </c>
    </row>
    <row r="307" spans="1:14">
      <c r="A307" s="249">
        <f t="shared" si="54"/>
        <v>1</v>
      </c>
      <c r="B307" s="250" t="str">
        <f t="shared" si="59"/>
        <v/>
      </c>
      <c r="C307" s="251">
        <f t="shared" si="55"/>
        <v>0</v>
      </c>
      <c r="D307" s="252">
        <f t="shared" si="56"/>
        <v>0</v>
      </c>
      <c r="E307" s="252">
        <f t="shared" si="48"/>
        <v>0</v>
      </c>
      <c r="F307" s="252">
        <f t="shared" si="49"/>
        <v>0</v>
      </c>
      <c r="G307" s="252">
        <f t="shared" si="57"/>
        <v>0</v>
      </c>
      <c r="H307" s="252">
        <f t="shared" si="58"/>
        <v>0</v>
      </c>
      <c r="I307" s="252">
        <f t="shared" si="50"/>
        <v>0</v>
      </c>
      <c r="J307" s="252">
        <f t="shared" si="51"/>
        <v>0</v>
      </c>
      <c r="K307" s="252">
        <f t="shared" si="52"/>
        <v>0</v>
      </c>
      <c r="N307" s="249">
        <f t="shared" si="53"/>
        <v>2</v>
      </c>
    </row>
    <row r="308" spans="1:14">
      <c r="A308" s="249">
        <f t="shared" si="54"/>
        <v>1</v>
      </c>
      <c r="B308" s="250" t="str">
        <f t="shared" si="59"/>
        <v/>
      </c>
      <c r="C308" s="251">
        <f t="shared" si="55"/>
        <v>0</v>
      </c>
      <c r="D308" s="252">
        <f t="shared" si="56"/>
        <v>0</v>
      </c>
      <c r="E308" s="252">
        <f t="shared" si="48"/>
        <v>0</v>
      </c>
      <c r="F308" s="252">
        <f t="shared" si="49"/>
        <v>0</v>
      </c>
      <c r="G308" s="252">
        <f t="shared" si="57"/>
        <v>0</v>
      </c>
      <c r="H308" s="252">
        <f t="shared" si="58"/>
        <v>0</v>
      </c>
      <c r="I308" s="252">
        <f t="shared" si="50"/>
        <v>0</v>
      </c>
      <c r="J308" s="252">
        <f t="shared" si="51"/>
        <v>0</v>
      </c>
      <c r="K308" s="252">
        <f t="shared" si="52"/>
        <v>0</v>
      </c>
      <c r="N308" s="249">
        <f t="shared" si="53"/>
        <v>2</v>
      </c>
    </row>
    <row r="309" spans="1:14">
      <c r="A309" s="249">
        <f t="shared" si="54"/>
        <v>1</v>
      </c>
      <c r="B309" s="250" t="str">
        <f t="shared" si="59"/>
        <v/>
      </c>
      <c r="C309" s="251">
        <f t="shared" si="55"/>
        <v>0</v>
      </c>
      <c r="D309" s="252">
        <f t="shared" si="56"/>
        <v>0</v>
      </c>
      <c r="E309" s="252">
        <f t="shared" si="48"/>
        <v>0</v>
      </c>
      <c r="F309" s="252">
        <f t="shared" si="49"/>
        <v>0</v>
      </c>
      <c r="G309" s="252">
        <f t="shared" si="57"/>
        <v>0</v>
      </c>
      <c r="H309" s="252">
        <f t="shared" si="58"/>
        <v>0</v>
      </c>
      <c r="I309" s="252">
        <f t="shared" si="50"/>
        <v>0</v>
      </c>
      <c r="J309" s="252">
        <f t="shared" si="51"/>
        <v>0</v>
      </c>
      <c r="K309" s="252">
        <f t="shared" si="52"/>
        <v>0</v>
      </c>
      <c r="N309" s="249">
        <f t="shared" si="53"/>
        <v>2</v>
      </c>
    </row>
    <row r="310" spans="1:14">
      <c r="A310" s="249">
        <f t="shared" si="54"/>
        <v>1</v>
      </c>
      <c r="B310" s="250" t="str">
        <f t="shared" si="59"/>
        <v/>
      </c>
      <c r="C310" s="251">
        <f t="shared" si="55"/>
        <v>0</v>
      </c>
      <c r="D310" s="252">
        <f t="shared" si="56"/>
        <v>0</v>
      </c>
      <c r="E310" s="252">
        <f t="shared" si="48"/>
        <v>0</v>
      </c>
      <c r="F310" s="252">
        <f t="shared" si="49"/>
        <v>0</v>
      </c>
      <c r="G310" s="252">
        <f t="shared" si="57"/>
        <v>0</v>
      </c>
      <c r="H310" s="252">
        <f t="shared" si="58"/>
        <v>0</v>
      </c>
      <c r="I310" s="252">
        <f t="shared" si="50"/>
        <v>0</v>
      </c>
      <c r="J310" s="252">
        <f t="shared" si="51"/>
        <v>0</v>
      </c>
      <c r="K310" s="252">
        <f t="shared" si="52"/>
        <v>0</v>
      </c>
      <c r="N310" s="249">
        <f t="shared" si="53"/>
        <v>2</v>
      </c>
    </row>
    <row r="311" spans="1:14">
      <c r="A311" s="249">
        <f t="shared" si="54"/>
        <v>1</v>
      </c>
      <c r="B311" s="250" t="str">
        <f t="shared" si="59"/>
        <v/>
      </c>
      <c r="C311" s="251">
        <f t="shared" si="55"/>
        <v>0</v>
      </c>
      <c r="D311" s="252">
        <f t="shared" si="56"/>
        <v>0</v>
      </c>
      <c r="E311" s="252">
        <f t="shared" si="48"/>
        <v>0</v>
      </c>
      <c r="F311" s="252">
        <f t="shared" si="49"/>
        <v>0</v>
      </c>
      <c r="G311" s="252">
        <f t="shared" si="57"/>
        <v>0</v>
      </c>
      <c r="H311" s="252">
        <f t="shared" si="58"/>
        <v>0</v>
      </c>
      <c r="I311" s="252">
        <f t="shared" si="50"/>
        <v>0</v>
      </c>
      <c r="J311" s="252">
        <f t="shared" si="51"/>
        <v>0</v>
      </c>
      <c r="K311" s="252">
        <f t="shared" si="52"/>
        <v>0</v>
      </c>
      <c r="N311" s="249">
        <f t="shared" si="53"/>
        <v>2</v>
      </c>
    </row>
    <row r="312" spans="1:14">
      <c r="A312" s="249">
        <f t="shared" si="54"/>
        <v>1</v>
      </c>
      <c r="B312" s="250" t="str">
        <f t="shared" si="59"/>
        <v/>
      </c>
      <c r="C312" s="251">
        <f t="shared" si="55"/>
        <v>0</v>
      </c>
      <c r="D312" s="252">
        <f t="shared" si="56"/>
        <v>0</v>
      </c>
      <c r="E312" s="252">
        <f t="shared" si="48"/>
        <v>0</v>
      </c>
      <c r="F312" s="252">
        <f t="shared" si="49"/>
        <v>0</v>
      </c>
      <c r="G312" s="252">
        <f t="shared" si="57"/>
        <v>0</v>
      </c>
      <c r="H312" s="252">
        <f t="shared" si="58"/>
        <v>0</v>
      </c>
      <c r="I312" s="252">
        <f t="shared" si="50"/>
        <v>0</v>
      </c>
      <c r="J312" s="252">
        <f t="shared" si="51"/>
        <v>0</v>
      </c>
      <c r="K312" s="252">
        <f t="shared" si="52"/>
        <v>0</v>
      </c>
      <c r="N312" s="249">
        <f t="shared" si="53"/>
        <v>2</v>
      </c>
    </row>
    <row r="313" spans="1:14">
      <c r="A313" s="249">
        <f t="shared" si="54"/>
        <v>1</v>
      </c>
      <c r="B313" s="250" t="str">
        <f t="shared" si="59"/>
        <v/>
      </c>
      <c r="C313" s="251">
        <f t="shared" si="55"/>
        <v>0</v>
      </c>
      <c r="D313" s="252">
        <f t="shared" si="56"/>
        <v>0</v>
      </c>
      <c r="E313" s="252">
        <f t="shared" si="48"/>
        <v>0</v>
      </c>
      <c r="F313" s="252">
        <f t="shared" si="49"/>
        <v>0</v>
      </c>
      <c r="G313" s="252">
        <f t="shared" si="57"/>
        <v>0</v>
      </c>
      <c r="H313" s="252">
        <f t="shared" si="58"/>
        <v>0</v>
      </c>
      <c r="I313" s="252">
        <f t="shared" si="50"/>
        <v>0</v>
      </c>
      <c r="J313" s="252">
        <f t="shared" si="51"/>
        <v>0</v>
      </c>
      <c r="K313" s="252">
        <f t="shared" si="52"/>
        <v>0</v>
      </c>
      <c r="N313" s="249">
        <f t="shared" si="53"/>
        <v>2</v>
      </c>
    </row>
    <row r="314" spans="1:14">
      <c r="A314" s="249">
        <f t="shared" si="54"/>
        <v>1</v>
      </c>
      <c r="B314" s="250" t="str">
        <f t="shared" si="59"/>
        <v/>
      </c>
      <c r="C314" s="251">
        <f t="shared" si="55"/>
        <v>0</v>
      </c>
      <c r="D314" s="252">
        <f t="shared" si="56"/>
        <v>0</v>
      </c>
      <c r="E314" s="252">
        <f t="shared" si="48"/>
        <v>0</v>
      </c>
      <c r="F314" s="252">
        <f t="shared" si="49"/>
        <v>0</v>
      </c>
      <c r="G314" s="252">
        <f t="shared" si="57"/>
        <v>0</v>
      </c>
      <c r="H314" s="252">
        <f t="shared" si="58"/>
        <v>0</v>
      </c>
      <c r="I314" s="252">
        <f t="shared" si="50"/>
        <v>0</v>
      </c>
      <c r="J314" s="252">
        <f t="shared" si="51"/>
        <v>0</v>
      </c>
      <c r="K314" s="252">
        <f t="shared" si="52"/>
        <v>0</v>
      </c>
      <c r="N314" s="249">
        <f t="shared" si="53"/>
        <v>2</v>
      </c>
    </row>
    <row r="315" spans="1:14">
      <c r="A315" s="249">
        <f t="shared" si="54"/>
        <v>1</v>
      </c>
      <c r="B315" s="250" t="str">
        <f t="shared" si="59"/>
        <v/>
      </c>
      <c r="C315" s="251">
        <f t="shared" si="55"/>
        <v>0</v>
      </c>
      <c r="D315" s="252">
        <f t="shared" si="56"/>
        <v>0</v>
      </c>
      <c r="E315" s="252">
        <f t="shared" si="48"/>
        <v>0</v>
      </c>
      <c r="F315" s="252">
        <f t="shared" si="49"/>
        <v>0</v>
      </c>
      <c r="G315" s="252">
        <f t="shared" si="57"/>
        <v>0</v>
      </c>
      <c r="H315" s="252">
        <f t="shared" si="58"/>
        <v>0</v>
      </c>
      <c r="I315" s="252">
        <f t="shared" si="50"/>
        <v>0</v>
      </c>
      <c r="J315" s="252">
        <f t="shared" si="51"/>
        <v>0</v>
      </c>
      <c r="K315" s="252">
        <f t="shared" si="52"/>
        <v>0</v>
      </c>
      <c r="N315" s="249">
        <f t="shared" si="53"/>
        <v>2</v>
      </c>
    </row>
    <row r="316" spans="1:14">
      <c r="A316" s="249">
        <f t="shared" si="54"/>
        <v>1</v>
      </c>
      <c r="B316" s="250" t="str">
        <f t="shared" si="59"/>
        <v/>
      </c>
      <c r="C316" s="251">
        <f t="shared" si="55"/>
        <v>0</v>
      </c>
      <c r="D316" s="252">
        <f t="shared" si="56"/>
        <v>0</v>
      </c>
      <c r="E316" s="252">
        <f t="shared" si="48"/>
        <v>0</v>
      </c>
      <c r="F316" s="252">
        <f t="shared" si="49"/>
        <v>0</v>
      </c>
      <c r="G316" s="252">
        <f t="shared" si="57"/>
        <v>0</v>
      </c>
      <c r="H316" s="252">
        <f t="shared" si="58"/>
        <v>0</v>
      </c>
      <c r="I316" s="252">
        <f t="shared" si="50"/>
        <v>0</v>
      </c>
      <c r="J316" s="252">
        <f t="shared" si="51"/>
        <v>0</v>
      </c>
      <c r="K316" s="252">
        <f t="shared" si="52"/>
        <v>0</v>
      </c>
      <c r="N316" s="249">
        <f t="shared" si="53"/>
        <v>2</v>
      </c>
    </row>
    <row r="317" spans="1:14">
      <c r="A317" s="249">
        <f t="shared" si="54"/>
        <v>1</v>
      </c>
      <c r="B317" s="250" t="str">
        <f t="shared" si="59"/>
        <v/>
      </c>
      <c r="C317" s="251">
        <f t="shared" si="55"/>
        <v>0</v>
      </c>
      <c r="D317" s="252">
        <f t="shared" si="56"/>
        <v>0</v>
      </c>
      <c r="E317" s="252">
        <f t="shared" si="48"/>
        <v>0</v>
      </c>
      <c r="F317" s="252">
        <f t="shared" si="49"/>
        <v>0</v>
      </c>
      <c r="G317" s="252">
        <f t="shared" si="57"/>
        <v>0</v>
      </c>
      <c r="H317" s="252">
        <f t="shared" si="58"/>
        <v>0</v>
      </c>
      <c r="I317" s="252">
        <f t="shared" si="50"/>
        <v>0</v>
      </c>
      <c r="J317" s="252">
        <f t="shared" si="51"/>
        <v>0</v>
      </c>
      <c r="K317" s="252">
        <f t="shared" si="52"/>
        <v>0</v>
      </c>
      <c r="N317" s="249">
        <f t="shared" si="53"/>
        <v>2</v>
      </c>
    </row>
    <row r="318" spans="1:14">
      <c r="A318" s="249">
        <f t="shared" si="54"/>
        <v>1</v>
      </c>
      <c r="B318" s="250" t="str">
        <f t="shared" si="59"/>
        <v/>
      </c>
      <c r="C318" s="251">
        <f t="shared" si="55"/>
        <v>0</v>
      </c>
      <c r="D318" s="252">
        <f t="shared" si="56"/>
        <v>0</v>
      </c>
      <c r="E318" s="252">
        <f t="shared" si="48"/>
        <v>0</v>
      </c>
      <c r="F318" s="252">
        <f t="shared" si="49"/>
        <v>0</v>
      </c>
      <c r="G318" s="252">
        <f t="shared" si="57"/>
        <v>0</v>
      </c>
      <c r="H318" s="252">
        <f t="shared" si="58"/>
        <v>0</v>
      </c>
      <c r="I318" s="252">
        <f t="shared" si="50"/>
        <v>0</v>
      </c>
      <c r="J318" s="252">
        <f t="shared" si="51"/>
        <v>0</v>
      </c>
      <c r="K318" s="252">
        <f t="shared" si="52"/>
        <v>0</v>
      </c>
      <c r="N318" s="249">
        <f t="shared" si="53"/>
        <v>2</v>
      </c>
    </row>
    <row r="319" spans="1:14">
      <c r="A319" s="249">
        <f t="shared" si="54"/>
        <v>1</v>
      </c>
      <c r="B319" s="250" t="str">
        <f t="shared" si="59"/>
        <v/>
      </c>
      <c r="C319" s="251">
        <f t="shared" si="55"/>
        <v>0</v>
      </c>
      <c r="D319" s="252">
        <f t="shared" si="56"/>
        <v>0</v>
      </c>
      <c r="E319" s="252">
        <f t="shared" si="48"/>
        <v>0</v>
      </c>
      <c r="F319" s="252">
        <f t="shared" si="49"/>
        <v>0</v>
      </c>
      <c r="G319" s="252">
        <f t="shared" si="57"/>
        <v>0</v>
      </c>
      <c r="H319" s="252">
        <f t="shared" si="58"/>
        <v>0</v>
      </c>
      <c r="I319" s="252">
        <f t="shared" si="50"/>
        <v>0</v>
      </c>
      <c r="J319" s="252">
        <f t="shared" si="51"/>
        <v>0</v>
      </c>
      <c r="K319" s="252">
        <f t="shared" si="52"/>
        <v>0</v>
      </c>
      <c r="N319" s="249">
        <f t="shared" si="53"/>
        <v>2</v>
      </c>
    </row>
    <row r="320" spans="1:14">
      <c r="A320" s="249">
        <f t="shared" si="54"/>
        <v>1</v>
      </c>
      <c r="B320" s="250" t="str">
        <f t="shared" si="59"/>
        <v/>
      </c>
      <c r="C320" s="251">
        <f t="shared" si="55"/>
        <v>0</v>
      </c>
      <c r="D320" s="252">
        <f t="shared" si="56"/>
        <v>0</v>
      </c>
      <c r="E320" s="252">
        <f t="shared" si="48"/>
        <v>0</v>
      </c>
      <c r="F320" s="252">
        <f t="shared" si="49"/>
        <v>0</v>
      </c>
      <c r="G320" s="252">
        <f t="shared" si="57"/>
        <v>0</v>
      </c>
      <c r="H320" s="252">
        <f t="shared" si="58"/>
        <v>0</v>
      </c>
      <c r="I320" s="252">
        <f t="shared" si="50"/>
        <v>0</v>
      </c>
      <c r="J320" s="252">
        <f t="shared" si="51"/>
        <v>0</v>
      </c>
      <c r="K320" s="252">
        <f t="shared" si="52"/>
        <v>0</v>
      </c>
      <c r="N320" s="249">
        <f t="shared" si="53"/>
        <v>2</v>
      </c>
    </row>
    <row r="321" spans="1:14">
      <c r="A321" s="249">
        <f t="shared" si="54"/>
        <v>1</v>
      </c>
      <c r="B321" s="250" t="str">
        <f t="shared" si="59"/>
        <v/>
      </c>
      <c r="C321" s="251">
        <f t="shared" si="55"/>
        <v>0</v>
      </c>
      <c r="D321" s="252">
        <f t="shared" si="56"/>
        <v>0</v>
      </c>
      <c r="E321" s="252">
        <f t="shared" si="48"/>
        <v>0</v>
      </c>
      <c r="F321" s="252">
        <f t="shared" si="49"/>
        <v>0</v>
      </c>
      <c r="G321" s="252">
        <f t="shared" si="57"/>
        <v>0</v>
      </c>
      <c r="H321" s="252">
        <f t="shared" si="58"/>
        <v>0</v>
      </c>
      <c r="I321" s="252">
        <f t="shared" si="50"/>
        <v>0</v>
      </c>
      <c r="J321" s="252">
        <f t="shared" si="51"/>
        <v>0</v>
      </c>
      <c r="K321" s="252">
        <f t="shared" si="52"/>
        <v>0</v>
      </c>
      <c r="N321" s="249">
        <f t="shared" si="53"/>
        <v>2</v>
      </c>
    </row>
    <row r="322" spans="1:14">
      <c r="A322" s="249">
        <f t="shared" si="54"/>
        <v>1</v>
      </c>
      <c r="B322" s="250" t="str">
        <f t="shared" si="59"/>
        <v/>
      </c>
      <c r="C322" s="251">
        <f t="shared" si="55"/>
        <v>0</v>
      </c>
      <c r="D322" s="252">
        <f t="shared" si="56"/>
        <v>0</v>
      </c>
      <c r="E322" s="252">
        <f t="shared" si="48"/>
        <v>0</v>
      </c>
      <c r="F322" s="252">
        <f t="shared" si="49"/>
        <v>0</v>
      </c>
      <c r="G322" s="252">
        <f t="shared" si="57"/>
        <v>0</v>
      </c>
      <c r="H322" s="252">
        <f t="shared" si="58"/>
        <v>0</v>
      </c>
      <c r="I322" s="252">
        <f t="shared" si="50"/>
        <v>0</v>
      </c>
      <c r="J322" s="252">
        <f t="shared" si="51"/>
        <v>0</v>
      </c>
      <c r="K322" s="252">
        <f t="shared" si="52"/>
        <v>0</v>
      </c>
      <c r="N322" s="249">
        <f t="shared" si="53"/>
        <v>2</v>
      </c>
    </row>
    <row r="323" spans="1:14">
      <c r="A323" s="249">
        <f t="shared" si="54"/>
        <v>1</v>
      </c>
      <c r="B323" s="250" t="str">
        <f t="shared" si="59"/>
        <v/>
      </c>
      <c r="C323" s="251">
        <f t="shared" si="55"/>
        <v>0</v>
      </c>
      <c r="D323" s="252">
        <f t="shared" si="56"/>
        <v>0</v>
      </c>
      <c r="E323" s="252">
        <f t="shared" si="48"/>
        <v>0</v>
      </c>
      <c r="F323" s="252">
        <f t="shared" si="49"/>
        <v>0</v>
      </c>
      <c r="G323" s="252">
        <f t="shared" si="57"/>
        <v>0</v>
      </c>
      <c r="H323" s="252">
        <f t="shared" si="58"/>
        <v>0</v>
      </c>
      <c r="I323" s="252">
        <f t="shared" si="50"/>
        <v>0</v>
      </c>
      <c r="J323" s="252">
        <f t="shared" si="51"/>
        <v>0</v>
      </c>
      <c r="K323" s="252">
        <f t="shared" si="52"/>
        <v>0</v>
      </c>
      <c r="N323" s="249">
        <f t="shared" si="53"/>
        <v>2</v>
      </c>
    </row>
    <row r="324" spans="1:14">
      <c r="A324" s="249">
        <f t="shared" si="54"/>
        <v>1</v>
      </c>
      <c r="B324" s="250" t="str">
        <f t="shared" si="59"/>
        <v/>
      </c>
      <c r="C324" s="251">
        <f t="shared" si="55"/>
        <v>0</v>
      </c>
      <c r="D324" s="252">
        <f t="shared" si="56"/>
        <v>0</v>
      </c>
      <c r="E324" s="252">
        <f t="shared" si="48"/>
        <v>0</v>
      </c>
      <c r="F324" s="252">
        <f t="shared" si="49"/>
        <v>0</v>
      </c>
      <c r="G324" s="252">
        <f t="shared" si="57"/>
        <v>0</v>
      </c>
      <c r="H324" s="252">
        <f t="shared" si="58"/>
        <v>0</v>
      </c>
      <c r="I324" s="252">
        <f t="shared" si="50"/>
        <v>0</v>
      </c>
      <c r="J324" s="252">
        <f t="shared" si="51"/>
        <v>0</v>
      </c>
      <c r="K324" s="252">
        <f t="shared" si="52"/>
        <v>0</v>
      </c>
      <c r="N324" s="249">
        <f t="shared" si="53"/>
        <v>2</v>
      </c>
    </row>
    <row r="325" spans="1:14">
      <c r="A325" s="249">
        <f t="shared" si="54"/>
        <v>1</v>
      </c>
      <c r="B325" s="250" t="str">
        <f t="shared" si="59"/>
        <v/>
      </c>
      <c r="C325" s="251">
        <f t="shared" si="55"/>
        <v>0</v>
      </c>
      <c r="D325" s="252">
        <f t="shared" si="56"/>
        <v>0</v>
      </c>
      <c r="E325" s="252">
        <f t="shared" si="48"/>
        <v>0</v>
      </c>
      <c r="F325" s="252">
        <f t="shared" si="49"/>
        <v>0</v>
      </c>
      <c r="G325" s="252">
        <f t="shared" si="57"/>
        <v>0</v>
      </c>
      <c r="H325" s="252">
        <f t="shared" si="58"/>
        <v>0</v>
      </c>
      <c r="I325" s="252">
        <f t="shared" si="50"/>
        <v>0</v>
      </c>
      <c r="J325" s="252">
        <f t="shared" si="51"/>
        <v>0</v>
      </c>
      <c r="K325" s="252">
        <f t="shared" si="52"/>
        <v>0</v>
      </c>
      <c r="N325" s="249">
        <f t="shared" si="53"/>
        <v>2</v>
      </c>
    </row>
    <row r="326" spans="1:14">
      <c r="A326" s="249">
        <f t="shared" si="54"/>
        <v>1</v>
      </c>
      <c r="B326" s="250" t="str">
        <f t="shared" si="59"/>
        <v/>
      </c>
      <c r="C326" s="251">
        <f t="shared" si="55"/>
        <v>0</v>
      </c>
      <c r="D326" s="252">
        <f t="shared" si="56"/>
        <v>0</v>
      </c>
      <c r="E326" s="252">
        <f t="shared" si="48"/>
        <v>0</v>
      </c>
      <c r="F326" s="252">
        <f t="shared" si="49"/>
        <v>0</v>
      </c>
      <c r="G326" s="252">
        <f t="shared" si="57"/>
        <v>0</v>
      </c>
      <c r="H326" s="252">
        <f t="shared" si="58"/>
        <v>0</v>
      </c>
      <c r="I326" s="252">
        <f t="shared" si="50"/>
        <v>0</v>
      </c>
      <c r="J326" s="252">
        <f t="shared" si="51"/>
        <v>0</v>
      </c>
      <c r="K326" s="252">
        <f t="shared" si="52"/>
        <v>0</v>
      </c>
      <c r="N326" s="249">
        <f t="shared" si="53"/>
        <v>2</v>
      </c>
    </row>
    <row r="327" spans="1:14">
      <c r="A327" s="249">
        <f t="shared" si="54"/>
        <v>1</v>
      </c>
      <c r="B327" s="250" t="str">
        <f t="shared" si="59"/>
        <v/>
      </c>
      <c r="C327" s="251">
        <f t="shared" si="55"/>
        <v>0</v>
      </c>
      <c r="D327" s="252">
        <f t="shared" si="56"/>
        <v>0</v>
      </c>
      <c r="E327" s="252">
        <f t="shared" si="48"/>
        <v>0</v>
      </c>
      <c r="F327" s="252">
        <f t="shared" si="49"/>
        <v>0</v>
      </c>
      <c r="G327" s="252">
        <f t="shared" si="57"/>
        <v>0</v>
      </c>
      <c r="H327" s="252">
        <f t="shared" si="58"/>
        <v>0</v>
      </c>
      <c r="I327" s="252">
        <f t="shared" si="50"/>
        <v>0</v>
      </c>
      <c r="J327" s="252">
        <f t="shared" si="51"/>
        <v>0</v>
      </c>
      <c r="K327" s="252">
        <f t="shared" si="52"/>
        <v>0</v>
      </c>
      <c r="N327" s="249">
        <f t="shared" si="53"/>
        <v>2</v>
      </c>
    </row>
    <row r="328" spans="1:14">
      <c r="A328" s="249">
        <f t="shared" si="54"/>
        <v>1</v>
      </c>
      <c r="B328" s="250" t="str">
        <f t="shared" si="59"/>
        <v/>
      </c>
      <c r="C328" s="251">
        <f t="shared" si="55"/>
        <v>0</v>
      </c>
      <c r="D328" s="252">
        <f t="shared" si="56"/>
        <v>0</v>
      </c>
      <c r="E328" s="252">
        <f t="shared" si="48"/>
        <v>0</v>
      </c>
      <c r="F328" s="252">
        <f t="shared" si="49"/>
        <v>0</v>
      </c>
      <c r="G328" s="252">
        <f t="shared" si="57"/>
        <v>0</v>
      </c>
      <c r="H328" s="252">
        <f t="shared" si="58"/>
        <v>0</v>
      </c>
      <c r="I328" s="252">
        <f t="shared" si="50"/>
        <v>0</v>
      </c>
      <c r="J328" s="252">
        <f t="shared" si="51"/>
        <v>0</v>
      </c>
      <c r="K328" s="252">
        <f t="shared" si="52"/>
        <v>0</v>
      </c>
      <c r="N328" s="249">
        <f t="shared" si="53"/>
        <v>2</v>
      </c>
    </row>
    <row r="329" spans="1:14">
      <c r="A329" s="249">
        <f t="shared" si="54"/>
        <v>1</v>
      </c>
      <c r="B329" s="250" t="str">
        <f t="shared" si="59"/>
        <v/>
      </c>
      <c r="C329" s="251">
        <f t="shared" si="55"/>
        <v>0</v>
      </c>
      <c r="D329" s="252">
        <f t="shared" si="56"/>
        <v>0</v>
      </c>
      <c r="E329" s="252">
        <f t="shared" si="48"/>
        <v>0</v>
      </c>
      <c r="F329" s="252">
        <f t="shared" si="49"/>
        <v>0</v>
      </c>
      <c r="G329" s="252">
        <f t="shared" si="57"/>
        <v>0</v>
      </c>
      <c r="H329" s="252">
        <f t="shared" si="58"/>
        <v>0</v>
      </c>
      <c r="I329" s="252">
        <f t="shared" si="50"/>
        <v>0</v>
      </c>
      <c r="J329" s="252">
        <f t="shared" si="51"/>
        <v>0</v>
      </c>
      <c r="K329" s="252">
        <f t="shared" si="52"/>
        <v>0</v>
      </c>
      <c r="N329" s="249">
        <f t="shared" si="53"/>
        <v>2</v>
      </c>
    </row>
    <row r="330" spans="1:14">
      <c r="A330" s="249">
        <f t="shared" si="54"/>
        <v>1</v>
      </c>
      <c r="B330" s="250" t="str">
        <f t="shared" si="59"/>
        <v/>
      </c>
      <c r="C330" s="251">
        <f t="shared" si="55"/>
        <v>0</v>
      </c>
      <c r="D330" s="252">
        <f t="shared" si="56"/>
        <v>0</v>
      </c>
      <c r="E330" s="252">
        <f t="shared" si="48"/>
        <v>0</v>
      </c>
      <c r="F330" s="252">
        <f t="shared" si="49"/>
        <v>0</v>
      </c>
      <c r="G330" s="252">
        <f t="shared" si="57"/>
        <v>0</v>
      </c>
      <c r="H330" s="252">
        <f t="shared" si="58"/>
        <v>0</v>
      </c>
      <c r="I330" s="252">
        <f t="shared" si="50"/>
        <v>0</v>
      </c>
      <c r="J330" s="252">
        <f t="shared" si="51"/>
        <v>0</v>
      </c>
      <c r="K330" s="252">
        <f t="shared" si="52"/>
        <v>0</v>
      </c>
      <c r="N330" s="249">
        <f t="shared" si="53"/>
        <v>2</v>
      </c>
    </row>
    <row r="331" spans="1:14">
      <c r="A331" s="249">
        <f t="shared" si="54"/>
        <v>1</v>
      </c>
      <c r="B331" s="250" t="str">
        <f t="shared" si="59"/>
        <v/>
      </c>
      <c r="C331" s="251">
        <f t="shared" si="55"/>
        <v>0</v>
      </c>
      <c r="D331" s="252">
        <f t="shared" si="56"/>
        <v>0</v>
      </c>
      <c r="E331" s="252">
        <f t="shared" si="48"/>
        <v>0</v>
      </c>
      <c r="F331" s="252">
        <f t="shared" si="49"/>
        <v>0</v>
      </c>
      <c r="G331" s="252">
        <f t="shared" si="57"/>
        <v>0</v>
      </c>
      <c r="H331" s="252">
        <f t="shared" si="58"/>
        <v>0</v>
      </c>
      <c r="I331" s="252">
        <f t="shared" si="50"/>
        <v>0</v>
      </c>
      <c r="J331" s="252">
        <f t="shared" si="51"/>
        <v>0</v>
      </c>
      <c r="K331" s="252">
        <f t="shared" si="52"/>
        <v>0</v>
      </c>
      <c r="N331" s="249">
        <f t="shared" si="53"/>
        <v>2</v>
      </c>
    </row>
    <row r="332" spans="1:14">
      <c r="A332" s="249">
        <f t="shared" si="54"/>
        <v>1</v>
      </c>
      <c r="B332" s="250" t="str">
        <f t="shared" si="59"/>
        <v/>
      </c>
      <c r="C332" s="251">
        <f t="shared" si="55"/>
        <v>0</v>
      </c>
      <c r="D332" s="252">
        <f t="shared" si="56"/>
        <v>0</v>
      </c>
      <c r="E332" s="252">
        <f t="shared" si="48"/>
        <v>0</v>
      </c>
      <c r="F332" s="252">
        <f t="shared" si="49"/>
        <v>0</v>
      </c>
      <c r="G332" s="252">
        <f t="shared" si="57"/>
        <v>0</v>
      </c>
      <c r="H332" s="252">
        <f t="shared" si="58"/>
        <v>0</v>
      </c>
      <c r="I332" s="252">
        <f t="shared" si="50"/>
        <v>0</v>
      </c>
      <c r="J332" s="252">
        <f t="shared" si="51"/>
        <v>0</v>
      </c>
      <c r="K332" s="252">
        <f t="shared" si="52"/>
        <v>0</v>
      </c>
      <c r="N332" s="249">
        <f t="shared" si="53"/>
        <v>2</v>
      </c>
    </row>
    <row r="333" spans="1:14">
      <c r="A333" s="249">
        <f t="shared" si="54"/>
        <v>1</v>
      </c>
      <c r="B333" s="250" t="str">
        <f t="shared" si="59"/>
        <v/>
      </c>
      <c r="C333" s="251">
        <f t="shared" si="55"/>
        <v>0</v>
      </c>
      <c r="D333" s="252">
        <f t="shared" si="56"/>
        <v>0</v>
      </c>
      <c r="E333" s="252">
        <f t="shared" si="48"/>
        <v>0</v>
      </c>
      <c r="F333" s="252">
        <f t="shared" si="49"/>
        <v>0</v>
      </c>
      <c r="G333" s="252">
        <f t="shared" si="57"/>
        <v>0</v>
      </c>
      <c r="H333" s="252">
        <f t="shared" si="58"/>
        <v>0</v>
      </c>
      <c r="I333" s="252">
        <f t="shared" si="50"/>
        <v>0</v>
      </c>
      <c r="J333" s="252">
        <f t="shared" si="51"/>
        <v>0</v>
      </c>
      <c r="K333" s="252">
        <f t="shared" si="52"/>
        <v>0</v>
      </c>
      <c r="N333" s="249">
        <f t="shared" si="53"/>
        <v>2</v>
      </c>
    </row>
    <row r="334" spans="1:14">
      <c r="A334" s="249">
        <f t="shared" si="54"/>
        <v>1</v>
      </c>
      <c r="B334" s="250" t="str">
        <f t="shared" si="59"/>
        <v/>
      </c>
      <c r="C334" s="251">
        <f t="shared" si="55"/>
        <v>0</v>
      </c>
      <c r="D334" s="252">
        <f t="shared" si="56"/>
        <v>0</v>
      </c>
      <c r="E334" s="252">
        <f t="shared" si="48"/>
        <v>0</v>
      </c>
      <c r="F334" s="252">
        <f t="shared" si="49"/>
        <v>0</v>
      </c>
      <c r="G334" s="252">
        <f t="shared" si="57"/>
        <v>0</v>
      </c>
      <c r="H334" s="252">
        <f t="shared" si="58"/>
        <v>0</v>
      </c>
      <c r="I334" s="252">
        <f t="shared" si="50"/>
        <v>0</v>
      </c>
      <c r="J334" s="252">
        <f t="shared" si="51"/>
        <v>0</v>
      </c>
      <c r="K334" s="252">
        <f t="shared" si="52"/>
        <v>0</v>
      </c>
      <c r="N334" s="249">
        <f t="shared" si="53"/>
        <v>2</v>
      </c>
    </row>
    <row r="335" spans="1:14">
      <c r="A335" s="249">
        <f t="shared" si="54"/>
        <v>1</v>
      </c>
      <c r="B335" s="250" t="str">
        <f t="shared" si="59"/>
        <v/>
      </c>
      <c r="C335" s="251">
        <f t="shared" si="55"/>
        <v>0</v>
      </c>
      <c r="D335" s="252">
        <f t="shared" si="56"/>
        <v>0</v>
      </c>
      <c r="E335" s="252">
        <f t="shared" si="48"/>
        <v>0</v>
      </c>
      <c r="F335" s="252">
        <f t="shared" si="49"/>
        <v>0</v>
      </c>
      <c r="G335" s="252">
        <f t="shared" si="57"/>
        <v>0</v>
      </c>
      <c r="H335" s="252">
        <f t="shared" si="58"/>
        <v>0</v>
      </c>
      <c r="I335" s="252">
        <f t="shared" si="50"/>
        <v>0</v>
      </c>
      <c r="J335" s="252">
        <f t="shared" si="51"/>
        <v>0</v>
      </c>
      <c r="K335" s="252">
        <f t="shared" si="52"/>
        <v>0</v>
      </c>
      <c r="N335" s="249">
        <f t="shared" si="53"/>
        <v>2</v>
      </c>
    </row>
    <row r="336" spans="1:14">
      <c r="A336" s="249">
        <f t="shared" si="54"/>
        <v>1</v>
      </c>
      <c r="B336" s="250" t="str">
        <f t="shared" si="59"/>
        <v/>
      </c>
      <c r="C336" s="251">
        <f t="shared" si="55"/>
        <v>0</v>
      </c>
      <c r="D336" s="252">
        <f t="shared" si="56"/>
        <v>0</v>
      </c>
      <c r="E336" s="252">
        <f t="shared" si="48"/>
        <v>0</v>
      </c>
      <c r="F336" s="252">
        <f t="shared" si="49"/>
        <v>0</v>
      </c>
      <c r="G336" s="252">
        <f t="shared" si="57"/>
        <v>0</v>
      </c>
      <c r="H336" s="252">
        <f t="shared" si="58"/>
        <v>0</v>
      </c>
      <c r="I336" s="252">
        <f t="shared" si="50"/>
        <v>0</v>
      </c>
      <c r="J336" s="252">
        <f t="shared" si="51"/>
        <v>0</v>
      </c>
      <c r="K336" s="252">
        <f t="shared" si="52"/>
        <v>0</v>
      </c>
      <c r="N336" s="249">
        <f t="shared" si="53"/>
        <v>2</v>
      </c>
    </row>
    <row r="337" spans="1:14">
      <c r="A337" s="249">
        <f t="shared" si="54"/>
        <v>1</v>
      </c>
      <c r="B337" s="250" t="str">
        <f t="shared" si="59"/>
        <v/>
      </c>
      <c r="C337" s="251">
        <f t="shared" si="55"/>
        <v>0</v>
      </c>
      <c r="D337" s="252">
        <f t="shared" si="56"/>
        <v>0</v>
      </c>
      <c r="E337" s="252">
        <f t="shared" si="48"/>
        <v>0</v>
      </c>
      <c r="F337" s="252">
        <f t="shared" si="49"/>
        <v>0</v>
      </c>
      <c r="G337" s="252">
        <f t="shared" si="57"/>
        <v>0</v>
      </c>
      <c r="H337" s="252">
        <f t="shared" si="58"/>
        <v>0</v>
      </c>
      <c r="I337" s="252">
        <f t="shared" si="50"/>
        <v>0</v>
      </c>
      <c r="J337" s="252">
        <f t="shared" si="51"/>
        <v>0</v>
      </c>
      <c r="K337" s="252">
        <f t="shared" si="52"/>
        <v>0</v>
      </c>
      <c r="N337" s="249">
        <f t="shared" si="53"/>
        <v>2</v>
      </c>
    </row>
    <row r="338" spans="1:14">
      <c r="A338" s="249">
        <f t="shared" si="54"/>
        <v>1</v>
      </c>
      <c r="B338" s="250" t="str">
        <f t="shared" si="59"/>
        <v/>
      </c>
      <c r="C338" s="251">
        <f t="shared" si="55"/>
        <v>0</v>
      </c>
      <c r="D338" s="252">
        <f t="shared" si="56"/>
        <v>0</v>
      </c>
      <c r="E338" s="252">
        <f t="shared" si="48"/>
        <v>0</v>
      </c>
      <c r="F338" s="252">
        <f t="shared" si="49"/>
        <v>0</v>
      </c>
      <c r="G338" s="252">
        <f t="shared" si="57"/>
        <v>0</v>
      </c>
      <c r="H338" s="252">
        <f t="shared" si="58"/>
        <v>0</v>
      </c>
      <c r="I338" s="252">
        <f t="shared" si="50"/>
        <v>0</v>
      </c>
      <c r="J338" s="252">
        <f t="shared" si="51"/>
        <v>0</v>
      </c>
      <c r="K338" s="252">
        <f t="shared" si="52"/>
        <v>0</v>
      </c>
      <c r="N338" s="249">
        <f t="shared" si="53"/>
        <v>2</v>
      </c>
    </row>
    <row r="339" spans="1:14">
      <c r="A339" s="249">
        <f t="shared" si="54"/>
        <v>1</v>
      </c>
      <c r="B339" s="250" t="str">
        <f t="shared" si="59"/>
        <v/>
      </c>
      <c r="C339" s="251">
        <f t="shared" si="55"/>
        <v>0</v>
      </c>
      <c r="D339" s="252">
        <f t="shared" si="56"/>
        <v>0</v>
      </c>
      <c r="E339" s="252">
        <f t="shared" si="48"/>
        <v>0</v>
      </c>
      <c r="F339" s="252">
        <f t="shared" si="49"/>
        <v>0</v>
      </c>
      <c r="G339" s="252">
        <f t="shared" si="57"/>
        <v>0</v>
      </c>
      <c r="H339" s="252">
        <f t="shared" si="58"/>
        <v>0</v>
      </c>
      <c r="I339" s="252">
        <f t="shared" si="50"/>
        <v>0</v>
      </c>
      <c r="J339" s="252">
        <f t="shared" si="51"/>
        <v>0</v>
      </c>
      <c r="K339" s="252">
        <f t="shared" si="52"/>
        <v>0</v>
      </c>
      <c r="N339" s="249">
        <f t="shared" si="53"/>
        <v>2</v>
      </c>
    </row>
    <row r="340" spans="1:14">
      <c r="A340" s="249">
        <f t="shared" si="54"/>
        <v>1</v>
      </c>
      <c r="B340" s="250" t="str">
        <f t="shared" si="59"/>
        <v/>
      </c>
      <c r="C340" s="251">
        <f t="shared" si="55"/>
        <v>0</v>
      </c>
      <c r="D340" s="252">
        <f t="shared" si="56"/>
        <v>0</v>
      </c>
      <c r="E340" s="252">
        <f t="shared" si="48"/>
        <v>0</v>
      </c>
      <c r="F340" s="252">
        <f t="shared" si="49"/>
        <v>0</v>
      </c>
      <c r="G340" s="252">
        <f t="shared" si="57"/>
        <v>0</v>
      </c>
      <c r="H340" s="252">
        <f t="shared" si="58"/>
        <v>0</v>
      </c>
      <c r="I340" s="252">
        <f t="shared" si="50"/>
        <v>0</v>
      </c>
      <c r="J340" s="252">
        <f t="shared" si="51"/>
        <v>0</v>
      </c>
      <c r="K340" s="252">
        <f t="shared" si="52"/>
        <v>0</v>
      </c>
      <c r="N340" s="249">
        <f t="shared" si="53"/>
        <v>2</v>
      </c>
    </row>
    <row r="341" spans="1:14">
      <c r="A341" s="249">
        <f t="shared" si="54"/>
        <v>1</v>
      </c>
      <c r="B341" s="250" t="str">
        <f t="shared" si="59"/>
        <v/>
      </c>
      <c r="C341" s="251">
        <f t="shared" si="55"/>
        <v>0</v>
      </c>
      <c r="D341" s="252">
        <f t="shared" si="56"/>
        <v>0</v>
      </c>
      <c r="E341" s="252">
        <f t="shared" si="48"/>
        <v>0</v>
      </c>
      <c r="F341" s="252">
        <f t="shared" si="49"/>
        <v>0</v>
      </c>
      <c r="G341" s="252">
        <f t="shared" si="57"/>
        <v>0</v>
      </c>
      <c r="H341" s="252">
        <f t="shared" si="58"/>
        <v>0</v>
      </c>
      <c r="I341" s="252">
        <f t="shared" si="50"/>
        <v>0</v>
      </c>
      <c r="J341" s="252">
        <f t="shared" si="51"/>
        <v>0</v>
      </c>
      <c r="K341" s="252">
        <f t="shared" si="52"/>
        <v>0</v>
      </c>
      <c r="N341" s="249">
        <f t="shared" si="53"/>
        <v>2</v>
      </c>
    </row>
    <row r="342" spans="1:14">
      <c r="A342" s="249">
        <f t="shared" si="54"/>
        <v>1</v>
      </c>
      <c r="B342" s="250" t="str">
        <f t="shared" si="59"/>
        <v/>
      </c>
      <c r="C342" s="251">
        <f t="shared" si="55"/>
        <v>0</v>
      </c>
      <c r="D342" s="252">
        <f t="shared" si="56"/>
        <v>0</v>
      </c>
      <c r="E342" s="252">
        <f t="shared" si="48"/>
        <v>0</v>
      </c>
      <c r="F342" s="252">
        <f t="shared" si="49"/>
        <v>0</v>
      </c>
      <c r="G342" s="252">
        <f t="shared" si="57"/>
        <v>0</v>
      </c>
      <c r="H342" s="252">
        <f t="shared" si="58"/>
        <v>0</v>
      </c>
      <c r="I342" s="252">
        <f t="shared" si="50"/>
        <v>0</v>
      </c>
      <c r="J342" s="252">
        <f t="shared" si="51"/>
        <v>0</v>
      </c>
      <c r="K342" s="252">
        <f t="shared" si="52"/>
        <v>0</v>
      </c>
      <c r="N342" s="249">
        <f t="shared" si="53"/>
        <v>2</v>
      </c>
    </row>
    <row r="343" spans="1:14">
      <c r="A343" s="249">
        <f t="shared" si="54"/>
        <v>1</v>
      </c>
      <c r="B343" s="250" t="str">
        <f t="shared" si="59"/>
        <v/>
      </c>
      <c r="C343" s="251">
        <f t="shared" si="55"/>
        <v>0</v>
      </c>
      <c r="D343" s="252">
        <f t="shared" si="56"/>
        <v>0</v>
      </c>
      <c r="E343" s="252">
        <f t="shared" si="48"/>
        <v>0</v>
      </c>
      <c r="F343" s="252">
        <f t="shared" si="49"/>
        <v>0</v>
      </c>
      <c r="G343" s="252">
        <f t="shared" si="57"/>
        <v>0</v>
      </c>
      <c r="H343" s="252">
        <f t="shared" si="58"/>
        <v>0</v>
      </c>
      <c r="I343" s="252">
        <f t="shared" si="50"/>
        <v>0</v>
      </c>
      <c r="J343" s="252">
        <f t="shared" si="51"/>
        <v>0</v>
      </c>
      <c r="K343" s="252">
        <f t="shared" si="52"/>
        <v>0</v>
      </c>
      <c r="N343" s="249">
        <f t="shared" si="53"/>
        <v>2</v>
      </c>
    </row>
    <row r="344" spans="1:14">
      <c r="A344" s="249">
        <f t="shared" si="54"/>
        <v>1</v>
      </c>
      <c r="B344" s="250" t="str">
        <f t="shared" si="59"/>
        <v/>
      </c>
      <c r="C344" s="251">
        <f t="shared" si="55"/>
        <v>0</v>
      </c>
      <c r="D344" s="252">
        <f t="shared" si="56"/>
        <v>0</v>
      </c>
      <c r="E344" s="252">
        <f t="shared" si="48"/>
        <v>0</v>
      </c>
      <c r="F344" s="252">
        <f t="shared" si="49"/>
        <v>0</v>
      </c>
      <c r="G344" s="252">
        <f t="shared" si="57"/>
        <v>0</v>
      </c>
      <c r="H344" s="252">
        <f t="shared" si="58"/>
        <v>0</v>
      </c>
      <c r="I344" s="252">
        <f t="shared" si="50"/>
        <v>0</v>
      </c>
      <c r="J344" s="252">
        <f t="shared" si="51"/>
        <v>0</v>
      </c>
      <c r="K344" s="252">
        <f t="shared" si="52"/>
        <v>0</v>
      </c>
      <c r="N344" s="249">
        <f t="shared" si="53"/>
        <v>2</v>
      </c>
    </row>
    <row r="345" spans="1:14">
      <c r="A345" s="249">
        <f t="shared" si="54"/>
        <v>1</v>
      </c>
      <c r="B345" s="250" t="str">
        <f t="shared" si="59"/>
        <v/>
      </c>
      <c r="C345" s="251">
        <f t="shared" si="55"/>
        <v>0</v>
      </c>
      <c r="D345" s="252">
        <f t="shared" si="56"/>
        <v>0</v>
      </c>
      <c r="E345" s="252">
        <f t="shared" si="48"/>
        <v>0</v>
      </c>
      <c r="F345" s="252">
        <f t="shared" si="49"/>
        <v>0</v>
      </c>
      <c r="G345" s="252">
        <f t="shared" si="57"/>
        <v>0</v>
      </c>
      <c r="H345" s="252">
        <f t="shared" si="58"/>
        <v>0</v>
      </c>
      <c r="I345" s="252">
        <f t="shared" si="50"/>
        <v>0</v>
      </c>
      <c r="J345" s="252">
        <f t="shared" si="51"/>
        <v>0</v>
      </c>
      <c r="K345" s="252">
        <f t="shared" si="52"/>
        <v>0</v>
      </c>
      <c r="N345" s="249">
        <f t="shared" si="53"/>
        <v>2</v>
      </c>
    </row>
    <row r="346" spans="1:14">
      <c r="A346" s="249">
        <f t="shared" si="54"/>
        <v>1</v>
      </c>
      <c r="B346" s="250" t="str">
        <f t="shared" si="59"/>
        <v/>
      </c>
      <c r="C346" s="251">
        <f t="shared" si="55"/>
        <v>0</v>
      </c>
      <c r="D346" s="252">
        <f t="shared" si="56"/>
        <v>0</v>
      </c>
      <c r="E346" s="252">
        <f t="shared" si="48"/>
        <v>0</v>
      </c>
      <c r="F346" s="252">
        <f t="shared" si="49"/>
        <v>0</v>
      </c>
      <c r="G346" s="252">
        <f t="shared" si="57"/>
        <v>0</v>
      </c>
      <c r="H346" s="252">
        <f t="shared" si="58"/>
        <v>0</v>
      </c>
      <c r="I346" s="252">
        <f t="shared" si="50"/>
        <v>0</v>
      </c>
      <c r="J346" s="252">
        <f t="shared" si="51"/>
        <v>0</v>
      </c>
      <c r="K346" s="252">
        <f t="shared" si="52"/>
        <v>0</v>
      </c>
      <c r="N346" s="249">
        <f t="shared" si="53"/>
        <v>2</v>
      </c>
    </row>
    <row r="347" spans="1:14">
      <c r="A347" s="249">
        <f t="shared" si="54"/>
        <v>1</v>
      </c>
      <c r="B347" s="250" t="str">
        <f t="shared" si="59"/>
        <v/>
      </c>
      <c r="C347" s="251">
        <f t="shared" si="55"/>
        <v>0</v>
      </c>
      <c r="D347" s="252">
        <f t="shared" si="56"/>
        <v>0</v>
      </c>
      <c r="E347" s="252">
        <f t="shared" si="48"/>
        <v>0</v>
      </c>
      <c r="F347" s="252">
        <f t="shared" si="49"/>
        <v>0</v>
      </c>
      <c r="G347" s="252">
        <f t="shared" si="57"/>
        <v>0</v>
      </c>
      <c r="H347" s="252">
        <f t="shared" si="58"/>
        <v>0</v>
      </c>
      <c r="I347" s="252">
        <f t="shared" si="50"/>
        <v>0</v>
      </c>
      <c r="J347" s="252">
        <f t="shared" si="51"/>
        <v>0</v>
      </c>
      <c r="K347" s="252">
        <f t="shared" si="52"/>
        <v>0</v>
      </c>
      <c r="N347" s="249">
        <f t="shared" si="53"/>
        <v>2</v>
      </c>
    </row>
    <row r="348" spans="1:14">
      <c r="A348" s="249">
        <f t="shared" si="54"/>
        <v>1</v>
      </c>
      <c r="B348" s="250" t="str">
        <f t="shared" si="59"/>
        <v/>
      </c>
      <c r="C348" s="251">
        <f t="shared" si="55"/>
        <v>0</v>
      </c>
      <c r="D348" s="252">
        <f t="shared" si="56"/>
        <v>0</v>
      </c>
      <c r="E348" s="252">
        <f t="shared" si="48"/>
        <v>0</v>
      </c>
      <c r="F348" s="252">
        <f t="shared" si="49"/>
        <v>0</v>
      </c>
      <c r="G348" s="252">
        <f t="shared" si="57"/>
        <v>0</v>
      </c>
      <c r="H348" s="252">
        <f t="shared" si="58"/>
        <v>0</v>
      </c>
      <c r="I348" s="252">
        <f t="shared" si="50"/>
        <v>0</v>
      </c>
      <c r="J348" s="252">
        <f t="shared" si="51"/>
        <v>0</v>
      </c>
      <c r="K348" s="252">
        <f t="shared" si="52"/>
        <v>0</v>
      </c>
      <c r="N348" s="249">
        <f t="shared" si="53"/>
        <v>2</v>
      </c>
    </row>
    <row r="349" spans="1:14">
      <c r="A349" s="249">
        <f t="shared" si="54"/>
        <v>1</v>
      </c>
      <c r="B349" s="250" t="str">
        <f t="shared" si="59"/>
        <v/>
      </c>
      <c r="C349" s="251">
        <f t="shared" si="55"/>
        <v>0</v>
      </c>
      <c r="D349" s="252">
        <f t="shared" si="56"/>
        <v>0</v>
      </c>
      <c r="E349" s="252">
        <f t="shared" si="48"/>
        <v>0</v>
      </c>
      <c r="F349" s="252">
        <f t="shared" si="49"/>
        <v>0</v>
      </c>
      <c r="G349" s="252">
        <f t="shared" si="57"/>
        <v>0</v>
      </c>
      <c r="H349" s="252">
        <f t="shared" si="58"/>
        <v>0</v>
      </c>
      <c r="I349" s="252">
        <f t="shared" si="50"/>
        <v>0</v>
      </c>
      <c r="J349" s="252">
        <f t="shared" si="51"/>
        <v>0</v>
      </c>
      <c r="K349" s="252">
        <f t="shared" si="52"/>
        <v>0</v>
      </c>
      <c r="N349" s="249">
        <f t="shared" si="53"/>
        <v>2</v>
      </c>
    </row>
    <row r="350" spans="1:14">
      <c r="A350" s="249">
        <f t="shared" si="54"/>
        <v>1</v>
      </c>
      <c r="B350" s="250" t="str">
        <f t="shared" si="59"/>
        <v/>
      </c>
      <c r="C350" s="251">
        <f t="shared" si="55"/>
        <v>0</v>
      </c>
      <c r="D350" s="252">
        <f t="shared" si="56"/>
        <v>0</v>
      </c>
      <c r="E350" s="252">
        <f t="shared" si="48"/>
        <v>0</v>
      </c>
      <c r="F350" s="252">
        <f t="shared" si="49"/>
        <v>0</v>
      </c>
      <c r="G350" s="252">
        <f t="shared" si="57"/>
        <v>0</v>
      </c>
      <c r="H350" s="252">
        <f t="shared" si="58"/>
        <v>0</v>
      </c>
      <c r="I350" s="252">
        <f t="shared" si="50"/>
        <v>0</v>
      </c>
      <c r="J350" s="252">
        <f t="shared" si="51"/>
        <v>0</v>
      </c>
      <c r="K350" s="252">
        <f t="shared" si="52"/>
        <v>0</v>
      </c>
      <c r="N350" s="249">
        <f t="shared" si="53"/>
        <v>2</v>
      </c>
    </row>
    <row r="351" spans="1:14">
      <c r="A351" s="249">
        <f t="shared" si="54"/>
        <v>1</v>
      </c>
      <c r="B351" s="250" t="str">
        <f t="shared" si="59"/>
        <v/>
      </c>
      <c r="C351" s="251">
        <f t="shared" si="55"/>
        <v>0</v>
      </c>
      <c r="D351" s="252">
        <f t="shared" si="56"/>
        <v>0</v>
      </c>
      <c r="E351" s="252">
        <f t="shared" si="48"/>
        <v>0</v>
      </c>
      <c r="F351" s="252">
        <f t="shared" si="49"/>
        <v>0</v>
      </c>
      <c r="G351" s="252">
        <f t="shared" si="57"/>
        <v>0</v>
      </c>
      <c r="H351" s="252">
        <f t="shared" si="58"/>
        <v>0</v>
      </c>
      <c r="I351" s="252">
        <f t="shared" si="50"/>
        <v>0</v>
      </c>
      <c r="J351" s="252">
        <f t="shared" si="51"/>
        <v>0</v>
      </c>
      <c r="K351" s="252">
        <f t="shared" si="52"/>
        <v>0</v>
      </c>
      <c r="N351" s="249">
        <f t="shared" si="53"/>
        <v>2</v>
      </c>
    </row>
    <row r="352" spans="1:14">
      <c r="A352" s="249">
        <f t="shared" si="54"/>
        <v>1</v>
      </c>
      <c r="B352" s="250" t="str">
        <f t="shared" si="59"/>
        <v/>
      </c>
      <c r="C352" s="251">
        <f t="shared" si="55"/>
        <v>0</v>
      </c>
      <c r="D352" s="252">
        <f t="shared" si="56"/>
        <v>0</v>
      </c>
      <c r="E352" s="252">
        <f t="shared" si="48"/>
        <v>0</v>
      </c>
      <c r="F352" s="252">
        <f t="shared" si="49"/>
        <v>0</v>
      </c>
      <c r="G352" s="252">
        <f t="shared" si="57"/>
        <v>0</v>
      </c>
      <c r="H352" s="252">
        <f t="shared" si="58"/>
        <v>0</v>
      </c>
      <c r="I352" s="252">
        <f t="shared" si="50"/>
        <v>0</v>
      </c>
      <c r="J352" s="252">
        <f t="shared" si="51"/>
        <v>0</v>
      </c>
      <c r="K352" s="252">
        <f t="shared" si="52"/>
        <v>0</v>
      </c>
      <c r="N352" s="249">
        <f t="shared" si="53"/>
        <v>2</v>
      </c>
    </row>
    <row r="353" spans="1:14">
      <c r="A353" s="249">
        <f t="shared" si="54"/>
        <v>1</v>
      </c>
      <c r="B353" s="250" t="str">
        <f t="shared" si="59"/>
        <v/>
      </c>
      <c r="C353" s="251">
        <f t="shared" si="55"/>
        <v>0</v>
      </c>
      <c r="D353" s="252">
        <f t="shared" si="56"/>
        <v>0</v>
      </c>
      <c r="E353" s="252">
        <f t="shared" si="48"/>
        <v>0</v>
      </c>
      <c r="F353" s="252">
        <f t="shared" si="49"/>
        <v>0</v>
      </c>
      <c r="G353" s="252">
        <f t="shared" si="57"/>
        <v>0</v>
      </c>
      <c r="H353" s="252">
        <f t="shared" si="58"/>
        <v>0</v>
      </c>
      <c r="I353" s="252">
        <f t="shared" si="50"/>
        <v>0</v>
      </c>
      <c r="J353" s="252">
        <f t="shared" si="51"/>
        <v>0</v>
      </c>
      <c r="K353" s="252">
        <f t="shared" si="52"/>
        <v>0</v>
      </c>
      <c r="N353" s="249">
        <f t="shared" si="53"/>
        <v>2</v>
      </c>
    </row>
    <row r="354" spans="1:14">
      <c r="A354" s="249">
        <f t="shared" si="54"/>
        <v>1</v>
      </c>
      <c r="B354" s="250" t="str">
        <f t="shared" si="59"/>
        <v/>
      </c>
      <c r="C354" s="251">
        <f t="shared" si="55"/>
        <v>0</v>
      </c>
      <c r="D354" s="252">
        <f t="shared" si="56"/>
        <v>0</v>
      </c>
      <c r="E354" s="252">
        <f t="shared" si="48"/>
        <v>0</v>
      </c>
      <c r="F354" s="252">
        <f t="shared" si="49"/>
        <v>0</v>
      </c>
      <c r="G354" s="252">
        <f t="shared" si="57"/>
        <v>0</v>
      </c>
      <c r="H354" s="252">
        <f t="shared" si="58"/>
        <v>0</v>
      </c>
      <c r="I354" s="252">
        <f t="shared" si="50"/>
        <v>0</v>
      </c>
      <c r="J354" s="252">
        <f t="shared" si="51"/>
        <v>0</v>
      </c>
      <c r="K354" s="252">
        <f t="shared" si="52"/>
        <v>0</v>
      </c>
      <c r="N354" s="249">
        <f t="shared" si="53"/>
        <v>2</v>
      </c>
    </row>
    <row r="355" spans="1:14">
      <c r="A355" s="249">
        <f t="shared" si="54"/>
        <v>1</v>
      </c>
      <c r="B355" s="250" t="str">
        <f t="shared" si="59"/>
        <v/>
      </c>
      <c r="C355" s="251">
        <f t="shared" si="55"/>
        <v>0</v>
      </c>
      <c r="D355" s="252">
        <f t="shared" si="56"/>
        <v>0</v>
      </c>
      <c r="E355" s="252">
        <f t="shared" si="48"/>
        <v>0</v>
      </c>
      <c r="F355" s="252">
        <f t="shared" si="49"/>
        <v>0</v>
      </c>
      <c r="G355" s="252">
        <f t="shared" si="57"/>
        <v>0</v>
      </c>
      <c r="H355" s="252">
        <f t="shared" si="58"/>
        <v>0</v>
      </c>
      <c r="I355" s="252">
        <f t="shared" si="50"/>
        <v>0</v>
      </c>
      <c r="J355" s="252">
        <f t="shared" si="51"/>
        <v>0</v>
      </c>
      <c r="K355" s="252">
        <f t="shared" si="52"/>
        <v>0</v>
      </c>
      <c r="N355" s="249">
        <f t="shared" si="53"/>
        <v>2</v>
      </c>
    </row>
    <row r="356" spans="1:14">
      <c r="A356" s="249">
        <f t="shared" si="54"/>
        <v>1</v>
      </c>
      <c r="B356" s="250" t="str">
        <f t="shared" si="59"/>
        <v/>
      </c>
      <c r="C356" s="251">
        <f t="shared" si="55"/>
        <v>0</v>
      </c>
      <c r="D356" s="252">
        <f t="shared" si="56"/>
        <v>0</v>
      </c>
      <c r="E356" s="252">
        <f t="shared" si="48"/>
        <v>0</v>
      </c>
      <c r="F356" s="252">
        <f t="shared" si="49"/>
        <v>0</v>
      </c>
      <c r="G356" s="252">
        <f t="shared" si="57"/>
        <v>0</v>
      </c>
      <c r="H356" s="252">
        <f t="shared" si="58"/>
        <v>0</v>
      </c>
      <c r="I356" s="252">
        <f t="shared" si="50"/>
        <v>0</v>
      </c>
      <c r="J356" s="252">
        <f t="shared" si="51"/>
        <v>0</v>
      </c>
      <c r="K356" s="252">
        <f t="shared" si="52"/>
        <v>0</v>
      </c>
      <c r="N356" s="249">
        <f t="shared" si="53"/>
        <v>2</v>
      </c>
    </row>
    <row r="357" spans="1:14">
      <c r="A357" s="249">
        <f t="shared" si="54"/>
        <v>1</v>
      </c>
      <c r="B357" s="250" t="str">
        <f t="shared" si="59"/>
        <v/>
      </c>
      <c r="C357" s="251">
        <f t="shared" si="55"/>
        <v>0</v>
      </c>
      <c r="D357" s="252">
        <f t="shared" si="56"/>
        <v>0</v>
      </c>
      <c r="E357" s="252">
        <f t="shared" si="48"/>
        <v>0</v>
      </c>
      <c r="F357" s="252">
        <f t="shared" si="49"/>
        <v>0</v>
      </c>
      <c r="G357" s="252">
        <f t="shared" si="57"/>
        <v>0</v>
      </c>
      <c r="H357" s="252">
        <f t="shared" si="58"/>
        <v>0</v>
      </c>
      <c r="I357" s="252">
        <f t="shared" si="50"/>
        <v>0</v>
      </c>
      <c r="J357" s="252">
        <f t="shared" si="51"/>
        <v>0</v>
      </c>
      <c r="K357" s="252">
        <f t="shared" si="52"/>
        <v>0</v>
      </c>
      <c r="N357" s="249">
        <f t="shared" si="53"/>
        <v>2</v>
      </c>
    </row>
    <row r="358" spans="1:14">
      <c r="A358" s="249">
        <f t="shared" si="54"/>
        <v>1</v>
      </c>
      <c r="B358" s="250" t="str">
        <f t="shared" si="59"/>
        <v/>
      </c>
      <c r="C358" s="251">
        <f t="shared" si="55"/>
        <v>0</v>
      </c>
      <c r="D358" s="252">
        <f t="shared" si="56"/>
        <v>0</v>
      </c>
      <c r="E358" s="252">
        <f t="shared" si="48"/>
        <v>0</v>
      </c>
      <c r="F358" s="252">
        <f t="shared" si="49"/>
        <v>0</v>
      </c>
      <c r="G358" s="252">
        <f t="shared" si="57"/>
        <v>0</v>
      </c>
      <c r="H358" s="252">
        <f t="shared" si="58"/>
        <v>0</v>
      </c>
      <c r="I358" s="252">
        <f t="shared" si="50"/>
        <v>0</v>
      </c>
      <c r="J358" s="252">
        <f t="shared" si="51"/>
        <v>0</v>
      </c>
      <c r="K358" s="252">
        <f t="shared" si="52"/>
        <v>0</v>
      </c>
      <c r="N358" s="249">
        <f t="shared" si="53"/>
        <v>2</v>
      </c>
    </row>
    <row r="359" spans="1:14">
      <c r="A359" s="249">
        <f t="shared" si="54"/>
        <v>1</v>
      </c>
      <c r="B359" s="250" t="str">
        <f t="shared" si="59"/>
        <v/>
      </c>
      <c r="C359" s="251">
        <f t="shared" si="55"/>
        <v>0</v>
      </c>
      <c r="D359" s="252">
        <f t="shared" si="56"/>
        <v>0</v>
      </c>
      <c r="E359" s="252">
        <f t="shared" ref="E359:E398" si="60">IF($C359,D359-F359-J359,0)</f>
        <v>0</v>
      </c>
      <c r="F359" s="252">
        <f t="shared" ref="F359:F398" si="61">IF(Pay_at=1,IF(C359,ROUND((+C359)*IF(Loan_Schedule_Type=1,$E$20,IF(Loan_Schedule_Type=2,$E$26,$I$31))/SUMIF($M$15:$M$19,$I$16,$N$15:$N$19),2),0),IF(C359,ROUND((+C359-D359)*IF(Loan_Schedule_Type=1,$E$20,IF(Loan_Schedule_Type=2,$E$26,$I$31))/SUMIF($M$15:$M$19,$I$16,$N$15:$N$19),2),0))</f>
        <v>0</v>
      </c>
      <c r="G359" s="252">
        <f t="shared" si="57"/>
        <v>0</v>
      </c>
      <c r="H359" s="252">
        <f t="shared" si="58"/>
        <v>0</v>
      </c>
      <c r="I359" s="252">
        <f t="shared" ref="I359:I398" si="62">IF(C359,C359-E359-J359,0)</f>
        <v>0</v>
      </c>
      <c r="J359" s="252">
        <f t="shared" ref="J359:J398" si="63">IF(D359=0,0,ROUND((D359-F359)/IF(Loan_Schedule_Type=1,$E$19,IF(Loan_Schedule_Type=2,$E$25,$E$31))*IF(Loan_Schedule_Type=1,$J$21,IF(Loan_Schedule_Type=2,$J$27,$J$33)),2))</f>
        <v>0</v>
      </c>
      <c r="K359" s="252">
        <f t="shared" ref="K359:K398" si="64">ROUND(J359/11,2)</f>
        <v>0</v>
      </c>
      <c r="N359" s="249">
        <f t="shared" ref="N359:N398" si="65">IF(B359&lt;$I$10,0,IF(B359&gt;($I$10+364),2,1))</f>
        <v>2</v>
      </c>
    </row>
    <row r="360" spans="1:14">
      <c r="A360" s="249">
        <f t="shared" ref="A360:A398" si="66">IF(C360&gt;0,+A359+1,A359)</f>
        <v>1</v>
      </c>
      <c r="B360" s="250" t="str">
        <f t="shared" si="59"/>
        <v/>
      </c>
      <c r="C360" s="251">
        <f t="shared" ref="C360:C398" si="67">IF(+I359&gt;0.01,I359,0)</f>
        <v>0</v>
      </c>
      <c r="D360" s="252">
        <f t="shared" ref="D360:D398" si="68">IF(C360&gt;0.01,IF(Pay_at=1,IF(A360=IF(Loan_Schedule_Type=1,$I$19,IF(Loan_Schedule_Type=2,$E$27,$E$33)),C360+F360,D359),IF(A360=IF(Loan_Schedule_Type=1,$I$19,IF(Loan_Schedule_Type=2,$E$27,$E$33)),C360,D359)),0)</f>
        <v>0</v>
      </c>
      <c r="E360" s="252">
        <f t="shared" si="60"/>
        <v>0</v>
      </c>
      <c r="F360" s="252">
        <f t="shared" si="61"/>
        <v>0</v>
      </c>
      <c r="G360" s="252">
        <f t="shared" ref="G360:G398" si="69">IF(C360,G359+E360+J360,0)</f>
        <v>0</v>
      </c>
      <c r="H360" s="252">
        <f t="shared" ref="H360:H398" si="70">IF(C360,H359+F360,0)</f>
        <v>0</v>
      </c>
      <c r="I360" s="252">
        <f t="shared" si="62"/>
        <v>0</v>
      </c>
      <c r="J360" s="252">
        <f t="shared" si="63"/>
        <v>0</v>
      </c>
      <c r="K360" s="252">
        <f t="shared" si="64"/>
        <v>0</v>
      </c>
      <c r="N360" s="249">
        <f t="shared" si="65"/>
        <v>2</v>
      </c>
    </row>
    <row r="361" spans="1:14">
      <c r="A361" s="249">
        <f t="shared" si="66"/>
        <v>1</v>
      </c>
      <c r="B361" s="250" t="str">
        <f t="shared" ref="B361:B398" si="71">IF(A361&gt;$E$33,"",IF($I$16="weekly",B360+7,IF($I$16="fortnightly",B360+14,IF($I$16="monthly",DATE(YEAR(B360),MONTH(B360)+1,DAY(1)),IF($I$16="6 monthly",DATE(YEAR(B360),MONTH(B360)+6,DAY(1)),IF($I$16="Annually",DATE(YEAR(B360)+1,MONTH(B360),DAY(B360))))))))</f>
        <v/>
      </c>
      <c r="C361" s="251">
        <f t="shared" si="67"/>
        <v>0</v>
      </c>
      <c r="D361" s="252">
        <f t="shared" si="68"/>
        <v>0</v>
      </c>
      <c r="E361" s="252">
        <f t="shared" si="60"/>
        <v>0</v>
      </c>
      <c r="F361" s="252">
        <f t="shared" si="61"/>
        <v>0</v>
      </c>
      <c r="G361" s="252">
        <f t="shared" si="69"/>
        <v>0</v>
      </c>
      <c r="H361" s="252">
        <f t="shared" si="70"/>
        <v>0</v>
      </c>
      <c r="I361" s="252">
        <f t="shared" si="62"/>
        <v>0</v>
      </c>
      <c r="J361" s="252">
        <f t="shared" si="63"/>
        <v>0</v>
      </c>
      <c r="K361" s="252">
        <f t="shared" si="64"/>
        <v>0</v>
      </c>
      <c r="N361" s="249">
        <f t="shared" si="65"/>
        <v>2</v>
      </c>
    </row>
    <row r="362" spans="1:14">
      <c r="A362" s="249">
        <f t="shared" si="66"/>
        <v>1</v>
      </c>
      <c r="B362" s="250" t="str">
        <f t="shared" si="71"/>
        <v/>
      </c>
      <c r="C362" s="251">
        <f t="shared" si="67"/>
        <v>0</v>
      </c>
      <c r="D362" s="252">
        <f t="shared" si="68"/>
        <v>0</v>
      </c>
      <c r="E362" s="252">
        <f t="shared" si="60"/>
        <v>0</v>
      </c>
      <c r="F362" s="252">
        <f t="shared" si="61"/>
        <v>0</v>
      </c>
      <c r="G362" s="252">
        <f t="shared" si="69"/>
        <v>0</v>
      </c>
      <c r="H362" s="252">
        <f t="shared" si="70"/>
        <v>0</v>
      </c>
      <c r="I362" s="252">
        <f t="shared" si="62"/>
        <v>0</v>
      </c>
      <c r="J362" s="252">
        <f t="shared" si="63"/>
        <v>0</v>
      </c>
      <c r="K362" s="252">
        <f t="shared" si="64"/>
        <v>0</v>
      </c>
      <c r="N362" s="249">
        <f t="shared" si="65"/>
        <v>2</v>
      </c>
    </row>
    <row r="363" spans="1:14">
      <c r="A363" s="249">
        <f t="shared" si="66"/>
        <v>1</v>
      </c>
      <c r="B363" s="250" t="str">
        <f t="shared" si="71"/>
        <v/>
      </c>
      <c r="C363" s="251">
        <f t="shared" si="67"/>
        <v>0</v>
      </c>
      <c r="D363" s="252">
        <f t="shared" si="68"/>
        <v>0</v>
      </c>
      <c r="E363" s="252">
        <f t="shared" si="60"/>
        <v>0</v>
      </c>
      <c r="F363" s="252">
        <f t="shared" si="61"/>
        <v>0</v>
      </c>
      <c r="G363" s="252">
        <f t="shared" si="69"/>
        <v>0</v>
      </c>
      <c r="H363" s="252">
        <f t="shared" si="70"/>
        <v>0</v>
      </c>
      <c r="I363" s="252">
        <f t="shared" si="62"/>
        <v>0</v>
      </c>
      <c r="J363" s="252">
        <f t="shared" si="63"/>
        <v>0</v>
      </c>
      <c r="K363" s="252">
        <f t="shared" si="64"/>
        <v>0</v>
      </c>
      <c r="N363" s="249">
        <f t="shared" si="65"/>
        <v>2</v>
      </c>
    </row>
    <row r="364" spans="1:14">
      <c r="A364" s="249">
        <f t="shared" si="66"/>
        <v>1</v>
      </c>
      <c r="B364" s="250" t="str">
        <f t="shared" si="71"/>
        <v/>
      </c>
      <c r="C364" s="251">
        <f t="shared" si="67"/>
        <v>0</v>
      </c>
      <c r="D364" s="252">
        <f t="shared" si="68"/>
        <v>0</v>
      </c>
      <c r="E364" s="252">
        <f t="shared" si="60"/>
        <v>0</v>
      </c>
      <c r="F364" s="252">
        <f t="shared" si="61"/>
        <v>0</v>
      </c>
      <c r="G364" s="252">
        <f t="shared" si="69"/>
        <v>0</v>
      </c>
      <c r="H364" s="252">
        <f t="shared" si="70"/>
        <v>0</v>
      </c>
      <c r="I364" s="252">
        <f t="shared" si="62"/>
        <v>0</v>
      </c>
      <c r="J364" s="252">
        <f t="shared" si="63"/>
        <v>0</v>
      </c>
      <c r="K364" s="252">
        <f t="shared" si="64"/>
        <v>0</v>
      </c>
      <c r="N364" s="249">
        <f t="shared" si="65"/>
        <v>2</v>
      </c>
    </row>
    <row r="365" spans="1:14">
      <c r="A365" s="249">
        <f t="shared" si="66"/>
        <v>1</v>
      </c>
      <c r="B365" s="250" t="str">
        <f t="shared" si="71"/>
        <v/>
      </c>
      <c r="C365" s="251">
        <f t="shared" si="67"/>
        <v>0</v>
      </c>
      <c r="D365" s="252">
        <f t="shared" si="68"/>
        <v>0</v>
      </c>
      <c r="E365" s="252">
        <f t="shared" si="60"/>
        <v>0</v>
      </c>
      <c r="F365" s="252">
        <f t="shared" si="61"/>
        <v>0</v>
      </c>
      <c r="G365" s="252">
        <f t="shared" si="69"/>
        <v>0</v>
      </c>
      <c r="H365" s="252">
        <f t="shared" si="70"/>
        <v>0</v>
      </c>
      <c r="I365" s="252">
        <f t="shared" si="62"/>
        <v>0</v>
      </c>
      <c r="J365" s="252">
        <f t="shared" si="63"/>
        <v>0</v>
      </c>
      <c r="K365" s="252">
        <f t="shared" si="64"/>
        <v>0</v>
      </c>
      <c r="N365" s="249">
        <f t="shared" si="65"/>
        <v>2</v>
      </c>
    </row>
    <row r="366" spans="1:14">
      <c r="A366" s="249">
        <f t="shared" si="66"/>
        <v>1</v>
      </c>
      <c r="B366" s="250" t="str">
        <f t="shared" si="71"/>
        <v/>
      </c>
      <c r="C366" s="251">
        <f t="shared" si="67"/>
        <v>0</v>
      </c>
      <c r="D366" s="252">
        <f t="shared" si="68"/>
        <v>0</v>
      </c>
      <c r="E366" s="252">
        <f t="shared" si="60"/>
        <v>0</v>
      </c>
      <c r="F366" s="252">
        <f t="shared" si="61"/>
        <v>0</v>
      </c>
      <c r="G366" s="252">
        <f t="shared" si="69"/>
        <v>0</v>
      </c>
      <c r="H366" s="252">
        <f t="shared" si="70"/>
        <v>0</v>
      </c>
      <c r="I366" s="252">
        <f t="shared" si="62"/>
        <v>0</v>
      </c>
      <c r="J366" s="252">
        <f t="shared" si="63"/>
        <v>0</v>
      </c>
      <c r="K366" s="252">
        <f t="shared" si="64"/>
        <v>0</v>
      </c>
      <c r="N366" s="249">
        <f t="shared" si="65"/>
        <v>2</v>
      </c>
    </row>
    <row r="367" spans="1:14">
      <c r="A367" s="249">
        <f t="shared" si="66"/>
        <v>1</v>
      </c>
      <c r="B367" s="250" t="str">
        <f t="shared" si="71"/>
        <v/>
      </c>
      <c r="C367" s="251">
        <f t="shared" si="67"/>
        <v>0</v>
      </c>
      <c r="D367" s="252">
        <f t="shared" si="68"/>
        <v>0</v>
      </c>
      <c r="E367" s="252">
        <f t="shared" si="60"/>
        <v>0</v>
      </c>
      <c r="F367" s="252">
        <f t="shared" si="61"/>
        <v>0</v>
      </c>
      <c r="G367" s="252">
        <f t="shared" si="69"/>
        <v>0</v>
      </c>
      <c r="H367" s="252">
        <f t="shared" si="70"/>
        <v>0</v>
      </c>
      <c r="I367" s="252">
        <f t="shared" si="62"/>
        <v>0</v>
      </c>
      <c r="J367" s="252">
        <f t="shared" si="63"/>
        <v>0</v>
      </c>
      <c r="K367" s="252">
        <f t="shared" si="64"/>
        <v>0</v>
      </c>
      <c r="N367" s="249">
        <f t="shared" si="65"/>
        <v>2</v>
      </c>
    </row>
    <row r="368" spans="1:14">
      <c r="A368" s="249">
        <f t="shared" si="66"/>
        <v>1</v>
      </c>
      <c r="B368" s="250" t="str">
        <f t="shared" si="71"/>
        <v/>
      </c>
      <c r="C368" s="251">
        <f t="shared" si="67"/>
        <v>0</v>
      </c>
      <c r="D368" s="252">
        <f t="shared" si="68"/>
        <v>0</v>
      </c>
      <c r="E368" s="252">
        <f t="shared" si="60"/>
        <v>0</v>
      </c>
      <c r="F368" s="252">
        <f t="shared" si="61"/>
        <v>0</v>
      </c>
      <c r="G368" s="252">
        <f t="shared" si="69"/>
        <v>0</v>
      </c>
      <c r="H368" s="252">
        <f t="shared" si="70"/>
        <v>0</v>
      </c>
      <c r="I368" s="252">
        <f t="shared" si="62"/>
        <v>0</v>
      </c>
      <c r="J368" s="252">
        <f t="shared" si="63"/>
        <v>0</v>
      </c>
      <c r="K368" s="252">
        <f t="shared" si="64"/>
        <v>0</v>
      </c>
      <c r="N368" s="249">
        <f t="shared" si="65"/>
        <v>2</v>
      </c>
    </row>
    <row r="369" spans="1:14">
      <c r="A369" s="249">
        <f t="shared" si="66"/>
        <v>1</v>
      </c>
      <c r="B369" s="250" t="str">
        <f t="shared" si="71"/>
        <v/>
      </c>
      <c r="C369" s="251">
        <f t="shared" si="67"/>
        <v>0</v>
      </c>
      <c r="D369" s="252">
        <f t="shared" si="68"/>
        <v>0</v>
      </c>
      <c r="E369" s="252">
        <f t="shared" si="60"/>
        <v>0</v>
      </c>
      <c r="F369" s="252">
        <f t="shared" si="61"/>
        <v>0</v>
      </c>
      <c r="G369" s="252">
        <f t="shared" si="69"/>
        <v>0</v>
      </c>
      <c r="H369" s="252">
        <f t="shared" si="70"/>
        <v>0</v>
      </c>
      <c r="I369" s="252">
        <f t="shared" si="62"/>
        <v>0</v>
      </c>
      <c r="J369" s="252">
        <f t="shared" si="63"/>
        <v>0</v>
      </c>
      <c r="K369" s="252">
        <f t="shared" si="64"/>
        <v>0</v>
      </c>
      <c r="N369" s="249">
        <f t="shared" si="65"/>
        <v>2</v>
      </c>
    </row>
    <row r="370" spans="1:14">
      <c r="A370" s="249">
        <f t="shared" si="66"/>
        <v>1</v>
      </c>
      <c r="B370" s="250" t="str">
        <f t="shared" si="71"/>
        <v/>
      </c>
      <c r="C370" s="251">
        <f t="shared" si="67"/>
        <v>0</v>
      </c>
      <c r="D370" s="252">
        <f t="shared" si="68"/>
        <v>0</v>
      </c>
      <c r="E370" s="252">
        <f t="shared" si="60"/>
        <v>0</v>
      </c>
      <c r="F370" s="252">
        <f t="shared" si="61"/>
        <v>0</v>
      </c>
      <c r="G370" s="252">
        <f t="shared" si="69"/>
        <v>0</v>
      </c>
      <c r="H370" s="252">
        <f t="shared" si="70"/>
        <v>0</v>
      </c>
      <c r="I370" s="252">
        <f t="shared" si="62"/>
        <v>0</v>
      </c>
      <c r="J370" s="252">
        <f t="shared" si="63"/>
        <v>0</v>
      </c>
      <c r="K370" s="252">
        <f t="shared" si="64"/>
        <v>0</v>
      </c>
      <c r="N370" s="249">
        <f t="shared" si="65"/>
        <v>2</v>
      </c>
    </row>
    <row r="371" spans="1:14">
      <c r="A371" s="249">
        <f t="shared" si="66"/>
        <v>1</v>
      </c>
      <c r="B371" s="250" t="str">
        <f t="shared" si="71"/>
        <v/>
      </c>
      <c r="C371" s="251">
        <f t="shared" si="67"/>
        <v>0</v>
      </c>
      <c r="D371" s="252">
        <f t="shared" si="68"/>
        <v>0</v>
      </c>
      <c r="E371" s="252">
        <f t="shared" si="60"/>
        <v>0</v>
      </c>
      <c r="F371" s="252">
        <f t="shared" si="61"/>
        <v>0</v>
      </c>
      <c r="G371" s="252">
        <f t="shared" si="69"/>
        <v>0</v>
      </c>
      <c r="H371" s="252">
        <f t="shared" si="70"/>
        <v>0</v>
      </c>
      <c r="I371" s="252">
        <f t="shared" si="62"/>
        <v>0</v>
      </c>
      <c r="J371" s="252">
        <f t="shared" si="63"/>
        <v>0</v>
      </c>
      <c r="K371" s="252">
        <f t="shared" si="64"/>
        <v>0</v>
      </c>
      <c r="N371" s="249">
        <f t="shared" si="65"/>
        <v>2</v>
      </c>
    </row>
    <row r="372" spans="1:14">
      <c r="A372" s="249">
        <f t="shared" si="66"/>
        <v>1</v>
      </c>
      <c r="B372" s="250" t="str">
        <f t="shared" si="71"/>
        <v/>
      </c>
      <c r="C372" s="251">
        <f t="shared" si="67"/>
        <v>0</v>
      </c>
      <c r="D372" s="252">
        <f t="shared" si="68"/>
        <v>0</v>
      </c>
      <c r="E372" s="252">
        <f t="shared" si="60"/>
        <v>0</v>
      </c>
      <c r="F372" s="252">
        <f t="shared" si="61"/>
        <v>0</v>
      </c>
      <c r="G372" s="252">
        <f t="shared" si="69"/>
        <v>0</v>
      </c>
      <c r="H372" s="252">
        <f t="shared" si="70"/>
        <v>0</v>
      </c>
      <c r="I372" s="252">
        <f t="shared" si="62"/>
        <v>0</v>
      </c>
      <c r="J372" s="252">
        <f t="shared" si="63"/>
        <v>0</v>
      </c>
      <c r="K372" s="252">
        <f t="shared" si="64"/>
        <v>0</v>
      </c>
      <c r="N372" s="249">
        <f t="shared" si="65"/>
        <v>2</v>
      </c>
    </row>
    <row r="373" spans="1:14">
      <c r="A373" s="249">
        <f t="shared" si="66"/>
        <v>1</v>
      </c>
      <c r="B373" s="250" t="str">
        <f t="shared" si="71"/>
        <v/>
      </c>
      <c r="C373" s="251">
        <f t="shared" si="67"/>
        <v>0</v>
      </c>
      <c r="D373" s="252">
        <f t="shared" si="68"/>
        <v>0</v>
      </c>
      <c r="E373" s="252">
        <f t="shared" si="60"/>
        <v>0</v>
      </c>
      <c r="F373" s="252">
        <f t="shared" si="61"/>
        <v>0</v>
      </c>
      <c r="G373" s="252">
        <f t="shared" si="69"/>
        <v>0</v>
      </c>
      <c r="H373" s="252">
        <f t="shared" si="70"/>
        <v>0</v>
      </c>
      <c r="I373" s="252">
        <f t="shared" si="62"/>
        <v>0</v>
      </c>
      <c r="J373" s="252">
        <f t="shared" si="63"/>
        <v>0</v>
      </c>
      <c r="K373" s="252">
        <f t="shared" si="64"/>
        <v>0</v>
      </c>
      <c r="N373" s="249">
        <f t="shared" si="65"/>
        <v>2</v>
      </c>
    </row>
    <row r="374" spans="1:14">
      <c r="A374" s="249">
        <f t="shared" si="66"/>
        <v>1</v>
      </c>
      <c r="B374" s="250" t="str">
        <f t="shared" si="71"/>
        <v/>
      </c>
      <c r="C374" s="251">
        <f t="shared" si="67"/>
        <v>0</v>
      </c>
      <c r="D374" s="252">
        <f t="shared" si="68"/>
        <v>0</v>
      </c>
      <c r="E374" s="252">
        <f t="shared" si="60"/>
        <v>0</v>
      </c>
      <c r="F374" s="252">
        <f t="shared" si="61"/>
        <v>0</v>
      </c>
      <c r="G374" s="252">
        <f t="shared" si="69"/>
        <v>0</v>
      </c>
      <c r="H374" s="252">
        <f t="shared" si="70"/>
        <v>0</v>
      </c>
      <c r="I374" s="252">
        <f t="shared" si="62"/>
        <v>0</v>
      </c>
      <c r="J374" s="252">
        <f t="shared" si="63"/>
        <v>0</v>
      </c>
      <c r="K374" s="252">
        <f t="shared" si="64"/>
        <v>0</v>
      </c>
      <c r="N374" s="249">
        <f t="shared" si="65"/>
        <v>2</v>
      </c>
    </row>
    <row r="375" spans="1:14">
      <c r="A375" s="249">
        <f t="shared" si="66"/>
        <v>1</v>
      </c>
      <c r="B375" s="250" t="str">
        <f t="shared" si="71"/>
        <v/>
      </c>
      <c r="C375" s="251">
        <f t="shared" si="67"/>
        <v>0</v>
      </c>
      <c r="D375" s="252">
        <f t="shared" si="68"/>
        <v>0</v>
      </c>
      <c r="E375" s="252">
        <f t="shared" si="60"/>
        <v>0</v>
      </c>
      <c r="F375" s="252">
        <f t="shared" si="61"/>
        <v>0</v>
      </c>
      <c r="G375" s="252">
        <f t="shared" si="69"/>
        <v>0</v>
      </c>
      <c r="H375" s="252">
        <f t="shared" si="70"/>
        <v>0</v>
      </c>
      <c r="I375" s="252">
        <f t="shared" si="62"/>
        <v>0</v>
      </c>
      <c r="J375" s="252">
        <f t="shared" si="63"/>
        <v>0</v>
      </c>
      <c r="K375" s="252">
        <f t="shared" si="64"/>
        <v>0</v>
      </c>
      <c r="N375" s="249">
        <f t="shared" si="65"/>
        <v>2</v>
      </c>
    </row>
    <row r="376" spans="1:14">
      <c r="A376" s="249">
        <f t="shared" si="66"/>
        <v>1</v>
      </c>
      <c r="B376" s="250" t="str">
        <f t="shared" si="71"/>
        <v/>
      </c>
      <c r="C376" s="251">
        <f t="shared" si="67"/>
        <v>0</v>
      </c>
      <c r="D376" s="252">
        <f t="shared" si="68"/>
        <v>0</v>
      </c>
      <c r="E376" s="252">
        <f t="shared" si="60"/>
        <v>0</v>
      </c>
      <c r="F376" s="252">
        <f t="shared" si="61"/>
        <v>0</v>
      </c>
      <c r="G376" s="252">
        <f t="shared" si="69"/>
        <v>0</v>
      </c>
      <c r="H376" s="252">
        <f t="shared" si="70"/>
        <v>0</v>
      </c>
      <c r="I376" s="252">
        <f t="shared" si="62"/>
        <v>0</v>
      </c>
      <c r="J376" s="252">
        <f t="shared" si="63"/>
        <v>0</v>
      </c>
      <c r="K376" s="252">
        <f t="shared" si="64"/>
        <v>0</v>
      </c>
      <c r="N376" s="249">
        <f t="shared" si="65"/>
        <v>2</v>
      </c>
    </row>
    <row r="377" spans="1:14">
      <c r="A377" s="249">
        <f t="shared" si="66"/>
        <v>1</v>
      </c>
      <c r="B377" s="250" t="str">
        <f t="shared" si="71"/>
        <v/>
      </c>
      <c r="C377" s="251">
        <f t="shared" si="67"/>
        <v>0</v>
      </c>
      <c r="D377" s="252">
        <f t="shared" si="68"/>
        <v>0</v>
      </c>
      <c r="E377" s="252">
        <f t="shared" si="60"/>
        <v>0</v>
      </c>
      <c r="F377" s="252">
        <f t="shared" si="61"/>
        <v>0</v>
      </c>
      <c r="G377" s="252">
        <f t="shared" si="69"/>
        <v>0</v>
      </c>
      <c r="H377" s="252">
        <f t="shared" si="70"/>
        <v>0</v>
      </c>
      <c r="I377" s="252">
        <f t="shared" si="62"/>
        <v>0</v>
      </c>
      <c r="J377" s="252">
        <f t="shared" si="63"/>
        <v>0</v>
      </c>
      <c r="K377" s="252">
        <f t="shared" si="64"/>
        <v>0</v>
      </c>
      <c r="N377" s="249">
        <f t="shared" si="65"/>
        <v>2</v>
      </c>
    </row>
    <row r="378" spans="1:14">
      <c r="A378" s="249">
        <f t="shared" si="66"/>
        <v>1</v>
      </c>
      <c r="B378" s="250" t="str">
        <f t="shared" si="71"/>
        <v/>
      </c>
      <c r="C378" s="251">
        <f t="shared" si="67"/>
        <v>0</v>
      </c>
      <c r="D378" s="252">
        <f t="shared" si="68"/>
        <v>0</v>
      </c>
      <c r="E378" s="252">
        <f t="shared" si="60"/>
        <v>0</v>
      </c>
      <c r="F378" s="252">
        <f t="shared" si="61"/>
        <v>0</v>
      </c>
      <c r="G378" s="252">
        <f t="shared" si="69"/>
        <v>0</v>
      </c>
      <c r="H378" s="252">
        <f t="shared" si="70"/>
        <v>0</v>
      </c>
      <c r="I378" s="252">
        <f t="shared" si="62"/>
        <v>0</v>
      </c>
      <c r="J378" s="252">
        <f t="shared" si="63"/>
        <v>0</v>
      </c>
      <c r="K378" s="252">
        <f t="shared" si="64"/>
        <v>0</v>
      </c>
      <c r="N378" s="249">
        <f t="shared" si="65"/>
        <v>2</v>
      </c>
    </row>
    <row r="379" spans="1:14">
      <c r="A379" s="249">
        <f t="shared" si="66"/>
        <v>1</v>
      </c>
      <c r="B379" s="250" t="str">
        <f t="shared" si="71"/>
        <v/>
      </c>
      <c r="C379" s="251">
        <f t="shared" si="67"/>
        <v>0</v>
      </c>
      <c r="D379" s="252">
        <f t="shared" si="68"/>
        <v>0</v>
      </c>
      <c r="E379" s="252">
        <f t="shared" si="60"/>
        <v>0</v>
      </c>
      <c r="F379" s="252">
        <f t="shared" si="61"/>
        <v>0</v>
      </c>
      <c r="G379" s="252">
        <f t="shared" si="69"/>
        <v>0</v>
      </c>
      <c r="H379" s="252">
        <f t="shared" si="70"/>
        <v>0</v>
      </c>
      <c r="I379" s="252">
        <f t="shared" si="62"/>
        <v>0</v>
      </c>
      <c r="J379" s="252">
        <f t="shared" si="63"/>
        <v>0</v>
      </c>
      <c r="K379" s="252">
        <f t="shared" si="64"/>
        <v>0</v>
      </c>
      <c r="N379" s="249">
        <f t="shared" si="65"/>
        <v>2</v>
      </c>
    </row>
    <row r="380" spans="1:14">
      <c r="A380" s="249">
        <f t="shared" si="66"/>
        <v>1</v>
      </c>
      <c r="B380" s="250" t="str">
        <f t="shared" si="71"/>
        <v/>
      </c>
      <c r="C380" s="251">
        <f t="shared" si="67"/>
        <v>0</v>
      </c>
      <c r="D380" s="252">
        <f t="shared" si="68"/>
        <v>0</v>
      </c>
      <c r="E380" s="252">
        <f t="shared" si="60"/>
        <v>0</v>
      </c>
      <c r="F380" s="252">
        <f t="shared" si="61"/>
        <v>0</v>
      </c>
      <c r="G380" s="252">
        <f t="shared" si="69"/>
        <v>0</v>
      </c>
      <c r="H380" s="252">
        <f t="shared" si="70"/>
        <v>0</v>
      </c>
      <c r="I380" s="252">
        <f t="shared" si="62"/>
        <v>0</v>
      </c>
      <c r="J380" s="252">
        <f t="shared" si="63"/>
        <v>0</v>
      </c>
      <c r="K380" s="252">
        <f t="shared" si="64"/>
        <v>0</v>
      </c>
      <c r="N380" s="249">
        <f t="shared" si="65"/>
        <v>2</v>
      </c>
    </row>
    <row r="381" spans="1:14">
      <c r="A381" s="249">
        <f t="shared" si="66"/>
        <v>1</v>
      </c>
      <c r="B381" s="250" t="str">
        <f t="shared" si="71"/>
        <v/>
      </c>
      <c r="C381" s="251">
        <f t="shared" si="67"/>
        <v>0</v>
      </c>
      <c r="D381" s="252">
        <f t="shared" si="68"/>
        <v>0</v>
      </c>
      <c r="E381" s="252">
        <f t="shared" si="60"/>
        <v>0</v>
      </c>
      <c r="F381" s="252">
        <f t="shared" si="61"/>
        <v>0</v>
      </c>
      <c r="G381" s="252">
        <f t="shared" si="69"/>
        <v>0</v>
      </c>
      <c r="H381" s="252">
        <f t="shared" si="70"/>
        <v>0</v>
      </c>
      <c r="I381" s="252">
        <f t="shared" si="62"/>
        <v>0</v>
      </c>
      <c r="J381" s="252">
        <f t="shared" si="63"/>
        <v>0</v>
      </c>
      <c r="K381" s="252">
        <f t="shared" si="64"/>
        <v>0</v>
      </c>
      <c r="N381" s="249">
        <f t="shared" si="65"/>
        <v>2</v>
      </c>
    </row>
    <row r="382" spans="1:14">
      <c r="A382" s="249">
        <f t="shared" si="66"/>
        <v>1</v>
      </c>
      <c r="B382" s="250" t="str">
        <f t="shared" si="71"/>
        <v/>
      </c>
      <c r="C382" s="251">
        <f t="shared" si="67"/>
        <v>0</v>
      </c>
      <c r="D382" s="252">
        <f t="shared" si="68"/>
        <v>0</v>
      </c>
      <c r="E382" s="252">
        <f t="shared" si="60"/>
        <v>0</v>
      </c>
      <c r="F382" s="252">
        <f t="shared" si="61"/>
        <v>0</v>
      </c>
      <c r="G382" s="252">
        <f t="shared" si="69"/>
        <v>0</v>
      </c>
      <c r="H382" s="252">
        <f t="shared" si="70"/>
        <v>0</v>
      </c>
      <c r="I382" s="252">
        <f t="shared" si="62"/>
        <v>0</v>
      </c>
      <c r="J382" s="252">
        <f t="shared" si="63"/>
        <v>0</v>
      </c>
      <c r="K382" s="252">
        <f t="shared" si="64"/>
        <v>0</v>
      </c>
      <c r="N382" s="249">
        <f t="shared" si="65"/>
        <v>2</v>
      </c>
    </row>
    <row r="383" spans="1:14">
      <c r="A383" s="249">
        <f t="shared" si="66"/>
        <v>1</v>
      </c>
      <c r="B383" s="250" t="str">
        <f t="shared" si="71"/>
        <v/>
      </c>
      <c r="C383" s="251">
        <f t="shared" si="67"/>
        <v>0</v>
      </c>
      <c r="D383" s="252">
        <f t="shared" si="68"/>
        <v>0</v>
      </c>
      <c r="E383" s="252">
        <f t="shared" si="60"/>
        <v>0</v>
      </c>
      <c r="F383" s="252">
        <f t="shared" si="61"/>
        <v>0</v>
      </c>
      <c r="G383" s="252">
        <f t="shared" si="69"/>
        <v>0</v>
      </c>
      <c r="H383" s="252">
        <f t="shared" si="70"/>
        <v>0</v>
      </c>
      <c r="I383" s="252">
        <f t="shared" si="62"/>
        <v>0</v>
      </c>
      <c r="J383" s="252">
        <f t="shared" si="63"/>
        <v>0</v>
      </c>
      <c r="K383" s="252">
        <f t="shared" si="64"/>
        <v>0</v>
      </c>
      <c r="N383" s="249">
        <f t="shared" si="65"/>
        <v>2</v>
      </c>
    </row>
    <row r="384" spans="1:14">
      <c r="A384" s="249">
        <f t="shared" si="66"/>
        <v>1</v>
      </c>
      <c r="B384" s="250" t="str">
        <f t="shared" si="71"/>
        <v/>
      </c>
      <c r="C384" s="251">
        <f t="shared" si="67"/>
        <v>0</v>
      </c>
      <c r="D384" s="252">
        <f t="shared" si="68"/>
        <v>0</v>
      </c>
      <c r="E384" s="252">
        <f t="shared" si="60"/>
        <v>0</v>
      </c>
      <c r="F384" s="252">
        <f t="shared" si="61"/>
        <v>0</v>
      </c>
      <c r="G384" s="252">
        <f t="shared" si="69"/>
        <v>0</v>
      </c>
      <c r="H384" s="252">
        <f t="shared" si="70"/>
        <v>0</v>
      </c>
      <c r="I384" s="252">
        <f t="shared" si="62"/>
        <v>0</v>
      </c>
      <c r="J384" s="252">
        <f t="shared" si="63"/>
        <v>0</v>
      </c>
      <c r="K384" s="252">
        <f t="shared" si="64"/>
        <v>0</v>
      </c>
      <c r="N384" s="249">
        <f t="shared" si="65"/>
        <v>2</v>
      </c>
    </row>
    <row r="385" spans="1:14">
      <c r="A385" s="249">
        <f t="shared" si="66"/>
        <v>1</v>
      </c>
      <c r="B385" s="250" t="str">
        <f t="shared" si="71"/>
        <v/>
      </c>
      <c r="C385" s="251">
        <f t="shared" si="67"/>
        <v>0</v>
      </c>
      <c r="D385" s="252">
        <f t="shared" si="68"/>
        <v>0</v>
      </c>
      <c r="E385" s="252">
        <f t="shared" si="60"/>
        <v>0</v>
      </c>
      <c r="F385" s="252">
        <f t="shared" si="61"/>
        <v>0</v>
      </c>
      <c r="G385" s="252">
        <f t="shared" si="69"/>
        <v>0</v>
      </c>
      <c r="H385" s="252">
        <f t="shared" si="70"/>
        <v>0</v>
      </c>
      <c r="I385" s="252">
        <f t="shared" si="62"/>
        <v>0</v>
      </c>
      <c r="J385" s="252">
        <f t="shared" si="63"/>
        <v>0</v>
      </c>
      <c r="K385" s="252">
        <f t="shared" si="64"/>
        <v>0</v>
      </c>
      <c r="N385" s="249">
        <f t="shared" si="65"/>
        <v>2</v>
      </c>
    </row>
    <row r="386" spans="1:14">
      <c r="A386" s="249">
        <f t="shared" si="66"/>
        <v>1</v>
      </c>
      <c r="B386" s="250" t="str">
        <f t="shared" si="71"/>
        <v/>
      </c>
      <c r="C386" s="251">
        <f t="shared" si="67"/>
        <v>0</v>
      </c>
      <c r="D386" s="252">
        <f t="shared" si="68"/>
        <v>0</v>
      </c>
      <c r="E386" s="252">
        <f t="shared" si="60"/>
        <v>0</v>
      </c>
      <c r="F386" s="252">
        <f t="shared" si="61"/>
        <v>0</v>
      </c>
      <c r="G386" s="252">
        <f t="shared" si="69"/>
        <v>0</v>
      </c>
      <c r="H386" s="252">
        <f t="shared" si="70"/>
        <v>0</v>
      </c>
      <c r="I386" s="252">
        <f t="shared" si="62"/>
        <v>0</v>
      </c>
      <c r="J386" s="252">
        <f t="shared" si="63"/>
        <v>0</v>
      </c>
      <c r="K386" s="252">
        <f t="shared" si="64"/>
        <v>0</v>
      </c>
      <c r="N386" s="249">
        <f t="shared" si="65"/>
        <v>2</v>
      </c>
    </row>
    <row r="387" spans="1:14">
      <c r="A387" s="249">
        <f t="shared" si="66"/>
        <v>1</v>
      </c>
      <c r="B387" s="250" t="str">
        <f t="shared" si="71"/>
        <v/>
      </c>
      <c r="C387" s="251">
        <f t="shared" si="67"/>
        <v>0</v>
      </c>
      <c r="D387" s="252">
        <f t="shared" si="68"/>
        <v>0</v>
      </c>
      <c r="E387" s="252">
        <f t="shared" si="60"/>
        <v>0</v>
      </c>
      <c r="F387" s="252">
        <f t="shared" si="61"/>
        <v>0</v>
      </c>
      <c r="G387" s="252">
        <f t="shared" si="69"/>
        <v>0</v>
      </c>
      <c r="H387" s="252">
        <f t="shared" si="70"/>
        <v>0</v>
      </c>
      <c r="I387" s="252">
        <f t="shared" si="62"/>
        <v>0</v>
      </c>
      <c r="J387" s="252">
        <f t="shared" si="63"/>
        <v>0</v>
      </c>
      <c r="K387" s="252">
        <f t="shared" si="64"/>
        <v>0</v>
      </c>
      <c r="N387" s="249">
        <f t="shared" si="65"/>
        <v>2</v>
      </c>
    </row>
    <row r="388" spans="1:14">
      <c r="A388" s="249">
        <f t="shared" si="66"/>
        <v>1</v>
      </c>
      <c r="B388" s="250" t="str">
        <f t="shared" si="71"/>
        <v/>
      </c>
      <c r="C388" s="251">
        <f t="shared" si="67"/>
        <v>0</v>
      </c>
      <c r="D388" s="252">
        <f t="shared" si="68"/>
        <v>0</v>
      </c>
      <c r="E388" s="252">
        <f t="shared" si="60"/>
        <v>0</v>
      </c>
      <c r="F388" s="252">
        <f t="shared" si="61"/>
        <v>0</v>
      </c>
      <c r="G388" s="252">
        <f t="shared" si="69"/>
        <v>0</v>
      </c>
      <c r="H388" s="252">
        <f t="shared" si="70"/>
        <v>0</v>
      </c>
      <c r="I388" s="252">
        <f t="shared" si="62"/>
        <v>0</v>
      </c>
      <c r="J388" s="252">
        <f t="shared" si="63"/>
        <v>0</v>
      </c>
      <c r="K388" s="252">
        <f t="shared" si="64"/>
        <v>0</v>
      </c>
      <c r="N388" s="249">
        <f t="shared" si="65"/>
        <v>2</v>
      </c>
    </row>
    <row r="389" spans="1:14">
      <c r="A389" s="249">
        <f t="shared" si="66"/>
        <v>1</v>
      </c>
      <c r="B389" s="250" t="str">
        <f t="shared" si="71"/>
        <v/>
      </c>
      <c r="C389" s="251">
        <f t="shared" si="67"/>
        <v>0</v>
      </c>
      <c r="D389" s="252">
        <f t="shared" si="68"/>
        <v>0</v>
      </c>
      <c r="E389" s="252">
        <f t="shared" si="60"/>
        <v>0</v>
      </c>
      <c r="F389" s="252">
        <f t="shared" si="61"/>
        <v>0</v>
      </c>
      <c r="G389" s="252">
        <f t="shared" si="69"/>
        <v>0</v>
      </c>
      <c r="H389" s="252">
        <f t="shared" si="70"/>
        <v>0</v>
      </c>
      <c r="I389" s="252">
        <f t="shared" si="62"/>
        <v>0</v>
      </c>
      <c r="J389" s="252">
        <f t="shared" si="63"/>
        <v>0</v>
      </c>
      <c r="K389" s="252">
        <f t="shared" si="64"/>
        <v>0</v>
      </c>
      <c r="N389" s="249">
        <f t="shared" si="65"/>
        <v>2</v>
      </c>
    </row>
    <row r="390" spans="1:14">
      <c r="A390" s="249">
        <f t="shared" si="66"/>
        <v>1</v>
      </c>
      <c r="B390" s="250" t="str">
        <f t="shared" si="71"/>
        <v/>
      </c>
      <c r="C390" s="251">
        <f t="shared" si="67"/>
        <v>0</v>
      </c>
      <c r="D390" s="252">
        <f t="shared" si="68"/>
        <v>0</v>
      </c>
      <c r="E390" s="252">
        <f t="shared" si="60"/>
        <v>0</v>
      </c>
      <c r="F390" s="252">
        <f t="shared" si="61"/>
        <v>0</v>
      </c>
      <c r="G390" s="252">
        <f t="shared" si="69"/>
        <v>0</v>
      </c>
      <c r="H390" s="252">
        <f t="shared" si="70"/>
        <v>0</v>
      </c>
      <c r="I390" s="252">
        <f t="shared" si="62"/>
        <v>0</v>
      </c>
      <c r="J390" s="252">
        <f t="shared" si="63"/>
        <v>0</v>
      </c>
      <c r="K390" s="252">
        <f t="shared" si="64"/>
        <v>0</v>
      </c>
      <c r="N390" s="249">
        <f t="shared" si="65"/>
        <v>2</v>
      </c>
    </row>
    <row r="391" spans="1:14">
      <c r="A391" s="249">
        <f t="shared" si="66"/>
        <v>1</v>
      </c>
      <c r="B391" s="250" t="str">
        <f t="shared" si="71"/>
        <v/>
      </c>
      <c r="C391" s="251">
        <f t="shared" si="67"/>
        <v>0</v>
      </c>
      <c r="D391" s="252">
        <f t="shared" si="68"/>
        <v>0</v>
      </c>
      <c r="E391" s="252">
        <f t="shared" si="60"/>
        <v>0</v>
      </c>
      <c r="F391" s="252">
        <f t="shared" si="61"/>
        <v>0</v>
      </c>
      <c r="G391" s="252">
        <f t="shared" si="69"/>
        <v>0</v>
      </c>
      <c r="H391" s="252">
        <f t="shared" si="70"/>
        <v>0</v>
      </c>
      <c r="I391" s="252">
        <f t="shared" si="62"/>
        <v>0</v>
      </c>
      <c r="J391" s="252">
        <f t="shared" si="63"/>
        <v>0</v>
      </c>
      <c r="K391" s="252">
        <f t="shared" si="64"/>
        <v>0</v>
      </c>
      <c r="N391" s="249">
        <f t="shared" si="65"/>
        <v>2</v>
      </c>
    </row>
    <row r="392" spans="1:14">
      <c r="A392" s="249">
        <f t="shared" si="66"/>
        <v>1</v>
      </c>
      <c r="B392" s="250" t="str">
        <f t="shared" si="71"/>
        <v/>
      </c>
      <c r="C392" s="251">
        <f t="shared" si="67"/>
        <v>0</v>
      </c>
      <c r="D392" s="252">
        <f t="shared" si="68"/>
        <v>0</v>
      </c>
      <c r="E392" s="252">
        <f t="shared" si="60"/>
        <v>0</v>
      </c>
      <c r="F392" s="252">
        <f t="shared" si="61"/>
        <v>0</v>
      </c>
      <c r="G392" s="252">
        <f t="shared" si="69"/>
        <v>0</v>
      </c>
      <c r="H392" s="252">
        <f t="shared" si="70"/>
        <v>0</v>
      </c>
      <c r="I392" s="252">
        <f t="shared" si="62"/>
        <v>0</v>
      </c>
      <c r="J392" s="252">
        <f t="shared" si="63"/>
        <v>0</v>
      </c>
      <c r="K392" s="252">
        <f t="shared" si="64"/>
        <v>0</v>
      </c>
      <c r="N392" s="249">
        <f t="shared" si="65"/>
        <v>2</v>
      </c>
    </row>
    <row r="393" spans="1:14">
      <c r="A393" s="249">
        <f t="shared" si="66"/>
        <v>1</v>
      </c>
      <c r="B393" s="250" t="str">
        <f t="shared" si="71"/>
        <v/>
      </c>
      <c r="C393" s="251">
        <f t="shared" si="67"/>
        <v>0</v>
      </c>
      <c r="D393" s="252">
        <f t="shared" si="68"/>
        <v>0</v>
      </c>
      <c r="E393" s="252">
        <f t="shared" si="60"/>
        <v>0</v>
      </c>
      <c r="F393" s="252">
        <f t="shared" si="61"/>
        <v>0</v>
      </c>
      <c r="G393" s="252">
        <f t="shared" si="69"/>
        <v>0</v>
      </c>
      <c r="H393" s="252">
        <f t="shared" si="70"/>
        <v>0</v>
      </c>
      <c r="I393" s="252">
        <f t="shared" si="62"/>
        <v>0</v>
      </c>
      <c r="J393" s="252">
        <f t="shared" si="63"/>
        <v>0</v>
      </c>
      <c r="K393" s="252">
        <f t="shared" si="64"/>
        <v>0</v>
      </c>
      <c r="N393" s="249">
        <f t="shared" si="65"/>
        <v>2</v>
      </c>
    </row>
    <row r="394" spans="1:14">
      <c r="A394" s="249">
        <f t="shared" si="66"/>
        <v>1</v>
      </c>
      <c r="B394" s="250" t="str">
        <f t="shared" si="71"/>
        <v/>
      </c>
      <c r="C394" s="251">
        <f t="shared" si="67"/>
        <v>0</v>
      </c>
      <c r="D394" s="252">
        <f t="shared" si="68"/>
        <v>0</v>
      </c>
      <c r="E394" s="252">
        <f t="shared" si="60"/>
        <v>0</v>
      </c>
      <c r="F394" s="252">
        <f t="shared" si="61"/>
        <v>0</v>
      </c>
      <c r="G394" s="252">
        <f t="shared" si="69"/>
        <v>0</v>
      </c>
      <c r="H394" s="252">
        <f t="shared" si="70"/>
        <v>0</v>
      </c>
      <c r="I394" s="252">
        <f t="shared" si="62"/>
        <v>0</v>
      </c>
      <c r="J394" s="252">
        <f t="shared" si="63"/>
        <v>0</v>
      </c>
      <c r="K394" s="252">
        <f t="shared" si="64"/>
        <v>0</v>
      </c>
      <c r="N394" s="249">
        <f t="shared" si="65"/>
        <v>2</v>
      </c>
    </row>
    <row r="395" spans="1:14">
      <c r="A395" s="249">
        <f t="shared" si="66"/>
        <v>1</v>
      </c>
      <c r="B395" s="250" t="str">
        <f t="shared" si="71"/>
        <v/>
      </c>
      <c r="C395" s="251">
        <f t="shared" si="67"/>
        <v>0</v>
      </c>
      <c r="D395" s="252">
        <f t="shared" si="68"/>
        <v>0</v>
      </c>
      <c r="E395" s="252">
        <f t="shared" si="60"/>
        <v>0</v>
      </c>
      <c r="F395" s="252">
        <f t="shared" si="61"/>
        <v>0</v>
      </c>
      <c r="G395" s="252">
        <f t="shared" si="69"/>
        <v>0</v>
      </c>
      <c r="H395" s="252">
        <f t="shared" si="70"/>
        <v>0</v>
      </c>
      <c r="I395" s="252">
        <f t="shared" si="62"/>
        <v>0</v>
      </c>
      <c r="J395" s="252">
        <f t="shared" si="63"/>
        <v>0</v>
      </c>
      <c r="K395" s="252">
        <f t="shared" si="64"/>
        <v>0</v>
      </c>
      <c r="N395" s="249">
        <f t="shared" si="65"/>
        <v>2</v>
      </c>
    </row>
    <row r="396" spans="1:14">
      <c r="A396" s="249">
        <f t="shared" si="66"/>
        <v>1</v>
      </c>
      <c r="B396" s="250" t="str">
        <f t="shared" si="71"/>
        <v/>
      </c>
      <c r="C396" s="251">
        <f t="shared" si="67"/>
        <v>0</v>
      </c>
      <c r="D396" s="252">
        <f t="shared" si="68"/>
        <v>0</v>
      </c>
      <c r="E396" s="252">
        <f t="shared" si="60"/>
        <v>0</v>
      </c>
      <c r="F396" s="252">
        <f t="shared" si="61"/>
        <v>0</v>
      </c>
      <c r="G396" s="252">
        <f t="shared" si="69"/>
        <v>0</v>
      </c>
      <c r="H396" s="252">
        <f t="shared" si="70"/>
        <v>0</v>
      </c>
      <c r="I396" s="252">
        <f t="shared" si="62"/>
        <v>0</v>
      </c>
      <c r="J396" s="252">
        <f t="shared" si="63"/>
        <v>0</v>
      </c>
      <c r="K396" s="252">
        <f t="shared" si="64"/>
        <v>0</v>
      </c>
      <c r="N396" s="249">
        <f t="shared" si="65"/>
        <v>2</v>
      </c>
    </row>
    <row r="397" spans="1:14">
      <c r="A397" s="249">
        <f t="shared" si="66"/>
        <v>1</v>
      </c>
      <c r="B397" s="250" t="str">
        <f t="shared" si="71"/>
        <v/>
      </c>
      <c r="C397" s="251">
        <f t="shared" si="67"/>
        <v>0</v>
      </c>
      <c r="D397" s="252">
        <f t="shared" si="68"/>
        <v>0</v>
      </c>
      <c r="E397" s="252">
        <f t="shared" si="60"/>
        <v>0</v>
      </c>
      <c r="F397" s="252">
        <f t="shared" si="61"/>
        <v>0</v>
      </c>
      <c r="G397" s="252">
        <f t="shared" si="69"/>
        <v>0</v>
      </c>
      <c r="H397" s="252">
        <f t="shared" si="70"/>
        <v>0</v>
      </c>
      <c r="I397" s="252">
        <f t="shared" si="62"/>
        <v>0</v>
      </c>
      <c r="J397" s="252">
        <f t="shared" si="63"/>
        <v>0</v>
      </c>
      <c r="K397" s="252">
        <f t="shared" si="64"/>
        <v>0</v>
      </c>
      <c r="N397" s="249">
        <f t="shared" si="65"/>
        <v>2</v>
      </c>
    </row>
    <row r="398" spans="1:14">
      <c r="A398" s="249">
        <f t="shared" si="66"/>
        <v>1</v>
      </c>
      <c r="B398" s="250" t="str">
        <f t="shared" si="71"/>
        <v/>
      </c>
      <c r="C398" s="251">
        <f t="shared" si="67"/>
        <v>0</v>
      </c>
      <c r="D398" s="252">
        <f t="shared" si="68"/>
        <v>0</v>
      </c>
      <c r="E398" s="252">
        <f t="shared" si="60"/>
        <v>0</v>
      </c>
      <c r="F398" s="252">
        <f t="shared" si="61"/>
        <v>0</v>
      </c>
      <c r="G398" s="252">
        <f t="shared" si="69"/>
        <v>0</v>
      </c>
      <c r="H398" s="252">
        <f t="shared" si="70"/>
        <v>0</v>
      </c>
      <c r="I398" s="252">
        <f t="shared" si="62"/>
        <v>0</v>
      </c>
      <c r="J398" s="252">
        <f t="shared" si="63"/>
        <v>0</v>
      </c>
      <c r="K398" s="252">
        <f t="shared" si="64"/>
        <v>0</v>
      </c>
      <c r="N398" s="249">
        <f t="shared" si="65"/>
        <v>2</v>
      </c>
    </row>
    <row r="399" spans="1:14" ht="13.5" thickBot="1">
      <c r="C399" s="253">
        <f>C39</f>
        <v>0</v>
      </c>
      <c r="D399" s="253">
        <f>SUM(D39:D398)</f>
        <v>0</v>
      </c>
      <c r="E399" s="253">
        <f>SUM(E39:E398)</f>
        <v>0</v>
      </c>
      <c r="F399" s="253">
        <f>SUM(F39:F398)</f>
        <v>0</v>
      </c>
      <c r="G399" s="253">
        <f>+MAX(G39:G398)</f>
        <v>0</v>
      </c>
      <c r="H399" s="253">
        <f>+MAX(H39:H398)</f>
        <v>0</v>
      </c>
      <c r="I399" s="253" t="str">
        <f>IF(D399,C399-E399,"")</f>
        <v/>
      </c>
      <c r="J399" s="253">
        <f>SUM(J39:J398)</f>
        <v>0</v>
      </c>
      <c r="K399" s="253">
        <f>SUM(K39:K398)</f>
        <v>0</v>
      </c>
    </row>
    <row r="400" spans="1:14" ht="13.5" thickTop="1">
      <c r="D400" s="254"/>
    </row>
    <row r="401" spans="1:9">
      <c r="A401" s="627" t="s">
        <v>172</v>
      </c>
    </row>
    <row r="402" spans="1:9" ht="46.5" customHeight="1">
      <c r="A402" s="4010"/>
      <c r="B402" s="4011"/>
      <c r="C402" s="4011"/>
      <c r="D402" s="4011"/>
      <c r="E402" s="4011"/>
      <c r="F402" s="4011"/>
      <c r="G402" s="4011"/>
      <c r="H402" s="4011"/>
      <c r="I402" s="4012"/>
    </row>
  </sheetData>
  <customSheetViews>
    <customSheetView guid="{BCBE45D4-3C45-4659-992E-5C5D3E9FD81C}" showPageBreaks="1" fitToPage="1" hiddenRows="1" hiddenColumns="1" state="hidden">
      <selection activeCell="Q54" sqref="Q54"/>
      <pageMargins left="0.59055118110236227" right="0.43307086614173229" top="0.6692913385826772" bottom="0.94488188976377963" header="0.51181102362204722" footer="0.39370078740157483"/>
      <printOptions horizontalCentered="1"/>
      <pageSetup paperSize="9" scale="8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hiddenRows="1" hiddenColumns="1" state="hidden">
      <selection activeCell="Q54" sqref="Q54"/>
      <pageMargins left="0.59055118110236227" right="0.43307086614173229" top="0.6692913385826772" bottom="0.94488188976377963" header="0.51181102362204722" footer="0.39370078740157483"/>
      <printOptions horizontalCentered="1"/>
      <pageSetup paperSize="9" scale="80" fitToHeight="999" orientation="portrait" blackAndWhite="1" r:id="rId2"/>
      <headerFooter alignWithMargins="0">
        <oddFooter>&amp;L&amp;8Copyright Crowe Horwath (Aust) Pty Ltd 2016.  All rights reserved.
&amp;Z&amp;F[&amp;A]&amp;R&amp;8&amp;P/&amp;N</oddFooter>
      </headerFooter>
    </customSheetView>
  </customSheetViews>
  <mergeCells count="20">
    <mergeCell ref="A402:I402"/>
    <mergeCell ref="F18:I18"/>
    <mergeCell ref="C13:F13"/>
    <mergeCell ref="A16:D16"/>
    <mergeCell ref="H13:I13"/>
    <mergeCell ref="A30:E30"/>
    <mergeCell ref="F30:I30"/>
    <mergeCell ref="F19:H19"/>
    <mergeCell ref="A24:E24"/>
    <mergeCell ref="F24:I24"/>
    <mergeCell ref="A8:I8"/>
    <mergeCell ref="H9:J9"/>
    <mergeCell ref="F21:H21"/>
    <mergeCell ref="F22:H22"/>
    <mergeCell ref="F20:H20"/>
    <mergeCell ref="A19:D19"/>
    <mergeCell ref="A20:D20"/>
    <mergeCell ref="A22:D22"/>
    <mergeCell ref="A21:D21"/>
    <mergeCell ref="A18:E18"/>
  </mergeCells>
  <phoneticPr fontId="38" type="noConversion"/>
  <conditionalFormatting sqref="O154">
    <cfRule type="expression" dxfId="25" priority="1" stopIfTrue="1">
      <formula>SUM($154:$154)=0</formula>
    </cfRule>
  </conditionalFormatting>
  <dataValidations count="1">
    <dataValidation type="list" allowBlank="1" showInputMessage="1" showErrorMessage="1" sqref="I16" xr:uid="{00000000-0002-0000-2600-000000000000}">
      <formula1>$M$15:$M$19</formula1>
    </dataValidation>
  </dataValidations>
  <hyperlinks>
    <hyperlink ref="J8" r:id="rId3" display="https://www.whkpulse.com.au/browse/folder.asp?d=59455970585F505343797C0904030905" xr:uid="{00000000-0004-0000-2600-000000000000}"/>
    <hyperlink ref="H9" location="WP_Interest_Calculation_Irregular_Payments" display="Back to Workpaper Index" xr:uid="{00000000-0004-0000-2600-000001000000}"/>
    <hyperlink ref="H9:J9" location="WPIndex!A1" display="Back to WP Index" xr:uid="{00000000-0004-0000-2600-000002000000}"/>
  </hyperlinks>
  <printOptions horizontalCentered="1"/>
  <pageMargins left="0.59055118110236227" right="0.43307086614173229" top="0.6692913385826772" bottom="0.94488188976377963" header="0.51181102362204722" footer="0.39370078740157483"/>
  <pageSetup paperSize="9" scale="78" fitToHeight="999" orientation="portrait" r:id="rId4"/>
  <headerFooter alignWithMargins="0">
    <oddFooter>&amp;L&amp;8© Findex (Aust) Pty Ltd.  All rights reserved.&amp;R&amp;8&amp;P/&amp;N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07521" r:id="rId7" name="Drop Down 1">
              <controlPr defaultSize="0" autoLine="0" autoPict="0" macro="[0]!Module13.Loan_Schedule_Type">
                <anchor moveWithCells="1">
                  <from>
                    <xdr:col>4</xdr:col>
                    <xdr:colOff>323850</xdr:colOff>
                    <xdr:row>14</xdr:row>
                    <xdr:rowOff>142875</xdr:rowOff>
                  </from>
                  <to>
                    <xdr:col>5</xdr:col>
                    <xdr:colOff>809625</xdr:colOff>
                    <xdr:row>16</xdr:row>
                    <xdr:rowOff>19050</xdr:rowOff>
                  </to>
                </anchor>
              </controlPr>
            </control>
          </mc:Choice>
        </mc:AlternateContent>
        <mc:AlternateContent xmlns:mc="http://schemas.openxmlformats.org/markup-compatibility/2006">
          <mc:Choice Requires="x14">
            <control shapeId="107524" r:id="rId8" name="Drop Down 4">
              <controlPr defaultSize="0" autoLine="0" autoPict="0">
                <anchor moveWithCells="1">
                  <from>
                    <xdr:col>5</xdr:col>
                    <xdr:colOff>895350</xdr:colOff>
                    <xdr:row>14</xdr:row>
                    <xdr:rowOff>142875</xdr:rowOff>
                  </from>
                  <to>
                    <xdr:col>6</xdr:col>
                    <xdr:colOff>819150</xdr:colOff>
                    <xdr:row>16</xdr:row>
                    <xdr:rowOff>19050</xdr:rowOff>
                  </to>
                </anchor>
              </controlPr>
            </control>
          </mc:Choice>
        </mc:AlternateContent>
        <mc:AlternateContent xmlns:mc="http://schemas.openxmlformats.org/markup-compatibility/2006">
          <mc:Choice Requires="x14">
            <control shapeId="107525" r:id="rId9" name="Drop Down 5">
              <controlPr defaultSize="0" autoLine="0" autoPict="0" macro="[0]!Loan_Sheet_Type">
                <anchor moveWithCells="1">
                  <from>
                    <xdr:col>3</xdr:col>
                    <xdr:colOff>228600</xdr:colOff>
                    <xdr:row>14</xdr:row>
                    <xdr:rowOff>133350</xdr:rowOff>
                  </from>
                  <to>
                    <xdr:col>4</xdr:col>
                    <xdr:colOff>219075</xdr:colOff>
                    <xdr:row>16</xdr:row>
                    <xdr:rowOff>9525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P_Summary_Sheet">
    <pageSetUpPr fitToPage="1"/>
  </sheetPr>
  <dimension ref="A1:P29"/>
  <sheetViews>
    <sheetView showGridLines="0" zoomScaleNormal="100" workbookViewId="0"/>
  </sheetViews>
  <sheetFormatPr defaultColWidth="11.42578125" defaultRowHeight="12.75"/>
  <cols>
    <col min="1" max="1" width="32.5703125" style="827" customWidth="1"/>
    <col min="2" max="6" width="11.42578125" style="863" customWidth="1"/>
    <col min="7" max="7" width="0.7109375" style="863" customWidth="1"/>
    <col min="8" max="9" width="11.42578125" style="863" customWidth="1"/>
    <col min="10" max="10" width="11.42578125" style="954" customWidth="1"/>
    <col min="11" max="11" width="0.7109375" style="863" customWidth="1"/>
    <col min="12" max="12" width="11.42578125" style="864" customWidth="1"/>
    <col min="13" max="15" width="11.42578125" style="863" customWidth="1"/>
    <col min="16" max="16" width="11.42578125" style="1" hidden="1" customWidth="1"/>
    <col min="17" max="16384" width="11.42578125" style="827"/>
  </cols>
  <sheetData>
    <row r="1" spans="1:16" ht="18.75" customHeight="1">
      <c r="A1" s="826"/>
      <c r="B1" s="829"/>
      <c r="C1" s="829"/>
      <c r="D1" s="829"/>
      <c r="E1" s="829"/>
      <c r="F1" s="829"/>
      <c r="G1" s="829"/>
      <c r="H1" s="829"/>
      <c r="I1" s="829"/>
      <c r="J1" s="829"/>
      <c r="K1" s="829"/>
      <c r="L1" s="829"/>
      <c r="M1" s="829"/>
      <c r="N1" s="829"/>
      <c r="O1" s="827"/>
    </row>
    <row r="2" spans="1:16">
      <c r="A2" s="826"/>
      <c r="B2" s="827"/>
      <c r="C2" s="827"/>
      <c r="D2" s="827"/>
      <c r="E2" s="827"/>
      <c r="F2" s="827"/>
      <c r="G2" s="827"/>
      <c r="H2" s="827"/>
      <c r="I2" s="827"/>
      <c r="J2" s="831"/>
      <c r="K2" s="827"/>
      <c r="L2" s="828"/>
      <c r="N2" s="3215" t="s">
        <v>1163</v>
      </c>
      <c r="O2" s="852" t="s">
        <v>1262</v>
      </c>
      <c r="P2" s="32"/>
    </row>
    <row r="3" spans="1:16" ht="17.25" customHeight="1">
      <c r="A3" s="826"/>
      <c r="B3" s="827"/>
      <c r="C3" s="827"/>
      <c r="D3" s="827"/>
      <c r="E3" s="827"/>
      <c r="F3" s="827"/>
      <c r="G3" s="827"/>
      <c r="H3" s="827"/>
      <c r="I3" s="827"/>
      <c r="J3" s="831"/>
      <c r="K3" s="827"/>
      <c r="M3" s="851" t="s">
        <v>332</v>
      </c>
      <c r="N3" s="3249" t="str">
        <f>IF(PreparedBy="","",PreparedBy)</f>
        <v/>
      </c>
      <c r="O3" s="2618" t="str">
        <f>IF(DatePrepared="","",DatePrepared)</f>
        <v/>
      </c>
      <c r="P3" s="32"/>
    </row>
    <row r="4" spans="1:16" ht="17.25" customHeight="1">
      <c r="A4" s="826"/>
      <c r="B4" s="827"/>
      <c r="C4" s="827"/>
      <c r="D4" s="827"/>
      <c r="E4" s="827"/>
      <c r="F4" s="827"/>
      <c r="G4" s="827"/>
      <c r="H4" s="827"/>
      <c r="I4" s="827"/>
      <c r="J4" s="831"/>
      <c r="K4" s="827"/>
      <c r="M4" s="851" t="s">
        <v>333</v>
      </c>
      <c r="N4" s="3250"/>
      <c r="O4" s="3251"/>
      <c r="P4" s="32"/>
    </row>
    <row r="5" spans="1:16" ht="3.95" customHeight="1">
      <c r="A5" s="826"/>
      <c r="B5" s="829"/>
      <c r="C5" s="829"/>
      <c r="D5" s="829"/>
      <c r="E5" s="829"/>
      <c r="F5" s="829"/>
      <c r="G5" s="829"/>
      <c r="H5" s="829"/>
      <c r="I5" s="829"/>
      <c r="J5" s="829"/>
      <c r="K5" s="829"/>
      <c r="L5" s="829"/>
      <c r="M5" s="829"/>
      <c r="N5" s="1678"/>
      <c r="O5" s="1678"/>
      <c r="P5" s="32"/>
    </row>
    <row r="6" spans="1:16" ht="15.75">
      <c r="A6" s="3849" t="str">
        <f>'WP Index'!E55</f>
        <v>Hire Purchase Summary</v>
      </c>
      <c r="B6" s="3850"/>
      <c r="C6" s="3850"/>
      <c r="D6" s="3850"/>
      <c r="E6" s="3850"/>
      <c r="F6" s="3850"/>
      <c r="G6" s="3850"/>
      <c r="H6" s="3850"/>
      <c r="I6" s="3850"/>
      <c r="J6" s="3850"/>
      <c r="K6" s="3850"/>
      <c r="L6" s="3850"/>
      <c r="M6" s="3850"/>
      <c r="N6" s="3850"/>
      <c r="O6" s="3851"/>
    </row>
    <row r="7" spans="1:16">
      <c r="O7" s="3248" t="s">
        <v>2526</v>
      </c>
    </row>
    <row r="8" spans="1:16" ht="15.75" customHeight="1">
      <c r="A8" s="866" t="str">
        <f>"CLIENT NAME:   "&amp;'WP Index'!E3</f>
        <v>CLIENT NAME:   Example Trust</v>
      </c>
      <c r="B8" s="867"/>
      <c r="C8" s="867"/>
      <c r="D8" s="867"/>
      <c r="E8" s="867"/>
      <c r="F8" s="867"/>
      <c r="G8" s="867"/>
      <c r="H8" s="867"/>
      <c r="I8" s="867"/>
      <c r="J8" s="1208"/>
      <c r="K8" s="867"/>
      <c r="L8" s="867"/>
      <c r="M8" s="867"/>
      <c r="N8" s="867"/>
      <c r="O8" s="867"/>
    </row>
    <row r="9" spans="1:16" ht="12.75" customHeight="1">
      <c r="A9" s="869" t="str">
        <f>"CLIENT CODE:   "&amp;'WP Index'!E4</f>
        <v>CLIENT CODE:   99999</v>
      </c>
      <c r="B9" s="867"/>
      <c r="C9" s="867"/>
      <c r="D9" s="867"/>
      <c r="E9" s="867"/>
      <c r="F9" s="867"/>
      <c r="G9" s="867"/>
      <c r="H9" s="867"/>
      <c r="I9" s="867"/>
      <c r="J9" s="1208"/>
      <c r="K9" s="867"/>
      <c r="L9" s="868"/>
      <c r="M9" s="870" t="s">
        <v>951</v>
      </c>
      <c r="N9" s="870"/>
      <c r="O9" s="871">
        <f>'Input Info'!F8</f>
        <v>45473</v>
      </c>
    </row>
    <row r="10" spans="1:16" ht="12.75" customHeight="1">
      <c r="A10" s="872"/>
      <c r="B10" s="867"/>
      <c r="C10" s="867"/>
      <c r="D10" s="867"/>
      <c r="E10" s="867"/>
      <c r="F10" s="867"/>
      <c r="G10" s="1206"/>
      <c r="H10" s="872"/>
      <c r="I10" s="872"/>
      <c r="J10" s="1209"/>
      <c r="K10" s="1206"/>
      <c r="L10" s="872"/>
      <c r="M10" s="872"/>
      <c r="N10" s="872"/>
      <c r="O10" s="1"/>
      <c r="P10" s="827"/>
    </row>
    <row r="11" spans="1:16" ht="12.75" customHeight="1">
      <c r="A11" s="872"/>
      <c r="B11" s="867"/>
      <c r="C11" s="867"/>
      <c r="D11" s="867"/>
      <c r="E11" s="872"/>
      <c r="F11" s="872"/>
      <c r="G11" s="1206"/>
      <c r="H11" s="872"/>
      <c r="I11" s="872"/>
      <c r="J11" s="1209"/>
      <c r="K11" s="1206"/>
      <c r="L11" s="1"/>
      <c r="M11" s="827"/>
      <c r="N11" s="827"/>
      <c r="O11" s="827"/>
      <c r="P11" s="827"/>
    </row>
    <row r="12" spans="1:16" ht="33.75">
      <c r="A12" s="1213" t="s">
        <v>612</v>
      </c>
      <c r="B12" s="1203" t="s">
        <v>1406</v>
      </c>
      <c r="C12" s="679" t="s">
        <v>158</v>
      </c>
      <c r="D12" s="1203" t="s">
        <v>159</v>
      </c>
      <c r="E12" s="679" t="s">
        <v>160</v>
      </c>
      <c r="F12" s="679" t="s">
        <v>965</v>
      </c>
      <c r="G12" s="1207"/>
      <c r="H12" s="679" t="s">
        <v>161</v>
      </c>
      <c r="I12" s="1203" t="s">
        <v>162</v>
      </c>
      <c r="J12" s="1203" t="s">
        <v>876</v>
      </c>
      <c r="K12" s="1207"/>
      <c r="L12" s="1203" t="s">
        <v>163</v>
      </c>
      <c r="M12" s="1203" t="s">
        <v>164</v>
      </c>
      <c r="N12" s="1203" t="s">
        <v>165</v>
      </c>
      <c r="O12" s="1203" t="s">
        <v>877</v>
      </c>
      <c r="P12" s="931" t="s">
        <v>1286</v>
      </c>
    </row>
    <row r="13" spans="1:16" ht="12.75" customHeight="1">
      <c r="A13" s="3252"/>
      <c r="B13" s="2785"/>
      <c r="C13" s="3253"/>
      <c r="D13" s="2785"/>
      <c r="E13" s="2785"/>
      <c r="F13" s="3254"/>
      <c r="G13" s="1212"/>
      <c r="H13" s="3261"/>
      <c r="I13" s="3262"/>
      <c r="J13" s="3263">
        <f>H13-I13</f>
        <v>0</v>
      </c>
      <c r="K13" s="1212"/>
      <c r="L13" s="3261"/>
      <c r="M13" s="3262"/>
      <c r="N13" s="3263">
        <f t="shared" ref="N13:N26" si="0">L13-M13</f>
        <v>0</v>
      </c>
      <c r="O13" s="3263">
        <f>SUM(J13,N13)</f>
        <v>0</v>
      </c>
      <c r="P13" s="827"/>
    </row>
    <row r="14" spans="1:16" ht="12.75" customHeight="1">
      <c r="A14" s="3255"/>
      <c r="B14" s="2783"/>
      <c r="C14" s="3256"/>
      <c r="D14" s="2783"/>
      <c r="E14" s="2783"/>
      <c r="F14" s="3257"/>
      <c r="G14" s="1212"/>
      <c r="H14" s="3264"/>
      <c r="I14" s="3265"/>
      <c r="J14" s="3266">
        <f t="shared" ref="J14:J26" si="1">H14-I14</f>
        <v>0</v>
      </c>
      <c r="K14" s="1212"/>
      <c r="L14" s="3264"/>
      <c r="M14" s="3265"/>
      <c r="N14" s="3266">
        <f t="shared" si="0"/>
        <v>0</v>
      </c>
      <c r="O14" s="3266">
        <f t="shared" ref="O14:O26" si="2">SUM(J14,N14)</f>
        <v>0</v>
      </c>
      <c r="P14" s="827"/>
    </row>
    <row r="15" spans="1:16" ht="12.75" customHeight="1">
      <c r="A15" s="3255"/>
      <c r="B15" s="2783"/>
      <c r="C15" s="3256"/>
      <c r="D15" s="2783"/>
      <c r="E15" s="2783"/>
      <c r="F15" s="3257"/>
      <c r="G15" s="1212"/>
      <c r="H15" s="3264"/>
      <c r="I15" s="3265"/>
      <c r="J15" s="3266">
        <f t="shared" si="1"/>
        <v>0</v>
      </c>
      <c r="K15" s="1212"/>
      <c r="L15" s="3264"/>
      <c r="M15" s="3265"/>
      <c r="N15" s="3266">
        <f t="shared" si="0"/>
        <v>0</v>
      </c>
      <c r="O15" s="3266">
        <f t="shared" si="2"/>
        <v>0</v>
      </c>
      <c r="P15" s="827"/>
    </row>
    <row r="16" spans="1:16" ht="12.75" customHeight="1">
      <c r="A16" s="3255"/>
      <c r="B16" s="2783"/>
      <c r="C16" s="3256"/>
      <c r="D16" s="2783"/>
      <c r="E16" s="2783"/>
      <c r="F16" s="3257"/>
      <c r="G16" s="1212"/>
      <c r="H16" s="3264"/>
      <c r="I16" s="3265"/>
      <c r="J16" s="3266">
        <f t="shared" si="1"/>
        <v>0</v>
      </c>
      <c r="K16" s="1212"/>
      <c r="L16" s="3264"/>
      <c r="M16" s="3265"/>
      <c r="N16" s="3266">
        <f t="shared" si="0"/>
        <v>0</v>
      </c>
      <c r="O16" s="3266">
        <f t="shared" si="2"/>
        <v>0</v>
      </c>
      <c r="P16" s="827"/>
    </row>
    <row r="17" spans="1:16" ht="12.75" customHeight="1">
      <c r="A17" s="3255"/>
      <c r="B17" s="2783"/>
      <c r="C17" s="3256"/>
      <c r="D17" s="2783"/>
      <c r="E17" s="2783"/>
      <c r="F17" s="3257"/>
      <c r="G17" s="1212"/>
      <c r="H17" s="3264"/>
      <c r="I17" s="3265"/>
      <c r="J17" s="3266">
        <f t="shared" si="1"/>
        <v>0</v>
      </c>
      <c r="K17" s="1212"/>
      <c r="L17" s="3264"/>
      <c r="M17" s="3265"/>
      <c r="N17" s="3266">
        <f t="shared" si="0"/>
        <v>0</v>
      </c>
      <c r="O17" s="3266">
        <f t="shared" si="2"/>
        <v>0</v>
      </c>
      <c r="P17" s="827"/>
    </row>
    <row r="18" spans="1:16" ht="12.75" customHeight="1">
      <c r="A18" s="3258"/>
      <c r="B18" s="2783"/>
      <c r="C18" s="3259"/>
      <c r="D18" s="2783"/>
      <c r="E18" s="2783"/>
      <c r="F18" s="3257"/>
      <c r="G18" s="1212"/>
      <c r="H18" s="3264"/>
      <c r="I18" s="3265"/>
      <c r="J18" s="3266">
        <f t="shared" si="1"/>
        <v>0</v>
      </c>
      <c r="K18" s="1212"/>
      <c r="L18" s="3264"/>
      <c r="M18" s="3265"/>
      <c r="N18" s="3266">
        <f t="shared" si="0"/>
        <v>0</v>
      </c>
      <c r="O18" s="3266">
        <f t="shared" si="2"/>
        <v>0</v>
      </c>
      <c r="P18" s="827"/>
    </row>
    <row r="19" spans="1:16" ht="12.75" customHeight="1">
      <c r="A19" s="3258"/>
      <c r="B19" s="2783"/>
      <c r="C19" s="3259"/>
      <c r="D19" s="2783"/>
      <c r="E19" s="2783"/>
      <c r="F19" s="3257"/>
      <c r="G19" s="1212"/>
      <c r="H19" s="3264"/>
      <c r="I19" s="3265"/>
      <c r="J19" s="3266">
        <f t="shared" si="1"/>
        <v>0</v>
      </c>
      <c r="K19" s="1212"/>
      <c r="L19" s="3264"/>
      <c r="M19" s="3265"/>
      <c r="N19" s="3266">
        <f t="shared" si="0"/>
        <v>0</v>
      </c>
      <c r="O19" s="3266">
        <f t="shared" si="2"/>
        <v>0</v>
      </c>
      <c r="P19" s="827"/>
    </row>
    <row r="20" spans="1:16" ht="12.75" customHeight="1">
      <c r="A20" s="3258"/>
      <c r="B20" s="2783"/>
      <c r="C20" s="3259"/>
      <c r="D20" s="2783"/>
      <c r="E20" s="2783"/>
      <c r="F20" s="3257"/>
      <c r="G20" s="1212"/>
      <c r="H20" s="3264"/>
      <c r="I20" s="3265"/>
      <c r="J20" s="3266">
        <f t="shared" si="1"/>
        <v>0</v>
      </c>
      <c r="K20" s="1212"/>
      <c r="L20" s="3264"/>
      <c r="M20" s="3265"/>
      <c r="N20" s="3266">
        <f t="shared" si="0"/>
        <v>0</v>
      </c>
      <c r="O20" s="3266">
        <f t="shared" si="2"/>
        <v>0</v>
      </c>
      <c r="P20" s="827"/>
    </row>
    <row r="21" spans="1:16" ht="12.75" customHeight="1">
      <c r="A21" s="3258"/>
      <c r="B21" s="2783"/>
      <c r="C21" s="3259"/>
      <c r="D21" s="2783"/>
      <c r="E21" s="2783"/>
      <c r="F21" s="3257"/>
      <c r="G21" s="1212"/>
      <c r="H21" s="3264"/>
      <c r="I21" s="3265"/>
      <c r="J21" s="3266">
        <f t="shared" si="1"/>
        <v>0</v>
      </c>
      <c r="K21" s="1212"/>
      <c r="L21" s="3264"/>
      <c r="M21" s="3265"/>
      <c r="N21" s="3266">
        <f t="shared" si="0"/>
        <v>0</v>
      </c>
      <c r="O21" s="3266">
        <f t="shared" si="2"/>
        <v>0</v>
      </c>
      <c r="P21" s="827"/>
    </row>
    <row r="22" spans="1:16" ht="12.75" customHeight="1">
      <c r="A22" s="3258"/>
      <c r="B22" s="2783"/>
      <c r="C22" s="3259"/>
      <c r="D22" s="2783"/>
      <c r="E22" s="2783"/>
      <c r="F22" s="3257"/>
      <c r="G22" s="1212"/>
      <c r="H22" s="3264"/>
      <c r="I22" s="3265"/>
      <c r="J22" s="3266">
        <f t="shared" si="1"/>
        <v>0</v>
      </c>
      <c r="K22" s="1212"/>
      <c r="L22" s="3264"/>
      <c r="M22" s="3265"/>
      <c r="N22" s="3266">
        <f t="shared" si="0"/>
        <v>0</v>
      </c>
      <c r="O22" s="3266">
        <f t="shared" si="2"/>
        <v>0</v>
      </c>
      <c r="P22" s="827"/>
    </row>
    <row r="23" spans="1:16" ht="12.75" customHeight="1">
      <c r="A23" s="3258"/>
      <c r="B23" s="2783"/>
      <c r="C23" s="3259"/>
      <c r="D23" s="2783"/>
      <c r="E23" s="2783"/>
      <c r="F23" s="3260"/>
      <c r="G23" s="1212"/>
      <c r="H23" s="3264"/>
      <c r="I23" s="3265"/>
      <c r="J23" s="3266">
        <f t="shared" si="1"/>
        <v>0</v>
      </c>
      <c r="K23" s="1212"/>
      <c r="L23" s="3264"/>
      <c r="M23" s="3265"/>
      <c r="N23" s="3266">
        <f t="shared" si="0"/>
        <v>0</v>
      </c>
      <c r="O23" s="3266">
        <f t="shared" si="2"/>
        <v>0</v>
      </c>
      <c r="P23" s="827"/>
    </row>
    <row r="24" spans="1:16" ht="12.75" customHeight="1">
      <c r="A24" s="3258"/>
      <c r="B24" s="2783"/>
      <c r="C24" s="3259"/>
      <c r="D24" s="2783"/>
      <c r="E24" s="2783"/>
      <c r="F24" s="3260"/>
      <c r="G24" s="1212"/>
      <c r="H24" s="3264"/>
      <c r="I24" s="3265"/>
      <c r="J24" s="3266">
        <f t="shared" si="1"/>
        <v>0</v>
      </c>
      <c r="K24" s="1212"/>
      <c r="L24" s="3264"/>
      <c r="M24" s="3265"/>
      <c r="N24" s="3266">
        <f t="shared" si="0"/>
        <v>0</v>
      </c>
      <c r="O24" s="3266">
        <f t="shared" si="2"/>
        <v>0</v>
      </c>
      <c r="P24" s="827"/>
    </row>
    <row r="25" spans="1:16" ht="12.75" customHeight="1">
      <c r="A25" s="3258"/>
      <c r="B25" s="2783"/>
      <c r="C25" s="3259"/>
      <c r="D25" s="2783"/>
      <c r="E25" s="2783"/>
      <c r="F25" s="3260"/>
      <c r="G25" s="1212"/>
      <c r="H25" s="3264"/>
      <c r="I25" s="3265"/>
      <c r="J25" s="3266">
        <f t="shared" si="1"/>
        <v>0</v>
      </c>
      <c r="K25" s="1212"/>
      <c r="L25" s="3264"/>
      <c r="M25" s="3265"/>
      <c r="N25" s="3266">
        <f t="shared" si="0"/>
        <v>0</v>
      </c>
      <c r="O25" s="3266">
        <f t="shared" si="2"/>
        <v>0</v>
      </c>
      <c r="P25" s="827"/>
    </row>
    <row r="26" spans="1:16" ht="12.75" customHeight="1">
      <c r="A26" s="3258"/>
      <c r="B26" s="2783"/>
      <c r="C26" s="3259"/>
      <c r="D26" s="2783"/>
      <c r="E26" s="2783"/>
      <c r="F26" s="3260"/>
      <c r="G26" s="1212"/>
      <c r="H26" s="3267"/>
      <c r="I26" s="3268"/>
      <c r="J26" s="3269">
        <f t="shared" si="1"/>
        <v>0</v>
      </c>
      <c r="K26" s="1212"/>
      <c r="L26" s="3267"/>
      <c r="M26" s="3268"/>
      <c r="N26" s="3269">
        <f t="shared" si="0"/>
        <v>0</v>
      </c>
      <c r="O26" s="3269">
        <f t="shared" si="2"/>
        <v>0</v>
      </c>
      <c r="P26" s="827"/>
    </row>
    <row r="27" spans="1:16" s="831" customFormat="1" ht="13.5" customHeight="1" thickBot="1">
      <c r="A27" s="1214"/>
      <c r="B27" s="1658">
        <f>SUM(B13:B26)</f>
        <v>0</v>
      </c>
      <c r="C27" s="1210"/>
      <c r="D27" s="1658">
        <f>SUM(D13:D26)</f>
        <v>0</v>
      </c>
      <c r="E27" s="1658">
        <f>SUM(E13:E26)</f>
        <v>0</v>
      </c>
      <c r="F27" s="1210"/>
      <c r="G27" s="1659"/>
      <c r="H27" s="1660">
        <f>SUM(H13:H26)</f>
        <v>0</v>
      </c>
      <c r="I27" s="1660">
        <f>SUM(I13:I26)</f>
        <v>0</v>
      </c>
      <c r="J27" s="1660">
        <f>SUM(J13:J26)</f>
        <v>0</v>
      </c>
      <c r="K27" s="1659"/>
      <c r="L27" s="1660">
        <f>SUM(L13:L26)</f>
        <v>0</v>
      </c>
      <c r="M27" s="1661">
        <f>SUM(M13:M26)</f>
        <v>0</v>
      </c>
      <c r="N27" s="1660">
        <f>SUM(N13:N26)</f>
        <v>0</v>
      </c>
      <c r="O27" s="1660">
        <f>SUM(O13:O26)</f>
        <v>0</v>
      </c>
    </row>
    <row r="28" spans="1:16" ht="12.75" customHeight="1" thickTop="1">
      <c r="A28" s="1204"/>
      <c r="B28" s="873"/>
      <c r="C28" s="873"/>
      <c r="D28" s="873"/>
      <c r="E28" s="873"/>
      <c r="F28" s="873"/>
      <c r="G28" s="873"/>
      <c r="H28" s="873"/>
      <c r="I28" s="873"/>
      <c r="J28" s="1211"/>
      <c r="K28" s="1106"/>
      <c r="L28" s="873"/>
      <c r="M28" s="873"/>
      <c r="N28" s="873"/>
      <c r="O28" s="1205"/>
      <c r="P28" s="827"/>
    </row>
    <row r="29" spans="1:16">
      <c r="I29" s="864"/>
      <c r="J29" s="955"/>
      <c r="K29" s="864"/>
      <c r="L29" s="863"/>
      <c r="O29" s="1"/>
      <c r="P29" s="827"/>
    </row>
  </sheetData>
  <customSheetViews>
    <customSheetView guid="{BCBE45D4-3C45-4659-992E-5C5D3E9FD81C}" showGridLines="0" fitToPage="1" hiddenColumns="1">
      <selection activeCell="U40" sqref="U40"/>
      <pageMargins left="0.59055118110236227" right="0.43307086614173229" top="0.6692913385826772" bottom="0.94488188976377963" header="0.51181102362204722" footer="0.39370078740157483"/>
      <printOptions horizontalCentered="1"/>
      <pageSetup paperSize="9" scale="5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Columns="1">
      <selection activeCell="J32" sqref="J32"/>
      <pageMargins left="0.59055118110236227" right="0.43307086614173229" top="0.6692913385826772" bottom="0.94488188976377963" header="0.51181102362204722" footer="0.39370078740157483"/>
      <printOptions horizontalCentered="1"/>
      <pageSetup paperSize="9" scale="54" fitToHeight="999" orientation="portrait" blackAndWhite="1" r:id="rId2"/>
      <headerFooter alignWithMargins="0">
        <oddFooter>&amp;L&amp;8Copyright Crowe Horwath (Aust) Pty Ltd 2016.  All rights reserved.
&amp;Z&amp;F[&amp;A]&amp;R&amp;8&amp;P/&amp;N</oddFooter>
      </headerFooter>
    </customSheetView>
  </customSheetViews>
  <mergeCells count="1">
    <mergeCell ref="A6:O6"/>
  </mergeCells>
  <phoneticPr fontId="26" type="noConversion"/>
  <hyperlinks>
    <hyperlink ref="O7" location="WPIndex!A1" display="Back to WP Index" xr:uid="{56DE3D60-668B-4C00-B194-B7A4DA119E37}"/>
  </hyperlinks>
  <printOptions horizontalCentered="1"/>
  <pageMargins left="0.59055118110236227" right="0.43307086614173229" top="0.6692913385826772" bottom="0.94488188976377963" header="0.51181102362204722" footer="0.39370078740157483"/>
  <pageSetup paperSize="9" scale="54" fitToHeight="999" orientation="portrait" blackAndWhite="1" r:id="rId3"/>
  <headerFooter alignWithMargins="0">
    <oddFooter>&amp;L&amp;8Copyright Crowe Horwath (Aust) Pty Ltd 2016.  All rights reserved.
&amp;Z&amp;F[&amp;A]&amp;R&amp;8&amp;P/&amp;N</oddFooter>
  </headerFooter>
  <drawing r:id="rId4"/>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Inter_Entity_Loans_Sheet">
    <tabColor theme="8" tint="0.79998168889431442"/>
  </sheetPr>
  <dimension ref="A1:M50"/>
  <sheetViews>
    <sheetView showGridLines="0" zoomScaleNormal="100" workbookViewId="0">
      <selection sqref="A1:F1"/>
    </sheetView>
  </sheetViews>
  <sheetFormatPr defaultColWidth="9.140625" defaultRowHeight="12.75"/>
  <cols>
    <col min="1" max="1" width="13.7109375" style="1" customWidth="1"/>
    <col min="2" max="2" width="15.7109375" style="1" customWidth="1"/>
    <col min="3" max="3" width="3.7109375" style="1" customWidth="1"/>
    <col min="4" max="12" width="12.7109375" style="1" customWidth="1"/>
    <col min="13" max="13" width="8.28515625" style="1" hidden="1" customWidth="1"/>
    <col min="14" max="14" width="0" style="1" hidden="1" customWidth="1"/>
    <col min="15" max="16384" width="9.140625" style="1"/>
  </cols>
  <sheetData>
    <row r="1" spans="1:13">
      <c r="K1" s="2613" t="s">
        <v>2425</v>
      </c>
      <c r="L1" s="3576" t="s">
        <v>2758</v>
      </c>
    </row>
    <row r="2" spans="1:13" ht="15.75">
      <c r="A2" s="740"/>
      <c r="B2" s="740"/>
      <c r="C2" s="740"/>
      <c r="D2" s="40"/>
      <c r="E2" s="40"/>
      <c r="F2" s="40"/>
      <c r="G2" s="40"/>
      <c r="H2" s="40"/>
      <c r="I2" s="40"/>
      <c r="J2" s="40"/>
      <c r="K2" s="71" t="s">
        <v>2426</v>
      </c>
      <c r="L2" s="2621"/>
    </row>
    <row r="3" spans="1:13" ht="15.75">
      <c r="A3" s="740"/>
      <c r="B3" s="740"/>
      <c r="C3" s="740"/>
      <c r="D3" s="40"/>
      <c r="E3" s="40"/>
      <c r="F3" s="40"/>
      <c r="G3" s="40"/>
      <c r="H3" s="40"/>
      <c r="I3" s="40"/>
      <c r="J3" s="40"/>
      <c r="K3" s="40"/>
    </row>
    <row r="4" spans="1:13" s="32" customFormat="1">
      <c r="A4" s="206"/>
      <c r="J4" s="11"/>
      <c r="K4" s="2612" t="s">
        <v>1163</v>
      </c>
      <c r="L4" s="709" t="s">
        <v>1262</v>
      </c>
    </row>
    <row r="5" spans="1:13" s="32" customFormat="1" ht="17.25" customHeight="1">
      <c r="A5" s="206"/>
      <c r="J5" s="71" t="s">
        <v>332</v>
      </c>
      <c r="K5" s="2617" t="str">
        <f>IF(PreparedBy="","",PreparedBy)</f>
        <v/>
      </c>
      <c r="L5" s="2618" t="str">
        <f>IF(DatePrepared="","",DatePrepared)</f>
        <v/>
      </c>
    </row>
    <row r="6" spans="1:13" s="32" customFormat="1" ht="17.25" customHeight="1">
      <c r="A6" s="206"/>
      <c r="J6" s="71" t="s">
        <v>333</v>
      </c>
      <c r="K6" s="2619"/>
      <c r="L6" s="2620"/>
    </row>
    <row r="7" spans="1:13" s="32" customFormat="1" ht="15.75">
      <c r="A7" s="206"/>
      <c r="B7" s="43"/>
      <c r="C7" s="43"/>
      <c r="D7" s="43"/>
      <c r="E7" s="43"/>
    </row>
    <row r="8" spans="1:13" ht="15.75">
      <c r="A8" s="4030" t="str">
        <f>WP_Inter_Entity_Loan</f>
        <v>Inter Entity Loan Matrix</v>
      </c>
      <c r="B8" s="4031"/>
      <c r="C8" s="4031"/>
      <c r="D8" s="4031"/>
      <c r="E8" s="4031"/>
      <c r="F8" s="4031"/>
      <c r="G8" s="4031"/>
      <c r="H8" s="4031"/>
      <c r="I8" s="4031"/>
      <c r="J8" s="4031"/>
      <c r="K8" s="4031"/>
      <c r="L8" s="4031"/>
    </row>
    <row r="9" spans="1:13">
      <c r="A9" s="8"/>
      <c r="B9" s="8"/>
      <c r="C9" s="8"/>
      <c r="D9" s="8"/>
      <c r="E9" s="8"/>
      <c r="F9" s="8"/>
      <c r="G9" s="8"/>
      <c r="H9" s="8"/>
      <c r="I9" s="8"/>
      <c r="J9" s="8"/>
      <c r="K9" s="633"/>
      <c r="L9" s="3248" t="s">
        <v>2526</v>
      </c>
    </row>
    <row r="10" spans="1:13" ht="15.75">
      <c r="A10" s="222" t="str">
        <f>"CLIENT NAME:   "&amp;'WP Index'!E3</f>
        <v>CLIENT NAME:   Example Trust</v>
      </c>
      <c r="B10" s="8"/>
      <c r="C10" s="8"/>
      <c r="D10" s="8"/>
      <c r="E10" s="8"/>
      <c r="F10" s="8"/>
      <c r="G10" s="8"/>
      <c r="H10" s="8"/>
      <c r="I10" s="8"/>
      <c r="J10" s="8"/>
      <c r="K10" s="8"/>
    </row>
    <row r="11" spans="1:13">
      <c r="A11" s="9" t="str">
        <f>"CLIENT CODE:   "&amp;'WP Index'!E4</f>
        <v>CLIENT CODE:   99999</v>
      </c>
      <c r="B11" s="8"/>
      <c r="C11" s="8"/>
      <c r="D11" s="8"/>
      <c r="E11" s="8"/>
      <c r="F11" s="8"/>
      <c r="G11" s="8"/>
      <c r="H11" s="8"/>
      <c r="I11" s="8"/>
      <c r="J11" s="8"/>
      <c r="K11" s="47" t="s">
        <v>951</v>
      </c>
      <c r="L11" s="47">
        <f>'WP Index'!G5</f>
        <v>45473</v>
      </c>
    </row>
    <row r="12" spans="1:13">
      <c r="A12" s="8"/>
      <c r="B12" s="8"/>
      <c r="C12" s="8"/>
      <c r="D12" s="8"/>
      <c r="E12" s="8"/>
      <c r="F12" s="8"/>
      <c r="G12" s="8"/>
      <c r="H12" s="8"/>
      <c r="I12" s="8"/>
      <c r="J12" s="8"/>
      <c r="K12" s="8"/>
      <c r="L12" s="27"/>
    </row>
    <row r="13" spans="1:13" s="306" customFormat="1" ht="20.100000000000001" customHeight="1">
      <c r="A13" s="4032" t="s">
        <v>260</v>
      </c>
      <c r="B13" s="4032"/>
      <c r="C13" s="4032"/>
      <c r="D13" s="4032"/>
      <c r="E13" s="4032"/>
      <c r="F13" s="4032"/>
      <c r="G13" s="4032"/>
      <c r="H13" s="4032"/>
      <c r="I13" s="4032"/>
      <c r="J13" s="4032"/>
      <c r="K13" s="4032"/>
      <c r="L13" s="4032"/>
      <c r="M13" s="1"/>
    </row>
    <row r="14" spans="1:13" s="306" customFormat="1" ht="26.25" customHeight="1">
      <c r="A14" s="4027" t="s">
        <v>261</v>
      </c>
      <c r="B14" s="4027"/>
      <c r="C14" s="4027"/>
      <c r="D14" s="4027"/>
      <c r="E14" s="4027"/>
      <c r="F14" s="4027"/>
      <c r="G14" s="4027"/>
      <c r="H14" s="4027"/>
      <c r="I14" s="4027"/>
      <c r="J14" s="4027"/>
      <c r="K14" s="4027"/>
      <c r="L14" s="4027"/>
      <c r="M14" s="1"/>
    </row>
    <row r="15" spans="1:13" s="306" customFormat="1" ht="27.75" customHeight="1">
      <c r="A15" s="4027" t="s">
        <v>262</v>
      </c>
      <c r="B15" s="4027"/>
      <c r="C15" s="4027"/>
      <c r="D15" s="4027"/>
      <c r="E15" s="4027"/>
      <c r="F15" s="4027"/>
      <c r="G15" s="4027"/>
      <c r="H15" s="4027"/>
      <c r="I15" s="4027"/>
      <c r="J15" s="4027"/>
      <c r="K15" s="4027"/>
      <c r="L15" s="4027"/>
      <c r="M15" s="1"/>
    </row>
    <row r="16" spans="1:13" s="306" customFormat="1" ht="15.75" customHeight="1">
      <c r="A16" s="686">
        <v>1</v>
      </c>
      <c r="B16" s="4027" t="s">
        <v>263</v>
      </c>
      <c r="C16" s="4027"/>
      <c r="D16" s="4027"/>
      <c r="E16" s="4027"/>
      <c r="F16" s="4027"/>
      <c r="G16" s="4027"/>
      <c r="H16" s="4027"/>
      <c r="I16" s="4027"/>
      <c r="J16" s="4027"/>
      <c r="K16" s="4027"/>
      <c r="L16" s="4027"/>
      <c r="M16" s="1"/>
    </row>
    <row r="17" spans="1:13" s="306" customFormat="1" ht="27" customHeight="1">
      <c r="A17" s="686">
        <v>2</v>
      </c>
      <c r="B17" s="4027" t="s">
        <v>268</v>
      </c>
      <c r="C17" s="4027"/>
      <c r="D17" s="4027"/>
      <c r="E17" s="4027"/>
      <c r="F17" s="4027"/>
      <c r="G17" s="4027"/>
      <c r="H17" s="4027"/>
      <c r="I17" s="4027"/>
      <c r="J17" s="4027"/>
      <c r="K17" s="4027"/>
      <c r="L17" s="4027"/>
      <c r="M17" s="1"/>
    </row>
    <row r="18" spans="1:13" s="306" customFormat="1" ht="15" customHeight="1">
      <c r="A18" s="686">
        <v>3</v>
      </c>
      <c r="B18" s="4026" t="s">
        <v>283</v>
      </c>
      <c r="C18" s="4026"/>
      <c r="D18" s="4026"/>
      <c r="E18" s="4026"/>
      <c r="F18" s="4026"/>
      <c r="G18" s="4026"/>
      <c r="H18" s="4026"/>
      <c r="I18" s="4026"/>
      <c r="J18" s="4026"/>
      <c r="K18" s="4026"/>
      <c r="L18" s="4026"/>
      <c r="M18" s="1"/>
    </row>
    <row r="19" spans="1:13" s="306" customFormat="1" ht="13.5" customHeight="1">
      <c r="A19" s="686"/>
      <c r="B19" s="4027" t="s">
        <v>284</v>
      </c>
      <c r="C19" s="4027"/>
      <c r="D19" s="4027"/>
      <c r="E19" s="4027"/>
      <c r="F19" s="4027"/>
      <c r="G19" s="4027"/>
      <c r="H19" s="4027"/>
      <c r="I19" s="4027"/>
      <c r="J19" s="4027"/>
      <c r="K19" s="4027"/>
      <c r="L19" s="4027"/>
      <c r="M19" s="1"/>
    </row>
    <row r="20" spans="1:13" s="306" customFormat="1" ht="13.5" customHeight="1">
      <c r="A20" s="686"/>
      <c r="B20" s="686"/>
      <c r="C20" s="686"/>
      <c r="D20" s="686"/>
      <c r="E20" s="686"/>
      <c r="F20" s="686"/>
      <c r="G20" s="686"/>
      <c r="H20" s="1841"/>
      <c r="I20" s="1841"/>
      <c r="J20" s="686"/>
      <c r="K20" s="686"/>
      <c r="L20" s="686"/>
      <c r="M20" s="1"/>
    </row>
    <row r="21" spans="1:13" s="306" customFormat="1" ht="18.75" customHeight="1">
      <c r="A21" s="4028" t="s">
        <v>269</v>
      </c>
      <c r="B21" s="4028"/>
      <c r="C21" s="4028"/>
      <c r="D21" s="4028"/>
      <c r="E21" s="4028"/>
      <c r="F21" s="4028"/>
      <c r="G21" s="4028"/>
      <c r="H21" s="4028"/>
      <c r="I21" s="4028"/>
      <c r="J21" s="4028"/>
      <c r="K21" s="4028"/>
      <c r="L21" s="4028"/>
      <c r="M21" s="1"/>
    </row>
    <row r="22" spans="1:13" s="306" customFormat="1" ht="3.75" customHeight="1">
      <c r="M22" s="1"/>
    </row>
    <row r="23" spans="1:13" s="306" customFormat="1" ht="32.1" customHeight="1">
      <c r="A23" s="681" t="s">
        <v>254</v>
      </c>
      <c r="B23" s="4025" t="s">
        <v>255</v>
      </c>
      <c r="C23" s="4025"/>
      <c r="D23" s="681" t="s">
        <v>256</v>
      </c>
      <c r="E23" s="681" t="s">
        <v>257</v>
      </c>
      <c r="F23" s="4036" t="s">
        <v>258</v>
      </c>
      <c r="G23" s="4037"/>
      <c r="H23" s="4037"/>
      <c r="I23" s="4037"/>
      <c r="J23" s="4037"/>
      <c r="K23" s="4037"/>
      <c r="L23" s="4037"/>
      <c r="M23" s="931" t="s">
        <v>1286</v>
      </c>
    </row>
    <row r="24" spans="1:13" s="306" customFormat="1" ht="15.95" customHeight="1">
      <c r="A24" s="2973"/>
      <c r="B24" s="4034"/>
      <c r="C24" s="4034"/>
      <c r="D24" s="2974"/>
      <c r="E24" s="2974"/>
      <c r="F24" s="4035"/>
      <c r="G24" s="4035"/>
      <c r="H24" s="4035"/>
      <c r="I24" s="4035"/>
      <c r="J24" s="4035"/>
      <c r="K24" s="4035"/>
      <c r="L24" s="4035"/>
      <c r="M24" s="1"/>
    </row>
    <row r="25" spans="1:13" s="306" customFormat="1" ht="15.95" customHeight="1">
      <c r="A25" s="2975"/>
      <c r="B25" s="4033"/>
      <c r="C25" s="4033"/>
      <c r="D25" s="2976"/>
      <c r="E25" s="2976"/>
      <c r="F25" s="4029"/>
      <c r="G25" s="4029"/>
      <c r="H25" s="4029"/>
      <c r="I25" s="4029"/>
      <c r="J25" s="4029"/>
      <c r="K25" s="4029"/>
      <c r="L25" s="4029"/>
      <c r="M25" s="1"/>
    </row>
    <row r="26" spans="1:13" s="306" customFormat="1" ht="15.95" customHeight="1">
      <c r="A26" s="2975"/>
      <c r="B26" s="4033"/>
      <c r="C26" s="4033"/>
      <c r="D26" s="2976"/>
      <c r="E26" s="2976"/>
      <c r="F26" s="4029"/>
      <c r="G26" s="4029"/>
      <c r="H26" s="4029"/>
      <c r="I26" s="4029"/>
      <c r="J26" s="4029"/>
      <c r="K26" s="4029"/>
      <c r="L26" s="4029"/>
      <c r="M26" s="1"/>
    </row>
    <row r="27" spans="1:13" s="306" customFormat="1" ht="15.95" customHeight="1">
      <c r="A27" s="2975"/>
      <c r="B27" s="4029"/>
      <c r="C27" s="4029"/>
      <c r="D27" s="2976"/>
      <c r="E27" s="2976"/>
      <c r="F27" s="4029"/>
      <c r="G27" s="4029"/>
      <c r="H27" s="4029"/>
      <c r="I27" s="4029"/>
      <c r="J27" s="4029"/>
      <c r="K27" s="4029"/>
      <c r="L27" s="4029"/>
      <c r="M27" s="1"/>
    </row>
    <row r="28" spans="1:13" s="306" customFormat="1" ht="3.75" customHeight="1">
      <c r="A28" s="682"/>
      <c r="B28" s="680"/>
      <c r="C28" s="680"/>
      <c r="D28" s="680"/>
      <c r="E28" s="680"/>
      <c r="F28" s="680"/>
      <c r="G28" s="680"/>
      <c r="H28" s="680"/>
      <c r="I28" s="680"/>
      <c r="J28" s="680"/>
      <c r="K28" s="680"/>
      <c r="L28" s="680"/>
      <c r="M28" s="1"/>
    </row>
    <row r="29" spans="1:13" s="306" customFormat="1" ht="27.95" customHeight="1">
      <c r="A29" s="4025" t="s">
        <v>1363</v>
      </c>
      <c r="B29" s="4025"/>
      <c r="C29" s="4025"/>
      <c r="D29" s="936" t="str">
        <f>$A31</f>
        <v>Name A</v>
      </c>
      <c r="E29" s="936" t="str">
        <f>$A32</f>
        <v>Name B</v>
      </c>
      <c r="F29" s="936" t="str">
        <f>$A33</f>
        <v>Name C</v>
      </c>
      <c r="G29" s="936" t="str">
        <f>$A34</f>
        <v>Name D</v>
      </c>
      <c r="H29" s="936" t="str">
        <f>$A35</f>
        <v xml:space="preserve">Name E </v>
      </c>
      <c r="I29" s="936" t="str">
        <f>$A36</f>
        <v>Name F</v>
      </c>
      <c r="J29" s="936" t="str">
        <f>$A37</f>
        <v>Name G</v>
      </c>
      <c r="K29" s="936" t="str">
        <f>$A38</f>
        <v>Name H</v>
      </c>
      <c r="L29" s="936" t="str">
        <f>$A39</f>
        <v>Name I</v>
      </c>
      <c r="M29" s="1"/>
    </row>
    <row r="30" spans="1:13" s="306" customFormat="1" ht="15.95" customHeight="1">
      <c r="A30" s="4025" t="s">
        <v>270</v>
      </c>
      <c r="B30" s="4025"/>
      <c r="C30" s="681"/>
      <c r="D30" s="684">
        <v>1</v>
      </c>
      <c r="E30" s="684">
        <v>2</v>
      </c>
      <c r="F30" s="684">
        <v>3</v>
      </c>
      <c r="G30" s="684">
        <v>4</v>
      </c>
      <c r="H30" s="684">
        <v>5</v>
      </c>
      <c r="I30" s="684">
        <v>6</v>
      </c>
      <c r="J30" s="684">
        <v>7</v>
      </c>
      <c r="K30" s="684">
        <v>8</v>
      </c>
      <c r="L30" s="684">
        <v>9</v>
      </c>
      <c r="M30" s="1"/>
    </row>
    <row r="31" spans="1:13" s="306" customFormat="1" ht="20.100000000000001" customHeight="1">
      <c r="A31" s="4021" t="s">
        <v>271</v>
      </c>
      <c r="B31" s="4022"/>
      <c r="C31" s="685">
        <v>1</v>
      </c>
      <c r="D31" s="710"/>
      <c r="E31" s="713"/>
      <c r="F31" s="713"/>
      <c r="G31" s="713"/>
      <c r="H31" s="713"/>
      <c r="I31" s="713"/>
      <c r="J31" s="713"/>
      <c r="K31" s="713"/>
      <c r="L31" s="713"/>
      <c r="M31" s="1"/>
    </row>
    <row r="32" spans="1:13" s="306" customFormat="1" ht="20.100000000000001" customHeight="1">
      <c r="A32" s="4023" t="s">
        <v>272</v>
      </c>
      <c r="B32" s="4024"/>
      <c r="C32" s="685">
        <v>2</v>
      </c>
      <c r="D32" s="713"/>
      <c r="E32" s="710"/>
      <c r="F32" s="713"/>
      <c r="G32" s="713"/>
      <c r="H32" s="713"/>
      <c r="I32" s="713"/>
      <c r="J32" s="713"/>
      <c r="K32" s="713"/>
      <c r="L32" s="713"/>
      <c r="M32" s="1"/>
    </row>
    <row r="33" spans="1:13" s="306" customFormat="1" ht="20.100000000000001" customHeight="1">
      <c r="A33" s="4023" t="s">
        <v>273</v>
      </c>
      <c r="B33" s="4024"/>
      <c r="C33" s="685">
        <v>3</v>
      </c>
      <c r="D33" s="713"/>
      <c r="E33" s="713"/>
      <c r="F33" s="710"/>
      <c r="G33" s="713"/>
      <c r="H33" s="713"/>
      <c r="I33" s="713"/>
      <c r="J33" s="713"/>
      <c r="K33" s="713"/>
      <c r="L33" s="713"/>
      <c r="M33" s="1"/>
    </row>
    <row r="34" spans="1:13" s="306" customFormat="1" ht="20.100000000000001" customHeight="1">
      <c r="A34" s="4023" t="s">
        <v>274</v>
      </c>
      <c r="B34" s="4024"/>
      <c r="C34" s="685">
        <v>4</v>
      </c>
      <c r="D34" s="713"/>
      <c r="E34" s="713"/>
      <c r="F34" s="713"/>
      <c r="G34" s="710"/>
      <c r="H34" s="1854"/>
      <c r="I34" s="1854"/>
      <c r="J34" s="713"/>
      <c r="K34" s="713"/>
      <c r="L34" s="713"/>
      <c r="M34" s="1"/>
    </row>
    <row r="35" spans="1:13" s="306" customFormat="1" ht="20.100000000000001" customHeight="1">
      <c r="A35" s="4023" t="s">
        <v>275</v>
      </c>
      <c r="B35" s="4024"/>
      <c r="C35" s="685">
        <v>5</v>
      </c>
      <c r="D35" s="713"/>
      <c r="E35" s="713"/>
      <c r="F35" s="713"/>
      <c r="G35" s="1854"/>
      <c r="H35" s="710"/>
      <c r="I35" s="1854"/>
      <c r="J35" s="713"/>
      <c r="K35" s="713"/>
      <c r="L35" s="713"/>
      <c r="M35" s="1"/>
    </row>
    <row r="36" spans="1:13" s="306" customFormat="1" ht="20.100000000000001" customHeight="1">
      <c r="A36" s="4023" t="s">
        <v>276</v>
      </c>
      <c r="B36" s="4024"/>
      <c r="C36" s="685">
        <v>6</v>
      </c>
      <c r="D36" s="713"/>
      <c r="E36" s="713"/>
      <c r="F36" s="713"/>
      <c r="G36" s="1854"/>
      <c r="H36" s="1854"/>
      <c r="I36" s="710"/>
      <c r="J36" s="713"/>
      <c r="K36" s="713"/>
      <c r="L36" s="713"/>
      <c r="M36" s="1"/>
    </row>
    <row r="37" spans="1:13" s="306" customFormat="1" ht="20.100000000000001" customHeight="1">
      <c r="A37" s="4023" t="s">
        <v>277</v>
      </c>
      <c r="B37" s="4024"/>
      <c r="C37" s="685">
        <v>7</v>
      </c>
      <c r="D37" s="713"/>
      <c r="E37" s="713"/>
      <c r="F37" s="713"/>
      <c r="G37" s="713"/>
      <c r="H37" s="713"/>
      <c r="I37" s="713"/>
      <c r="J37" s="710"/>
      <c r="K37" s="713"/>
      <c r="L37" s="713"/>
      <c r="M37" s="1"/>
    </row>
    <row r="38" spans="1:13" s="306" customFormat="1" ht="20.100000000000001" customHeight="1">
      <c r="A38" s="4023" t="s">
        <v>278</v>
      </c>
      <c r="B38" s="4024"/>
      <c r="C38" s="685">
        <v>8</v>
      </c>
      <c r="D38" s="713"/>
      <c r="E38" s="713"/>
      <c r="F38" s="713"/>
      <c r="G38" s="713"/>
      <c r="H38" s="713"/>
      <c r="I38" s="713"/>
      <c r="J38" s="713"/>
      <c r="K38" s="710"/>
      <c r="L38" s="713"/>
      <c r="M38" s="1"/>
    </row>
    <row r="39" spans="1:13" s="306" customFormat="1" ht="20.100000000000001" customHeight="1">
      <c r="A39" s="4023" t="s">
        <v>1994</v>
      </c>
      <c r="B39" s="4024"/>
      <c r="C39" s="685">
        <v>9</v>
      </c>
      <c r="D39" s="713"/>
      <c r="E39" s="713"/>
      <c r="F39" s="713"/>
      <c r="G39" s="713"/>
      <c r="H39" s="713"/>
      <c r="I39" s="713"/>
      <c r="J39" s="713"/>
      <c r="K39" s="713"/>
      <c r="L39" s="710"/>
      <c r="M39" s="1"/>
    </row>
    <row r="40" spans="1:13">
      <c r="A40" s="17"/>
      <c r="B40" s="8"/>
      <c r="C40" s="8"/>
      <c r="D40" s="8"/>
      <c r="E40" s="8"/>
      <c r="F40" s="8"/>
      <c r="G40" s="8"/>
      <c r="H40" s="8"/>
      <c r="I40" s="8"/>
      <c r="J40" s="8"/>
      <c r="K40" s="8"/>
      <c r="L40" s="8"/>
    </row>
    <row r="41" spans="1:13" ht="13.5" customHeight="1">
      <c r="A41" s="58" t="s">
        <v>172</v>
      </c>
      <c r="B41" s="8"/>
      <c r="C41" s="8"/>
      <c r="D41" s="8"/>
      <c r="E41" s="8"/>
      <c r="F41" s="8"/>
      <c r="G41" s="8"/>
      <c r="H41" s="8"/>
      <c r="I41" s="8"/>
      <c r="J41" s="8"/>
      <c r="K41" s="8"/>
      <c r="L41" s="8"/>
    </row>
    <row r="42" spans="1:13" ht="44.25" customHeight="1">
      <c r="A42" s="3774"/>
      <c r="B42" s="3775"/>
      <c r="C42" s="3775"/>
      <c r="D42" s="3775"/>
      <c r="E42" s="3775"/>
      <c r="F42" s="3775"/>
      <c r="G42" s="3775"/>
      <c r="H42" s="3775"/>
      <c r="I42" s="3775"/>
      <c r="J42" s="3775"/>
      <c r="K42" s="3775"/>
      <c r="L42" s="3776"/>
    </row>
    <row r="43" spans="1:13" s="306" customFormat="1" ht="37.5" customHeight="1">
      <c r="A43" s="687" t="s">
        <v>279</v>
      </c>
      <c r="B43" s="680"/>
      <c r="C43" s="680"/>
      <c r="D43" s="680"/>
      <c r="E43" s="680"/>
      <c r="F43" s="680"/>
      <c r="G43" s="680"/>
      <c r="H43" s="680"/>
      <c r="I43" s="680"/>
      <c r="J43" s="680"/>
      <c r="K43" s="680"/>
      <c r="L43" s="680"/>
      <c r="M43" s="1"/>
    </row>
    <row r="44" spans="1:13" s="306" customFormat="1" ht="27.95" customHeight="1">
      <c r="A44" s="4025" t="s">
        <v>1363</v>
      </c>
      <c r="B44" s="4025"/>
      <c r="C44" s="4025"/>
      <c r="D44" s="681" t="str">
        <f>A46</f>
        <v>Smith Pty Ltd</v>
      </c>
      <c r="E44" s="681" t="str">
        <f>A47</f>
        <v>K B Smith</v>
      </c>
      <c r="F44" s="681" t="str">
        <f>A48</f>
        <v>Smith Family Trust</v>
      </c>
      <c r="G44" s="680"/>
      <c r="H44" s="680"/>
      <c r="I44" s="680"/>
      <c r="J44" s="680"/>
      <c r="K44" s="680"/>
      <c r="L44" s="680"/>
      <c r="M44" s="1"/>
    </row>
    <row r="45" spans="1:13" s="306" customFormat="1" ht="15.95" customHeight="1">
      <c r="A45" s="4025" t="s">
        <v>270</v>
      </c>
      <c r="B45" s="4025"/>
      <c r="C45" s="681"/>
      <c r="D45" s="681">
        <v>1</v>
      </c>
      <c r="E45" s="681">
        <v>2</v>
      </c>
      <c r="F45" s="681">
        <v>3</v>
      </c>
      <c r="G45" s="680"/>
      <c r="H45" s="680"/>
      <c r="I45" s="680"/>
      <c r="J45" s="680"/>
      <c r="K45" s="680"/>
      <c r="L45" s="680"/>
      <c r="M45" s="1"/>
    </row>
    <row r="46" spans="1:13" s="306" customFormat="1" ht="20.100000000000001" customHeight="1">
      <c r="A46" s="4025" t="s">
        <v>280</v>
      </c>
      <c r="B46" s="4025"/>
      <c r="C46" s="681">
        <v>1</v>
      </c>
      <c r="D46" s="710"/>
      <c r="E46" s="711">
        <v>-22000</v>
      </c>
      <c r="F46" s="711">
        <v>5000</v>
      </c>
      <c r="G46" s="680"/>
      <c r="H46" s="680"/>
      <c r="I46" s="680"/>
      <c r="J46" s="680"/>
      <c r="K46" s="680"/>
      <c r="L46" s="680"/>
      <c r="M46" s="1"/>
    </row>
    <row r="47" spans="1:13" s="306" customFormat="1" ht="20.100000000000001" customHeight="1">
      <c r="A47" s="4025" t="s">
        <v>281</v>
      </c>
      <c r="B47" s="4025"/>
      <c r="C47" s="681">
        <v>2</v>
      </c>
      <c r="D47" s="711">
        <v>22000</v>
      </c>
      <c r="E47" s="710"/>
      <c r="F47" s="712">
        <v>-7500</v>
      </c>
      <c r="G47" s="680"/>
      <c r="H47" s="680"/>
      <c r="I47" s="680"/>
      <c r="J47" s="680"/>
      <c r="K47" s="680"/>
      <c r="L47" s="680"/>
      <c r="M47" s="1"/>
    </row>
    <row r="48" spans="1:13" s="306" customFormat="1" ht="20.100000000000001" customHeight="1">
      <c r="A48" s="4025" t="s">
        <v>282</v>
      </c>
      <c r="B48" s="4025"/>
      <c r="C48" s="681">
        <v>3</v>
      </c>
      <c r="D48" s="711">
        <v>-5000</v>
      </c>
      <c r="E48" s="712">
        <v>8000</v>
      </c>
      <c r="F48" s="710"/>
      <c r="G48" s="680"/>
      <c r="H48" s="680"/>
      <c r="I48" s="680"/>
      <c r="J48" s="680"/>
      <c r="K48" s="680"/>
      <c r="L48" s="680"/>
      <c r="M48" s="1"/>
    </row>
    <row r="49" spans="1:13" s="306" customFormat="1" ht="3.75" customHeight="1">
      <c r="A49" s="688"/>
      <c r="B49" s="683"/>
      <c r="C49" s="683"/>
      <c r="D49" s="683"/>
      <c r="E49" s="683"/>
      <c r="F49" s="683"/>
      <c r="G49" s="683"/>
      <c r="H49" s="683"/>
      <c r="I49" s="683"/>
      <c r="J49" s="683"/>
      <c r="K49" s="683"/>
      <c r="L49" s="683"/>
      <c r="M49" s="1"/>
    </row>
    <row r="50" spans="1:13" s="306" customFormat="1" ht="15.95" customHeight="1">
      <c r="M50" s="1"/>
    </row>
  </sheetData>
  <customSheetViews>
    <customSheetView guid="{BCBE45D4-3C45-4659-992E-5C5D3E9FD81C}" showPageBreaks="1" showGridLines="0" fitToPage="1" printArea="1" hiddenColumns="1" topLeftCell="A22">
      <selection activeCell="R41" sqref="R41"/>
      <pageMargins left="0.59055118110236227" right="0.43307086614173229" top="0.6692913385826772" bottom="0.94488188976377963" header="0.51181102362204722" footer="0.39370078740157483"/>
      <printOptions horizontalCentered="1"/>
      <pageSetup paperSize="9" scale="5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showGridLines="0" fitToPage="1" printArea="1" hiddenColumns="1" topLeftCell="A4">
      <pageMargins left="0.59055118110236227" right="0.43307086614173229" top="0.6692913385826772" bottom="0.94488188976377963" header="0.51181102362204722" footer="0.39370078740157483"/>
      <printOptions horizontalCentered="1"/>
      <pageSetup paperSize="9" scale="59" fitToHeight="999" orientation="portrait" blackAndWhite="1" r:id="rId2"/>
      <headerFooter alignWithMargins="0">
        <oddFooter>&amp;L&amp;8Copyright Crowe Horwath (Aust) Pty Ltd 2016.  All rights reserved.
&amp;Z&amp;F[&amp;A]&amp;R&amp;8&amp;P/&amp;N</oddFooter>
      </headerFooter>
    </customSheetView>
  </customSheetViews>
  <mergeCells count="36">
    <mergeCell ref="A8:L8"/>
    <mergeCell ref="A13:L13"/>
    <mergeCell ref="A14:L14"/>
    <mergeCell ref="B26:C26"/>
    <mergeCell ref="F26:L26"/>
    <mergeCell ref="B25:C25"/>
    <mergeCell ref="B24:C24"/>
    <mergeCell ref="F24:L24"/>
    <mergeCell ref="F25:L25"/>
    <mergeCell ref="A15:L15"/>
    <mergeCell ref="B16:L16"/>
    <mergeCell ref="B17:L17"/>
    <mergeCell ref="F23:L23"/>
    <mergeCell ref="A48:B48"/>
    <mergeCell ref="A42:L42"/>
    <mergeCell ref="B18:L18"/>
    <mergeCell ref="A44:C44"/>
    <mergeCell ref="A45:B45"/>
    <mergeCell ref="A46:B46"/>
    <mergeCell ref="B19:L19"/>
    <mergeCell ref="A21:L21"/>
    <mergeCell ref="B23:C23"/>
    <mergeCell ref="A37:B37"/>
    <mergeCell ref="A38:B38"/>
    <mergeCell ref="B27:C27"/>
    <mergeCell ref="F27:L27"/>
    <mergeCell ref="A29:C29"/>
    <mergeCell ref="A30:B30"/>
    <mergeCell ref="A47:B47"/>
    <mergeCell ref="A31:B31"/>
    <mergeCell ref="A35:B35"/>
    <mergeCell ref="A36:B36"/>
    <mergeCell ref="A39:B39"/>
    <mergeCell ref="A32:B32"/>
    <mergeCell ref="A33:B33"/>
    <mergeCell ref="A34:B34"/>
  </mergeCells>
  <phoneticPr fontId="26" type="noConversion"/>
  <conditionalFormatting sqref="M156">
    <cfRule type="expression" dxfId="24" priority="1" stopIfTrue="1">
      <formula>SUM($156:$156)=0</formula>
    </cfRule>
  </conditionalFormatting>
  <conditionalFormatting sqref="D31:L39">
    <cfRule type="expression" dxfId="23" priority="2" stopIfTrue="1">
      <formula>(D31+INDEX(Inter_Entity_Loan_Matrix,D$30,$C31))&lt;&gt;0</formula>
    </cfRule>
  </conditionalFormatting>
  <hyperlinks>
    <hyperlink ref="L9" location="'WPIndex'!A1" display="Back to Workpaper Index" xr:uid="{3B203902-8B96-422C-8C80-816591A53EBE}"/>
  </hyperlinks>
  <printOptions horizontalCentered="1"/>
  <pageMargins left="0.59055118110236227" right="0.43307086614173229" top="0.6692913385826772" bottom="0.94488188976377963" header="0.51181102362204722" footer="0.39370078740157483"/>
  <pageSetup paperSize="9" scale="64" fitToHeight="999"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14692" r:id="rId6" name="Button 4">
              <controlPr defaultSize="0" print="0" autoFill="0" autoPict="0" macro="[0]!InsertLoanMatrixEntity">
                <anchor moveWithCells="1">
                  <from>
                    <xdr:col>14</xdr:col>
                    <xdr:colOff>0</xdr:colOff>
                    <xdr:row>8</xdr:row>
                    <xdr:rowOff>76200</xdr:rowOff>
                  </from>
                  <to>
                    <xdr:col>15</xdr:col>
                    <xdr:colOff>228600</xdr:colOff>
                    <xdr:row>11</xdr:row>
                    <xdr:rowOff>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Interest_Deduct_Sheet">
    <tabColor theme="8" tint="0.79998168889431442"/>
  </sheetPr>
  <dimension ref="A1:N36"/>
  <sheetViews>
    <sheetView showGridLines="0" zoomScaleNormal="100" workbookViewId="0">
      <selection sqref="A1:F1"/>
    </sheetView>
  </sheetViews>
  <sheetFormatPr defaultColWidth="9.140625" defaultRowHeight="12.75"/>
  <cols>
    <col min="1" max="1" width="9.28515625" style="824" customWidth="1"/>
    <col min="2" max="13" width="12.28515625" style="824" customWidth="1"/>
    <col min="14" max="14" width="8.28515625" style="1" hidden="1" customWidth="1"/>
    <col min="15" max="16384" width="9.140625" style="824"/>
  </cols>
  <sheetData>
    <row r="1" spans="1:14">
      <c r="L1" s="2613" t="s">
        <v>2425</v>
      </c>
      <c r="M1" s="3576" t="s">
        <v>2758</v>
      </c>
    </row>
    <row r="2" spans="1:14" ht="15.75">
      <c r="A2" s="1197"/>
      <c r="B2" s="1197"/>
      <c r="L2" s="71" t="s">
        <v>2426</v>
      </c>
      <c r="M2" s="2621"/>
    </row>
    <row r="3" spans="1:14" ht="15.75">
      <c r="A3" s="1197"/>
      <c r="B3" s="1197"/>
      <c r="L3" s="40"/>
      <c r="M3" s="1"/>
    </row>
    <row r="4" spans="1:14" s="827" customFormat="1">
      <c r="A4" s="826"/>
      <c r="K4" s="828"/>
      <c r="L4" s="2612" t="s">
        <v>1163</v>
      </c>
      <c r="M4" s="709" t="s">
        <v>1262</v>
      </c>
      <c r="N4" s="32"/>
    </row>
    <row r="5" spans="1:14" s="827" customFormat="1" ht="17.25" customHeight="1">
      <c r="A5" s="826"/>
      <c r="K5" s="851" t="s">
        <v>332</v>
      </c>
      <c r="L5" s="2617" t="str">
        <f>IF(PreparedBy="","",PreparedBy)</f>
        <v/>
      </c>
      <c r="M5" s="2618" t="str">
        <f>IF(DatePrepared="","",DatePrepared)</f>
        <v/>
      </c>
      <c r="N5" s="32"/>
    </row>
    <row r="6" spans="1:14" s="827" customFormat="1" ht="17.25" customHeight="1">
      <c r="A6" s="826"/>
      <c r="K6" s="851" t="s">
        <v>333</v>
      </c>
      <c r="L6" s="2619"/>
      <c r="M6" s="2620"/>
      <c r="N6" s="32"/>
    </row>
    <row r="7" spans="1:14" s="827" customFormat="1" ht="15.75">
      <c r="A7" s="826"/>
      <c r="B7" s="829"/>
      <c r="C7" s="829"/>
      <c r="D7" s="829"/>
      <c r="E7" s="829"/>
      <c r="F7" s="829"/>
      <c r="G7" s="829"/>
      <c r="H7" s="829"/>
      <c r="I7" s="829"/>
      <c r="N7" s="32"/>
    </row>
    <row r="8" spans="1:14" ht="15.75">
      <c r="A8" s="3704" t="str">
        <f>WP_Interest_Deduct</f>
        <v>Interest Deductibility</v>
      </c>
      <c r="B8" s="3705"/>
      <c r="C8" s="3705"/>
      <c r="D8" s="3705"/>
      <c r="E8" s="3705"/>
      <c r="F8" s="3705"/>
      <c r="G8" s="3705"/>
      <c r="H8" s="3705"/>
      <c r="I8" s="3705"/>
      <c r="J8" s="3705"/>
      <c r="K8" s="3705"/>
      <c r="L8" s="3705"/>
      <c r="M8" s="3706"/>
    </row>
    <row r="9" spans="1:14" ht="15.75">
      <c r="A9" s="830"/>
      <c r="B9" s="830"/>
      <c r="K9" s="4045" t="s">
        <v>2526</v>
      </c>
      <c r="L9" s="4045"/>
      <c r="M9" s="4045"/>
    </row>
    <row r="10" spans="1:14" ht="15.75">
      <c r="A10" s="4047" t="str">
        <f>"CLIENT NAME:   "&amp;'WP Index'!E3</f>
        <v>CLIENT NAME:   Example Trust</v>
      </c>
      <c r="B10" s="4047"/>
      <c r="C10" s="4047"/>
      <c r="D10" s="4047"/>
      <c r="E10" s="4047"/>
      <c r="F10" s="830"/>
      <c r="G10" s="830"/>
      <c r="H10" s="830"/>
      <c r="I10" s="830"/>
    </row>
    <row r="11" spans="1:14">
      <c r="A11" s="4046" t="str">
        <f>"CLIENT CODE:   "&amp;'WP Index'!E4</f>
        <v>CLIENT CODE:   99999</v>
      </c>
      <c r="B11" s="4046"/>
      <c r="C11" s="4046"/>
      <c r="D11" s="4046"/>
      <c r="E11" s="4046"/>
      <c r="F11" s="831"/>
      <c r="G11" s="831"/>
      <c r="H11" s="831"/>
      <c r="I11" s="831"/>
      <c r="L11" s="853" t="s">
        <v>951</v>
      </c>
      <c r="M11" s="850">
        <f>Period_End</f>
        <v>45473</v>
      </c>
    </row>
    <row r="12" spans="1:14" ht="15.75">
      <c r="A12" s="830"/>
      <c r="B12" s="830"/>
    </row>
    <row r="13" spans="1:14" ht="15.75">
      <c r="A13" s="830" t="s">
        <v>1365</v>
      </c>
      <c r="B13" s="830"/>
    </row>
    <row r="14" spans="1:14">
      <c r="J14" s="825"/>
      <c r="K14" s="825"/>
      <c r="L14" s="825"/>
    </row>
    <row r="15" spans="1:14" ht="12.75" customHeight="1">
      <c r="A15" s="832" t="s">
        <v>1366</v>
      </c>
      <c r="B15" s="833"/>
      <c r="C15" s="834"/>
      <c r="D15" s="828"/>
      <c r="E15" s="828"/>
      <c r="F15" s="828"/>
      <c r="G15" s="828"/>
      <c r="M15" s="825"/>
    </row>
    <row r="16" spans="1:14" ht="12.75" customHeight="1">
      <c r="A16" s="833"/>
      <c r="B16" s="833"/>
      <c r="C16" s="828"/>
      <c r="D16" s="828"/>
      <c r="E16" s="828"/>
      <c r="F16" s="828"/>
      <c r="G16" s="828"/>
      <c r="M16" s="825"/>
    </row>
    <row r="17" spans="1:14" ht="12.75" customHeight="1">
      <c r="A17" s="4041" t="s">
        <v>1367</v>
      </c>
      <c r="B17" s="855" t="s">
        <v>1183</v>
      </c>
      <c r="C17" s="856"/>
      <c r="D17" s="856"/>
      <c r="E17" s="856"/>
      <c r="F17" s="856"/>
      <c r="G17" s="857"/>
      <c r="H17" s="4048" t="s">
        <v>1191</v>
      </c>
      <c r="I17" s="4049"/>
      <c r="J17" s="4043" t="s">
        <v>1193</v>
      </c>
      <c r="K17" s="4048" t="s">
        <v>1194</v>
      </c>
      <c r="L17" s="4049"/>
      <c r="M17" s="858"/>
    </row>
    <row r="18" spans="1:14" ht="38.25" customHeight="1">
      <c r="A18" s="4042"/>
      <c r="B18" s="859" t="s">
        <v>1368</v>
      </c>
      <c r="C18" s="859" t="s">
        <v>1184</v>
      </c>
      <c r="D18" s="859" t="s">
        <v>1185</v>
      </c>
      <c r="E18" s="859" t="s">
        <v>1272</v>
      </c>
      <c r="F18" s="859" t="s">
        <v>1371</v>
      </c>
      <c r="G18" s="860" t="s">
        <v>1394</v>
      </c>
      <c r="H18" s="861" t="s">
        <v>1272</v>
      </c>
      <c r="I18" s="862" t="s">
        <v>1192</v>
      </c>
      <c r="J18" s="4044"/>
      <c r="K18" s="861" t="s">
        <v>1195</v>
      </c>
      <c r="L18" s="862" t="s">
        <v>1196</v>
      </c>
      <c r="M18" s="862" t="s">
        <v>88</v>
      </c>
      <c r="N18" s="931" t="s">
        <v>1286</v>
      </c>
    </row>
    <row r="19" spans="1:14" ht="12.75" customHeight="1">
      <c r="A19" s="835">
        <v>0</v>
      </c>
      <c r="B19" s="2977">
        <f>SUM(C19:D19)</f>
        <v>0</v>
      </c>
      <c r="C19" s="854"/>
      <c r="D19" s="854"/>
      <c r="E19" s="840" t="str">
        <f>IF(ABS(SUM(C19:D19)-B19)&lt;1,"","Opening Balances does not agree")</f>
        <v/>
      </c>
      <c r="F19" s="839"/>
      <c r="G19" s="840"/>
      <c r="H19" s="841"/>
      <c r="I19" s="842"/>
      <c r="J19" s="843"/>
      <c r="K19" s="841">
        <f>+C19</f>
        <v>0</v>
      </c>
      <c r="L19" s="842">
        <f t="shared" ref="L19:L32" si="0">+M19-K19</f>
        <v>0</v>
      </c>
      <c r="M19" s="842">
        <f>B19</f>
        <v>0</v>
      </c>
    </row>
    <row r="20" spans="1:14" ht="12.75" customHeight="1">
      <c r="A20" s="835">
        <v>1</v>
      </c>
      <c r="B20" s="843">
        <f t="shared" ref="B20:B32" si="1">M19</f>
        <v>0</v>
      </c>
      <c r="C20" s="2978"/>
      <c r="D20" s="2978"/>
      <c r="E20" s="2978"/>
      <c r="F20" s="2978"/>
      <c r="G20" s="2978"/>
      <c r="H20" s="841">
        <f>IF(SUM($M19,$C20:$D20)=0,0,E20*(($K19+$C20)/SUM($M19,$C20:$D20)))</f>
        <v>0</v>
      </c>
      <c r="I20" s="842">
        <f>IF(SUM($M19,$C20:$D20)=0,0,F20*(($K19+$C20)/SUM($M19,$C20:$D20)))</f>
        <v>0</v>
      </c>
      <c r="J20" s="843">
        <f>IF(SUM($M19,$C20:$D20)=0,0,G20*($K19+$C20)/SUM($M19,$C20:$D20))</f>
        <v>0</v>
      </c>
      <c r="K20" s="841">
        <f t="shared" ref="K20:K32" si="2">SUM(K19,C20,H20:I20,-J20)</f>
        <v>0</v>
      </c>
      <c r="L20" s="842">
        <f t="shared" si="0"/>
        <v>0</v>
      </c>
      <c r="M20" s="842">
        <f t="shared" ref="M20:M32" si="3">SUM(B20:F20)-SUM(G20:G20)</f>
        <v>0</v>
      </c>
    </row>
    <row r="21" spans="1:14" ht="12.75" customHeight="1">
      <c r="A21" s="835">
        <v>2</v>
      </c>
      <c r="B21" s="843">
        <f t="shared" si="1"/>
        <v>0</v>
      </c>
      <c r="C21" s="2979"/>
      <c r="D21" s="2979"/>
      <c r="E21" s="2978"/>
      <c r="F21" s="2979"/>
      <c r="G21" s="2979"/>
      <c r="H21" s="841">
        <f t="shared" ref="H21:H32" si="4">IF(SUM($M20,$C21:$D21)=0,0,E21*(($K20+$C21)/SUM($M20,$C21:$D21)))</f>
        <v>0</v>
      </c>
      <c r="I21" s="842">
        <f t="shared" ref="I21:I32" si="5">IF(SUM($M20,$C21:$D21)=0,0,F21*(($K20+$C21)/SUM($M20,$C21:$D21)))</f>
        <v>0</v>
      </c>
      <c r="J21" s="843">
        <f t="shared" ref="J21:J32" si="6">IF(SUM($M20,$C21:$D21)=0,0,G21*($K20+$C21)/SUM($M20,$C21:$D21))</f>
        <v>0</v>
      </c>
      <c r="K21" s="841">
        <f t="shared" si="2"/>
        <v>0</v>
      </c>
      <c r="L21" s="842">
        <f t="shared" si="0"/>
        <v>0</v>
      </c>
      <c r="M21" s="842">
        <f t="shared" si="3"/>
        <v>0</v>
      </c>
    </row>
    <row r="22" spans="1:14" ht="12.75" customHeight="1">
      <c r="A22" s="835">
        <v>3</v>
      </c>
      <c r="B22" s="843">
        <f t="shared" si="1"/>
        <v>0</v>
      </c>
      <c r="C22" s="2979"/>
      <c r="D22" s="2979"/>
      <c r="E22" s="2978"/>
      <c r="F22" s="2979"/>
      <c r="G22" s="2979"/>
      <c r="H22" s="841">
        <f t="shared" si="4"/>
        <v>0</v>
      </c>
      <c r="I22" s="842">
        <f t="shared" si="5"/>
        <v>0</v>
      </c>
      <c r="J22" s="843">
        <f t="shared" si="6"/>
        <v>0</v>
      </c>
      <c r="K22" s="841">
        <f t="shared" si="2"/>
        <v>0</v>
      </c>
      <c r="L22" s="842">
        <f t="shared" si="0"/>
        <v>0</v>
      </c>
      <c r="M22" s="842">
        <f t="shared" si="3"/>
        <v>0</v>
      </c>
    </row>
    <row r="23" spans="1:14" ht="12.75" customHeight="1">
      <c r="A23" s="835">
        <v>4</v>
      </c>
      <c r="B23" s="843">
        <f t="shared" si="1"/>
        <v>0</v>
      </c>
      <c r="C23" s="2979"/>
      <c r="D23" s="2979"/>
      <c r="E23" s="2978"/>
      <c r="F23" s="2979"/>
      <c r="G23" s="2979"/>
      <c r="H23" s="841">
        <f t="shared" si="4"/>
        <v>0</v>
      </c>
      <c r="I23" s="842">
        <f t="shared" si="5"/>
        <v>0</v>
      </c>
      <c r="J23" s="843">
        <f t="shared" si="6"/>
        <v>0</v>
      </c>
      <c r="K23" s="841">
        <f t="shared" si="2"/>
        <v>0</v>
      </c>
      <c r="L23" s="842">
        <f t="shared" si="0"/>
        <v>0</v>
      </c>
      <c r="M23" s="842">
        <f t="shared" si="3"/>
        <v>0</v>
      </c>
    </row>
    <row r="24" spans="1:14" ht="12.75" customHeight="1">
      <c r="A24" s="835">
        <v>5</v>
      </c>
      <c r="B24" s="843">
        <f t="shared" si="1"/>
        <v>0</v>
      </c>
      <c r="C24" s="2979"/>
      <c r="D24" s="2979"/>
      <c r="E24" s="2978"/>
      <c r="F24" s="2979"/>
      <c r="G24" s="2979"/>
      <c r="H24" s="841">
        <f t="shared" si="4"/>
        <v>0</v>
      </c>
      <c r="I24" s="842">
        <f t="shared" si="5"/>
        <v>0</v>
      </c>
      <c r="J24" s="843">
        <f t="shared" si="6"/>
        <v>0</v>
      </c>
      <c r="K24" s="841">
        <f t="shared" si="2"/>
        <v>0</v>
      </c>
      <c r="L24" s="842">
        <f t="shared" si="0"/>
        <v>0</v>
      </c>
      <c r="M24" s="842">
        <f t="shared" si="3"/>
        <v>0</v>
      </c>
    </row>
    <row r="25" spans="1:14" ht="12.75" customHeight="1">
      <c r="A25" s="835">
        <v>6</v>
      </c>
      <c r="B25" s="843">
        <f t="shared" si="1"/>
        <v>0</v>
      </c>
      <c r="C25" s="2979"/>
      <c r="D25" s="2979"/>
      <c r="E25" s="2978"/>
      <c r="F25" s="2979"/>
      <c r="G25" s="2979"/>
      <c r="H25" s="841">
        <f t="shared" si="4"/>
        <v>0</v>
      </c>
      <c r="I25" s="842">
        <f t="shared" si="5"/>
        <v>0</v>
      </c>
      <c r="J25" s="843">
        <f t="shared" si="6"/>
        <v>0</v>
      </c>
      <c r="K25" s="841">
        <f t="shared" si="2"/>
        <v>0</v>
      </c>
      <c r="L25" s="842">
        <f t="shared" si="0"/>
        <v>0</v>
      </c>
      <c r="M25" s="842">
        <f t="shared" si="3"/>
        <v>0</v>
      </c>
    </row>
    <row r="26" spans="1:14" ht="12.75" customHeight="1">
      <c r="A26" s="835">
        <v>7</v>
      </c>
      <c r="B26" s="843">
        <f t="shared" si="1"/>
        <v>0</v>
      </c>
      <c r="C26" s="2979"/>
      <c r="D26" s="2979"/>
      <c r="E26" s="2978"/>
      <c r="F26" s="2979"/>
      <c r="G26" s="2979"/>
      <c r="H26" s="841">
        <f t="shared" si="4"/>
        <v>0</v>
      </c>
      <c r="I26" s="842">
        <f t="shared" si="5"/>
        <v>0</v>
      </c>
      <c r="J26" s="843">
        <f t="shared" si="6"/>
        <v>0</v>
      </c>
      <c r="K26" s="841">
        <f t="shared" si="2"/>
        <v>0</v>
      </c>
      <c r="L26" s="842">
        <f t="shared" si="0"/>
        <v>0</v>
      </c>
      <c r="M26" s="842">
        <f t="shared" si="3"/>
        <v>0</v>
      </c>
    </row>
    <row r="27" spans="1:14" ht="12.75" customHeight="1">
      <c r="A27" s="835">
        <v>8</v>
      </c>
      <c r="B27" s="843">
        <f t="shared" si="1"/>
        <v>0</v>
      </c>
      <c r="C27" s="2979"/>
      <c r="D27" s="2979"/>
      <c r="E27" s="2978"/>
      <c r="F27" s="2979"/>
      <c r="G27" s="2979"/>
      <c r="H27" s="841">
        <f t="shared" si="4"/>
        <v>0</v>
      </c>
      <c r="I27" s="842">
        <f t="shared" si="5"/>
        <v>0</v>
      </c>
      <c r="J27" s="843">
        <f t="shared" si="6"/>
        <v>0</v>
      </c>
      <c r="K27" s="841">
        <f t="shared" si="2"/>
        <v>0</v>
      </c>
      <c r="L27" s="842">
        <f t="shared" si="0"/>
        <v>0</v>
      </c>
      <c r="M27" s="842">
        <f t="shared" si="3"/>
        <v>0</v>
      </c>
    </row>
    <row r="28" spans="1:14" ht="12.75" customHeight="1">
      <c r="A28" s="835">
        <v>9</v>
      </c>
      <c r="B28" s="843">
        <f t="shared" si="1"/>
        <v>0</v>
      </c>
      <c r="C28" s="2979"/>
      <c r="D28" s="2979"/>
      <c r="E28" s="2978"/>
      <c r="F28" s="2979"/>
      <c r="G28" s="2979"/>
      <c r="H28" s="841">
        <f t="shared" si="4"/>
        <v>0</v>
      </c>
      <c r="I28" s="842">
        <f t="shared" si="5"/>
        <v>0</v>
      </c>
      <c r="J28" s="843">
        <f t="shared" si="6"/>
        <v>0</v>
      </c>
      <c r="K28" s="841">
        <f t="shared" si="2"/>
        <v>0</v>
      </c>
      <c r="L28" s="842">
        <f t="shared" si="0"/>
        <v>0</v>
      </c>
      <c r="M28" s="842">
        <f t="shared" si="3"/>
        <v>0</v>
      </c>
    </row>
    <row r="29" spans="1:14" ht="12.75" customHeight="1">
      <c r="A29" s="835">
        <v>10</v>
      </c>
      <c r="B29" s="843">
        <f t="shared" si="1"/>
        <v>0</v>
      </c>
      <c r="C29" s="2979"/>
      <c r="D29" s="2979"/>
      <c r="E29" s="2979"/>
      <c r="F29" s="2979"/>
      <c r="G29" s="2979"/>
      <c r="H29" s="841">
        <f t="shared" si="4"/>
        <v>0</v>
      </c>
      <c r="I29" s="842">
        <f t="shared" si="5"/>
        <v>0</v>
      </c>
      <c r="J29" s="843">
        <f t="shared" si="6"/>
        <v>0</v>
      </c>
      <c r="K29" s="841">
        <f t="shared" si="2"/>
        <v>0</v>
      </c>
      <c r="L29" s="842">
        <f t="shared" si="0"/>
        <v>0</v>
      </c>
      <c r="M29" s="842">
        <f t="shared" si="3"/>
        <v>0</v>
      </c>
    </row>
    <row r="30" spans="1:14" ht="12.75" customHeight="1">
      <c r="A30" s="835">
        <v>11</v>
      </c>
      <c r="B30" s="843">
        <f t="shared" si="1"/>
        <v>0</v>
      </c>
      <c r="C30" s="2979"/>
      <c r="D30" s="2979"/>
      <c r="E30" s="2979"/>
      <c r="F30" s="2979"/>
      <c r="G30" s="2979"/>
      <c r="H30" s="841">
        <f t="shared" si="4"/>
        <v>0</v>
      </c>
      <c r="I30" s="842">
        <f t="shared" si="5"/>
        <v>0</v>
      </c>
      <c r="J30" s="843">
        <f t="shared" si="6"/>
        <v>0</v>
      </c>
      <c r="K30" s="841">
        <f t="shared" si="2"/>
        <v>0</v>
      </c>
      <c r="L30" s="842">
        <f t="shared" si="0"/>
        <v>0</v>
      </c>
      <c r="M30" s="842">
        <f t="shared" si="3"/>
        <v>0</v>
      </c>
    </row>
    <row r="31" spans="1:14" ht="12.75" customHeight="1">
      <c r="A31" s="835">
        <v>12</v>
      </c>
      <c r="B31" s="843">
        <f t="shared" si="1"/>
        <v>0</v>
      </c>
      <c r="C31" s="2979"/>
      <c r="D31" s="2979"/>
      <c r="E31" s="2979"/>
      <c r="F31" s="2979"/>
      <c r="G31" s="2979"/>
      <c r="H31" s="841">
        <f t="shared" si="4"/>
        <v>0</v>
      </c>
      <c r="I31" s="842">
        <f t="shared" si="5"/>
        <v>0</v>
      </c>
      <c r="J31" s="843">
        <f t="shared" si="6"/>
        <v>0</v>
      </c>
      <c r="K31" s="841">
        <f t="shared" si="2"/>
        <v>0</v>
      </c>
      <c r="L31" s="842">
        <f t="shared" si="0"/>
        <v>0</v>
      </c>
      <c r="M31" s="842">
        <f t="shared" si="3"/>
        <v>0</v>
      </c>
    </row>
    <row r="32" spans="1:14" ht="12.75" customHeight="1">
      <c r="A32" s="837">
        <v>13</v>
      </c>
      <c r="B32" s="844">
        <f t="shared" si="1"/>
        <v>0</v>
      </c>
      <c r="C32" s="2980"/>
      <c r="D32" s="2980"/>
      <c r="E32" s="2980"/>
      <c r="F32" s="2980"/>
      <c r="G32" s="2980"/>
      <c r="H32" s="845">
        <f t="shared" si="4"/>
        <v>0</v>
      </c>
      <c r="I32" s="846">
        <f t="shared" si="5"/>
        <v>0</v>
      </c>
      <c r="J32" s="844">
        <f t="shared" si="6"/>
        <v>0</v>
      </c>
      <c r="K32" s="845">
        <f t="shared" si="2"/>
        <v>0</v>
      </c>
      <c r="L32" s="846">
        <f t="shared" si="0"/>
        <v>0</v>
      </c>
      <c r="M32" s="846">
        <f t="shared" si="3"/>
        <v>0</v>
      </c>
    </row>
    <row r="33" spans="1:13" ht="13.5" customHeight="1" thickBot="1">
      <c r="A33" s="838" t="s">
        <v>1096</v>
      </c>
      <c r="B33" s="847">
        <f>+B19</f>
        <v>0</v>
      </c>
      <c r="C33" s="847">
        <f t="shared" ref="C33:I33" si="7">SUM(C19:C32)</f>
        <v>0</v>
      </c>
      <c r="D33" s="847">
        <f t="shared" si="7"/>
        <v>0</v>
      </c>
      <c r="E33" s="847">
        <f t="shared" si="7"/>
        <v>0</v>
      </c>
      <c r="F33" s="847">
        <f t="shared" si="7"/>
        <v>0</v>
      </c>
      <c r="G33" s="847">
        <f t="shared" si="7"/>
        <v>0</v>
      </c>
      <c r="H33" s="2981">
        <f t="shared" si="7"/>
        <v>0</v>
      </c>
      <c r="I33" s="2982">
        <f t="shared" si="7"/>
        <v>0</v>
      </c>
      <c r="J33" s="847">
        <f>SUM(J20:J32)</f>
        <v>0</v>
      </c>
      <c r="K33" s="848">
        <f>+K32</f>
        <v>0</v>
      </c>
      <c r="L33" s="847">
        <f>+L32</f>
        <v>0</v>
      </c>
      <c r="M33" s="849">
        <f>+M32</f>
        <v>0</v>
      </c>
    </row>
    <row r="34" spans="1:13" ht="13.5" customHeight="1" thickTop="1">
      <c r="A34" s="836"/>
      <c r="B34" s="836"/>
      <c r="C34" s="836"/>
      <c r="D34" s="836"/>
      <c r="E34" s="836"/>
      <c r="F34" s="836"/>
      <c r="G34" s="836"/>
      <c r="H34" s="836"/>
      <c r="I34" s="836"/>
      <c r="J34" s="836"/>
      <c r="K34" s="836"/>
      <c r="L34" s="836"/>
      <c r="M34" s="836"/>
    </row>
    <row r="35" spans="1:13" ht="12.75" customHeight="1">
      <c r="A35" s="831" t="s">
        <v>172</v>
      </c>
    </row>
    <row r="36" spans="1:13" ht="78" customHeight="1">
      <c r="A36" s="4038"/>
      <c r="B36" s="4039"/>
      <c r="C36" s="4039"/>
      <c r="D36" s="4039"/>
      <c r="E36" s="4039"/>
      <c r="F36" s="4039"/>
      <c r="G36" s="4039"/>
      <c r="H36" s="4039"/>
      <c r="I36" s="4039"/>
      <c r="J36" s="4039"/>
      <c r="K36" s="4039"/>
      <c r="L36" s="4039"/>
      <c r="M36" s="4040"/>
    </row>
  </sheetData>
  <customSheetViews>
    <customSheetView guid="{BCBE45D4-3C45-4659-992E-5C5D3E9FD81C}" showGridLines="0" fitToPage="1" hiddenColumns="1">
      <selection activeCell="Q34" sqref="Q34"/>
      <pageMargins left="0.59055118110236227" right="0.43307086614173229" top="0.6692913385826772" bottom="0.94488188976377963" header="0.51181102362204722" footer="0.39370078740157483"/>
      <printOptions horizontalCentered="1"/>
      <pageSetup paperSize="9" scale="6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Columns="1" topLeftCell="A4">
      <selection activeCell="Q31" sqref="Q31"/>
      <pageMargins left="0.59055118110236227" right="0.43307086614173229" top="0.6692913385826772" bottom="0.94488188976377963" header="0.51181102362204722" footer="0.39370078740157483"/>
      <printOptions horizontalCentered="1"/>
      <pageSetup paperSize="9" scale="60" fitToHeight="999" orientation="portrait" blackAndWhite="1" r:id="rId2"/>
      <headerFooter alignWithMargins="0">
        <oddFooter>&amp;L&amp;8Copyright Crowe Horwath (Aust) Pty Ltd 2016.  All rights reserved.
&amp;Z&amp;F[&amp;A]&amp;R&amp;8&amp;P/&amp;N</oddFooter>
      </headerFooter>
    </customSheetView>
  </customSheetViews>
  <mergeCells count="9">
    <mergeCell ref="A36:M36"/>
    <mergeCell ref="A17:A18"/>
    <mergeCell ref="J17:J18"/>
    <mergeCell ref="K9:M9"/>
    <mergeCell ref="A8:M8"/>
    <mergeCell ref="A11:E11"/>
    <mergeCell ref="A10:E10"/>
    <mergeCell ref="H17:I17"/>
    <mergeCell ref="K17:L17"/>
  </mergeCells>
  <phoneticPr fontId="0" type="noConversion"/>
  <conditionalFormatting sqref="A20:M32">
    <cfRule type="expression" dxfId="22" priority="1" stopIfTrue="1">
      <formula>SUM(#REF!)=0</formula>
    </cfRule>
  </conditionalFormatting>
  <conditionalFormatting sqref="E19:G19">
    <cfRule type="expression" dxfId="21" priority="2" stopIfTrue="1">
      <formula>$E$19&lt;&gt;""</formula>
    </cfRule>
  </conditionalFormatting>
  <conditionalFormatting sqref="C19:D19">
    <cfRule type="expression" dxfId="20" priority="3" stopIfTrue="1">
      <formula>C19=""</formula>
    </cfRule>
  </conditionalFormatting>
  <hyperlinks>
    <hyperlink ref="K9" location="WP_Interest_Deduct" display="Back To Workpaper Index" xr:uid="{00000000-0004-0000-2900-000000000000}"/>
    <hyperlink ref="K9:M9" location="WPIndex!A1" display="Back to WP Index" xr:uid="{ECBBE8B5-77DE-4AAF-A75D-9F2CDF8602F8}"/>
  </hyperlinks>
  <printOptions horizontalCentered="1"/>
  <pageMargins left="0.59055118110236227" right="0.43307086614173229" top="0.6692913385826772" bottom="0.94488188976377963" header="0.51181102362204722" footer="0.39370078740157483"/>
  <pageSetup paperSize="9" scale="55" fitToHeight="999" orientation="portrait" r:id="rId3"/>
  <headerFooter alignWithMargins="0">
    <oddFooter>&amp;L&amp;8© Findex (Aust) Pty Ltd.  All rights reserved.&amp;R&amp;8&amp;P/&amp;N</oddFooter>
  </headerFooter>
  <drawing r:id="rId4"/>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Long_Service_Leave_Sheet">
    <tabColor theme="8" tint="0.79998168889431442"/>
  </sheetPr>
  <dimension ref="A1:N71"/>
  <sheetViews>
    <sheetView showGridLines="0" zoomScaleNormal="100" workbookViewId="0">
      <selection sqref="A1:F1"/>
    </sheetView>
  </sheetViews>
  <sheetFormatPr defaultColWidth="9.140625" defaultRowHeight="12.75"/>
  <cols>
    <col min="1" max="1" width="15.7109375" style="827" customWidth="1"/>
    <col min="2" max="6" width="11.7109375" style="863" customWidth="1"/>
    <col min="7" max="7" width="14.7109375" style="863" bestFit="1" customWidth="1"/>
    <col min="8" max="8" width="11.7109375" style="863" customWidth="1"/>
    <col min="9" max="9" width="11.7109375" style="864" customWidth="1"/>
    <col min="10" max="12" width="11.7109375" style="863" customWidth="1"/>
    <col min="13" max="13" width="8.28515625" style="1" customWidth="1"/>
    <col min="14" max="14" width="8.28515625" style="1" hidden="1" customWidth="1"/>
    <col min="15" max="16384" width="9.140625" style="827"/>
  </cols>
  <sheetData>
    <row r="1" spans="1:14">
      <c r="K1" s="2613" t="s">
        <v>2425</v>
      </c>
      <c r="L1" s="3576" t="s">
        <v>2758</v>
      </c>
    </row>
    <row r="2" spans="1:14" ht="18.75" customHeight="1">
      <c r="A2" s="826"/>
      <c r="B2" s="829"/>
      <c r="C2" s="829"/>
      <c r="D2" s="829"/>
      <c r="E2" s="829"/>
      <c r="F2" s="829"/>
      <c r="G2" s="829"/>
      <c r="H2" s="829"/>
      <c r="I2" s="829"/>
      <c r="J2" s="829"/>
      <c r="K2" s="71" t="s">
        <v>2426</v>
      </c>
      <c r="L2" s="2621"/>
    </row>
    <row r="3" spans="1:14" ht="18.75" customHeight="1">
      <c r="A3" s="826"/>
      <c r="B3" s="829"/>
      <c r="C3" s="829"/>
      <c r="D3" s="829"/>
      <c r="E3" s="829"/>
      <c r="F3" s="829"/>
      <c r="G3" s="829"/>
      <c r="H3" s="829"/>
      <c r="I3" s="829"/>
      <c r="J3" s="829"/>
      <c r="K3" s="40"/>
      <c r="L3" s="1"/>
      <c r="N3" s="1">
        <v>5</v>
      </c>
    </row>
    <row r="4" spans="1:14" ht="15.75">
      <c r="A4" s="826"/>
      <c r="B4" s="827"/>
      <c r="C4" s="827"/>
      <c r="D4" s="827"/>
      <c r="E4" s="827"/>
      <c r="F4" s="827"/>
      <c r="G4" s="827"/>
      <c r="H4" s="827"/>
      <c r="I4" s="828"/>
      <c r="J4" s="829"/>
      <c r="K4" s="2612" t="s">
        <v>1163</v>
      </c>
      <c r="L4" s="709" t="s">
        <v>1262</v>
      </c>
      <c r="M4" s="32"/>
      <c r="N4" s="32">
        <v>10</v>
      </c>
    </row>
    <row r="5" spans="1:14" ht="17.25" customHeight="1">
      <c r="A5" s="826"/>
      <c r="B5" s="827"/>
      <c r="C5" s="827"/>
      <c r="D5" s="827"/>
      <c r="E5" s="827"/>
      <c r="F5" s="827"/>
      <c r="G5" s="827"/>
      <c r="H5" s="827"/>
      <c r="I5" s="851"/>
      <c r="J5" s="851" t="s">
        <v>332</v>
      </c>
      <c r="K5" s="2617" t="str">
        <f>IF(PreparedBy="","",PreparedBy)</f>
        <v/>
      </c>
      <c r="L5" s="2618" t="str">
        <f>IF(DatePrepared="","",DatePrepared)</f>
        <v/>
      </c>
      <c r="M5" s="32"/>
      <c r="N5" s="32">
        <v>15</v>
      </c>
    </row>
    <row r="6" spans="1:14" ht="17.25" customHeight="1">
      <c r="A6" s="826"/>
      <c r="B6" s="827"/>
      <c r="C6" s="827"/>
      <c r="D6" s="827"/>
      <c r="E6" s="827"/>
      <c r="F6" s="827"/>
      <c r="G6" s="827"/>
      <c r="H6" s="827"/>
      <c r="I6" s="851"/>
      <c r="J6" s="851" t="s">
        <v>333</v>
      </c>
      <c r="K6" s="2619"/>
      <c r="L6" s="2620"/>
      <c r="M6" s="32"/>
      <c r="N6" s="32">
        <v>20</v>
      </c>
    </row>
    <row r="7" spans="1:14" ht="13.35" customHeight="1">
      <c r="A7" s="826"/>
      <c r="B7" s="829"/>
      <c r="C7" s="829"/>
      <c r="D7" s="829"/>
      <c r="E7" s="829"/>
      <c r="F7" s="829"/>
      <c r="G7" s="829"/>
      <c r="H7" s="829"/>
      <c r="I7" s="829"/>
      <c r="J7" s="829"/>
      <c r="K7" s="829"/>
      <c r="L7" s="829"/>
      <c r="M7" s="32"/>
      <c r="N7" s="32">
        <v>30</v>
      </c>
    </row>
    <row r="8" spans="1:14" ht="15.75">
      <c r="A8" s="3849" t="s">
        <v>433</v>
      </c>
      <c r="B8" s="3850"/>
      <c r="C8" s="3850"/>
      <c r="D8" s="3850"/>
      <c r="E8" s="3850"/>
      <c r="F8" s="3850"/>
      <c r="G8" s="3850"/>
      <c r="H8" s="3850"/>
      <c r="I8" s="3850"/>
      <c r="J8" s="3850"/>
      <c r="K8" s="3850"/>
      <c r="L8" s="3851"/>
    </row>
    <row r="9" spans="1:14">
      <c r="L9" s="3248" t="s">
        <v>2526</v>
      </c>
    </row>
    <row r="10" spans="1:14" ht="15.75">
      <c r="A10" s="830" t="str">
        <f>"CLIENT NAME:   "&amp;'WP Index'!E3</f>
        <v>CLIENT NAME:   Example Trust</v>
      </c>
    </row>
    <row r="11" spans="1:14">
      <c r="A11" s="831" t="str">
        <f>"CLIENT CODE:   "&amp;'WP Index'!E4</f>
        <v>CLIENT CODE:   99999</v>
      </c>
      <c r="H11" s="864"/>
      <c r="I11" s="853" t="s">
        <v>951</v>
      </c>
      <c r="J11" s="865">
        <f>'Input Info'!F8</f>
        <v>45473</v>
      </c>
      <c r="K11" s="865"/>
      <c r="L11" s="1"/>
    </row>
    <row r="12" spans="1:14">
      <c r="N12" s="827"/>
    </row>
    <row r="13" spans="1:14">
      <c r="A13" s="967" t="s">
        <v>434</v>
      </c>
    </row>
    <row r="14" spans="1:14">
      <c r="H14" s="864"/>
      <c r="I14" s="863"/>
      <c r="L14" s="1"/>
      <c r="M14" s="827"/>
      <c r="N14" s="1">
        <v>5</v>
      </c>
    </row>
    <row r="15" spans="1:14" s="957" customFormat="1">
      <c r="A15" s="4054" t="s">
        <v>1163</v>
      </c>
      <c r="B15" s="4052" t="s">
        <v>415</v>
      </c>
      <c r="C15" s="4057" t="s">
        <v>418</v>
      </c>
      <c r="D15" s="4057" t="s">
        <v>267</v>
      </c>
      <c r="E15" s="4057" t="s">
        <v>1073</v>
      </c>
      <c r="F15" s="4052" t="s">
        <v>416</v>
      </c>
      <c r="G15" s="4056" t="s">
        <v>417</v>
      </c>
      <c r="H15" s="4056"/>
      <c r="I15" s="4052" t="s">
        <v>421</v>
      </c>
      <c r="J15" s="4050" t="s">
        <v>422</v>
      </c>
      <c r="K15" s="4050" t="s">
        <v>425</v>
      </c>
      <c r="L15" s="4050" t="s">
        <v>423</v>
      </c>
      <c r="M15" s="4050" t="s">
        <v>89</v>
      </c>
      <c r="N15" s="827"/>
    </row>
    <row r="16" spans="1:14" s="957" customFormat="1">
      <c r="A16" s="4055"/>
      <c r="B16" s="4053"/>
      <c r="C16" s="4058"/>
      <c r="D16" s="4058"/>
      <c r="E16" s="4058"/>
      <c r="F16" s="4053"/>
      <c r="G16" s="959" t="s">
        <v>419</v>
      </c>
      <c r="H16" s="959" t="s">
        <v>420</v>
      </c>
      <c r="I16" s="4053"/>
      <c r="J16" s="4051"/>
      <c r="K16" s="4051"/>
      <c r="L16" s="4051"/>
      <c r="M16" s="4051"/>
      <c r="N16" s="827"/>
    </row>
    <row r="17" spans="1:14" s="957" customFormat="1" ht="3.75" customHeight="1">
      <c r="A17" s="960"/>
      <c r="B17" s="961"/>
      <c r="C17" s="968"/>
      <c r="D17" s="968"/>
      <c r="E17" s="968"/>
      <c r="F17" s="968"/>
      <c r="G17" s="968"/>
      <c r="H17" s="968"/>
      <c r="I17" s="968"/>
      <c r="J17" s="969"/>
      <c r="K17" s="969"/>
      <c r="L17" s="969"/>
      <c r="N17" s="827"/>
    </row>
    <row r="18" spans="1:14">
      <c r="A18" s="2986"/>
      <c r="B18" s="2983"/>
      <c r="C18" s="2984"/>
      <c r="D18" s="2985" t="str">
        <f t="shared" ref="D18:D22" si="0">IF(A18="","","No")</f>
        <v/>
      </c>
      <c r="E18" s="2984"/>
      <c r="F18" s="962">
        <f t="shared" ref="F18:F22" si="1">IF(B18="",0,($J$11-B18)/365.24219)</f>
        <v>0</v>
      </c>
      <c r="G18" s="962">
        <f t="shared" ref="G18:G22" si="2">IF(F18="",0,13/15*F18)</f>
        <v>0</v>
      </c>
      <c r="H18" s="962">
        <f t="shared" ref="H18:H22" si="3">IF(OR(C18="",G18=""),0,C18*G18)</f>
        <v>0</v>
      </c>
      <c r="I18" s="2984"/>
      <c r="J18" s="140">
        <f t="shared" ref="J18:J22" si="4">IF(H18="",0,H18-I18)</f>
        <v>0</v>
      </c>
      <c r="K18" s="140">
        <f t="shared" ref="K18:K22" si="5">IF(AND(D18="Yes",F18&lt;6),0,L18)</f>
        <v>0</v>
      </c>
      <c r="L18" s="963">
        <f>IF(OR(E18="",J18=""),0,E18*J18)</f>
        <v>0</v>
      </c>
      <c r="M18" s="827"/>
      <c r="N18" s="827"/>
    </row>
    <row r="19" spans="1:14">
      <c r="A19" s="2986"/>
      <c r="B19" s="2983"/>
      <c r="C19" s="2984"/>
      <c r="D19" s="2985" t="str">
        <f t="shared" si="0"/>
        <v/>
      </c>
      <c r="E19" s="2984"/>
      <c r="F19" s="962">
        <f t="shared" si="1"/>
        <v>0</v>
      </c>
      <c r="G19" s="962">
        <f t="shared" si="2"/>
        <v>0</v>
      </c>
      <c r="H19" s="962">
        <f t="shared" si="3"/>
        <v>0</v>
      </c>
      <c r="I19" s="2984"/>
      <c r="J19" s="140">
        <f t="shared" si="4"/>
        <v>0</v>
      </c>
      <c r="K19" s="140">
        <f t="shared" si="5"/>
        <v>0</v>
      </c>
      <c r="L19" s="963">
        <f t="shared" ref="L19:L22" si="6">IF(OR(E19="",J19=""),0,E19*J19)</f>
        <v>0</v>
      </c>
      <c r="M19" s="827"/>
      <c r="N19" s="827"/>
    </row>
    <row r="20" spans="1:14">
      <c r="A20" s="2986"/>
      <c r="B20" s="2983"/>
      <c r="C20" s="2984"/>
      <c r="D20" s="2985" t="str">
        <f t="shared" si="0"/>
        <v/>
      </c>
      <c r="E20" s="2984"/>
      <c r="F20" s="962">
        <f t="shared" si="1"/>
        <v>0</v>
      </c>
      <c r="G20" s="962">
        <f t="shared" si="2"/>
        <v>0</v>
      </c>
      <c r="H20" s="962">
        <f t="shared" si="3"/>
        <v>0</v>
      </c>
      <c r="I20" s="2984"/>
      <c r="J20" s="140">
        <f t="shared" si="4"/>
        <v>0</v>
      </c>
      <c r="K20" s="140">
        <f t="shared" si="5"/>
        <v>0</v>
      </c>
      <c r="L20" s="963">
        <f t="shared" si="6"/>
        <v>0</v>
      </c>
      <c r="M20" s="827"/>
      <c r="N20" s="827"/>
    </row>
    <row r="21" spans="1:14">
      <c r="A21" s="2986"/>
      <c r="B21" s="2983"/>
      <c r="C21" s="2984"/>
      <c r="D21" s="2985" t="str">
        <f t="shared" si="0"/>
        <v/>
      </c>
      <c r="E21" s="2984"/>
      <c r="F21" s="962">
        <f t="shared" si="1"/>
        <v>0</v>
      </c>
      <c r="G21" s="962">
        <f t="shared" si="2"/>
        <v>0</v>
      </c>
      <c r="H21" s="962">
        <f t="shared" si="3"/>
        <v>0</v>
      </c>
      <c r="I21" s="2984"/>
      <c r="J21" s="140">
        <f t="shared" si="4"/>
        <v>0</v>
      </c>
      <c r="K21" s="140">
        <f t="shared" si="5"/>
        <v>0</v>
      </c>
      <c r="L21" s="963">
        <f t="shared" si="6"/>
        <v>0</v>
      </c>
      <c r="M21" s="827"/>
      <c r="N21" s="827"/>
    </row>
    <row r="22" spans="1:14">
      <c r="A22" s="2986"/>
      <c r="B22" s="2983"/>
      <c r="C22" s="2984"/>
      <c r="D22" s="2985" t="str">
        <f t="shared" si="0"/>
        <v/>
      </c>
      <c r="E22" s="2984"/>
      <c r="F22" s="962">
        <f t="shared" si="1"/>
        <v>0</v>
      </c>
      <c r="G22" s="962">
        <f t="shared" si="2"/>
        <v>0</v>
      </c>
      <c r="H22" s="962">
        <f t="shared" si="3"/>
        <v>0</v>
      </c>
      <c r="I22" s="2984"/>
      <c r="J22" s="140">
        <f t="shared" si="4"/>
        <v>0</v>
      </c>
      <c r="K22" s="140">
        <f t="shared" si="5"/>
        <v>0</v>
      </c>
      <c r="L22" s="963">
        <f t="shared" si="6"/>
        <v>0</v>
      </c>
      <c r="M22" s="827"/>
      <c r="N22" s="827"/>
    </row>
    <row r="23" spans="1:14">
      <c r="A23" s="2986"/>
      <c r="B23" s="2983"/>
      <c r="C23" s="2984"/>
      <c r="D23" s="2985" t="str">
        <f t="shared" ref="D23:D47" si="7">IF(A23="","","No")</f>
        <v/>
      </c>
      <c r="E23" s="2984"/>
      <c r="F23" s="962">
        <f t="shared" ref="F23:F47" si="8">IF(B23="",0,($J$11-B23)/365.24219)</f>
        <v>0</v>
      </c>
      <c r="G23" s="962">
        <f t="shared" ref="G23:G47" si="9">IF(F23="",0,13/15*F23)</f>
        <v>0</v>
      </c>
      <c r="H23" s="962">
        <f t="shared" ref="H23:H47" si="10">IF(OR(C23="",G23=""),0,C23*G23)</f>
        <v>0</v>
      </c>
      <c r="I23" s="2984"/>
      <c r="J23" s="140">
        <f t="shared" ref="J23:J47" si="11">IF(H23="",0,H23-I23)</f>
        <v>0</v>
      </c>
      <c r="K23" s="140">
        <f t="shared" ref="K23:K47" si="12">IF(AND(D23="Yes",F23&lt;6),0,L23)</f>
        <v>0</v>
      </c>
      <c r="L23" s="963">
        <f>IF(OR(E23="",J23=""),0,E23*J23)</f>
        <v>0</v>
      </c>
      <c r="M23" s="827"/>
      <c r="N23" s="827"/>
    </row>
    <row r="24" spans="1:14">
      <c r="A24" s="2986"/>
      <c r="B24" s="2983"/>
      <c r="C24" s="2984"/>
      <c r="D24" s="2985" t="str">
        <f t="shared" si="7"/>
        <v/>
      </c>
      <c r="E24" s="2984"/>
      <c r="F24" s="962">
        <f t="shared" si="8"/>
        <v>0</v>
      </c>
      <c r="G24" s="962">
        <f t="shared" si="9"/>
        <v>0</v>
      </c>
      <c r="H24" s="962">
        <f t="shared" si="10"/>
        <v>0</v>
      </c>
      <c r="I24" s="2984"/>
      <c r="J24" s="140">
        <f t="shared" si="11"/>
        <v>0</v>
      </c>
      <c r="K24" s="140">
        <f t="shared" si="12"/>
        <v>0</v>
      </c>
      <c r="L24" s="963">
        <f t="shared" ref="L24:L47" si="13">IF(OR(E24="",J24=""),0,E24*J24)</f>
        <v>0</v>
      </c>
      <c r="M24" s="827"/>
      <c r="N24" s="827"/>
    </row>
    <row r="25" spans="1:14">
      <c r="A25" s="2986"/>
      <c r="B25" s="2983"/>
      <c r="C25" s="2984"/>
      <c r="D25" s="2985" t="str">
        <f t="shared" si="7"/>
        <v/>
      </c>
      <c r="E25" s="2984"/>
      <c r="F25" s="962">
        <f t="shared" si="8"/>
        <v>0</v>
      </c>
      <c r="G25" s="962">
        <f t="shared" si="9"/>
        <v>0</v>
      </c>
      <c r="H25" s="962">
        <f t="shared" si="10"/>
        <v>0</v>
      </c>
      <c r="I25" s="2984"/>
      <c r="J25" s="140">
        <f t="shared" si="11"/>
        <v>0</v>
      </c>
      <c r="K25" s="140">
        <f t="shared" si="12"/>
        <v>0</v>
      </c>
      <c r="L25" s="963">
        <f t="shared" si="13"/>
        <v>0</v>
      </c>
      <c r="M25" s="827"/>
      <c r="N25" s="827"/>
    </row>
    <row r="26" spans="1:14">
      <c r="A26" s="2986"/>
      <c r="B26" s="2983"/>
      <c r="C26" s="2984"/>
      <c r="D26" s="2985" t="str">
        <f t="shared" si="7"/>
        <v/>
      </c>
      <c r="E26" s="2984"/>
      <c r="F26" s="962">
        <f t="shared" si="8"/>
        <v>0</v>
      </c>
      <c r="G26" s="962">
        <f t="shared" si="9"/>
        <v>0</v>
      </c>
      <c r="H26" s="962">
        <f t="shared" si="10"/>
        <v>0</v>
      </c>
      <c r="I26" s="2984"/>
      <c r="J26" s="140">
        <f t="shared" si="11"/>
        <v>0</v>
      </c>
      <c r="K26" s="140">
        <f t="shared" si="12"/>
        <v>0</v>
      </c>
      <c r="L26" s="963">
        <f t="shared" si="13"/>
        <v>0</v>
      </c>
      <c r="M26" s="827"/>
      <c r="N26" s="827"/>
    </row>
    <row r="27" spans="1:14">
      <c r="A27" s="2986"/>
      <c r="B27" s="2983"/>
      <c r="C27" s="2984"/>
      <c r="D27" s="2985" t="str">
        <f t="shared" si="7"/>
        <v/>
      </c>
      <c r="E27" s="2984"/>
      <c r="F27" s="962">
        <f t="shared" si="8"/>
        <v>0</v>
      </c>
      <c r="G27" s="962">
        <f t="shared" si="9"/>
        <v>0</v>
      </c>
      <c r="H27" s="962">
        <f t="shared" si="10"/>
        <v>0</v>
      </c>
      <c r="I27" s="2984"/>
      <c r="J27" s="140">
        <f t="shared" si="11"/>
        <v>0</v>
      </c>
      <c r="K27" s="140">
        <f t="shared" si="12"/>
        <v>0</v>
      </c>
      <c r="L27" s="963">
        <f t="shared" si="13"/>
        <v>0</v>
      </c>
      <c r="M27" s="827"/>
      <c r="N27" s="827"/>
    </row>
    <row r="28" spans="1:14">
      <c r="A28" s="2986"/>
      <c r="B28" s="2983"/>
      <c r="C28" s="2984"/>
      <c r="D28" s="2985" t="str">
        <f t="shared" si="7"/>
        <v/>
      </c>
      <c r="E28" s="2984"/>
      <c r="F28" s="962">
        <f t="shared" si="8"/>
        <v>0</v>
      </c>
      <c r="G28" s="962">
        <f t="shared" si="9"/>
        <v>0</v>
      </c>
      <c r="H28" s="962">
        <f t="shared" si="10"/>
        <v>0</v>
      </c>
      <c r="I28" s="2984"/>
      <c r="J28" s="140">
        <f t="shared" si="11"/>
        <v>0</v>
      </c>
      <c r="K28" s="140">
        <f t="shared" si="12"/>
        <v>0</v>
      </c>
      <c r="L28" s="963">
        <f t="shared" si="13"/>
        <v>0</v>
      </c>
      <c r="M28" s="827"/>
      <c r="N28" s="827"/>
    </row>
    <row r="29" spans="1:14">
      <c r="A29" s="2986"/>
      <c r="B29" s="2983"/>
      <c r="C29" s="2984"/>
      <c r="D29" s="2985" t="str">
        <f t="shared" si="7"/>
        <v/>
      </c>
      <c r="E29" s="2984"/>
      <c r="F29" s="962">
        <f t="shared" si="8"/>
        <v>0</v>
      </c>
      <c r="G29" s="962">
        <f t="shared" si="9"/>
        <v>0</v>
      </c>
      <c r="H29" s="962">
        <f t="shared" si="10"/>
        <v>0</v>
      </c>
      <c r="I29" s="2984"/>
      <c r="J29" s="140">
        <f t="shared" si="11"/>
        <v>0</v>
      </c>
      <c r="K29" s="140">
        <f t="shared" si="12"/>
        <v>0</v>
      </c>
      <c r="L29" s="963">
        <f t="shared" si="13"/>
        <v>0</v>
      </c>
      <c r="M29" s="827"/>
      <c r="N29" s="827"/>
    </row>
    <row r="30" spans="1:14">
      <c r="A30" s="2986"/>
      <c r="B30" s="2983"/>
      <c r="C30" s="2984"/>
      <c r="D30" s="2985" t="str">
        <f t="shared" si="7"/>
        <v/>
      </c>
      <c r="E30" s="2984"/>
      <c r="F30" s="962">
        <f t="shared" si="8"/>
        <v>0</v>
      </c>
      <c r="G30" s="962">
        <f t="shared" si="9"/>
        <v>0</v>
      </c>
      <c r="H30" s="962">
        <f t="shared" si="10"/>
        <v>0</v>
      </c>
      <c r="I30" s="2984"/>
      <c r="J30" s="140">
        <f t="shared" si="11"/>
        <v>0</v>
      </c>
      <c r="K30" s="140">
        <f t="shared" si="12"/>
        <v>0</v>
      </c>
      <c r="L30" s="963">
        <f t="shared" si="13"/>
        <v>0</v>
      </c>
      <c r="M30" s="827"/>
      <c r="N30" s="827"/>
    </row>
    <row r="31" spans="1:14">
      <c r="A31" s="2986"/>
      <c r="B31" s="2983"/>
      <c r="C31" s="2984"/>
      <c r="D31" s="2985" t="str">
        <f t="shared" si="7"/>
        <v/>
      </c>
      <c r="E31" s="2984"/>
      <c r="F31" s="962">
        <f t="shared" si="8"/>
        <v>0</v>
      </c>
      <c r="G31" s="962">
        <f t="shared" si="9"/>
        <v>0</v>
      </c>
      <c r="H31" s="962">
        <f t="shared" si="10"/>
        <v>0</v>
      </c>
      <c r="I31" s="2984"/>
      <c r="J31" s="140">
        <f t="shared" si="11"/>
        <v>0</v>
      </c>
      <c r="K31" s="140">
        <f t="shared" si="12"/>
        <v>0</v>
      </c>
      <c r="L31" s="963">
        <f t="shared" si="13"/>
        <v>0</v>
      </c>
      <c r="M31" s="827"/>
      <c r="N31" s="827"/>
    </row>
    <row r="32" spans="1:14">
      <c r="A32" s="2986"/>
      <c r="B32" s="2983"/>
      <c r="C32" s="2984"/>
      <c r="D32" s="2985" t="str">
        <f t="shared" si="7"/>
        <v/>
      </c>
      <c r="E32" s="2984"/>
      <c r="F32" s="962">
        <f t="shared" si="8"/>
        <v>0</v>
      </c>
      <c r="G32" s="962">
        <f t="shared" si="9"/>
        <v>0</v>
      </c>
      <c r="H32" s="962">
        <f t="shared" si="10"/>
        <v>0</v>
      </c>
      <c r="I32" s="2984"/>
      <c r="J32" s="140">
        <f t="shared" si="11"/>
        <v>0</v>
      </c>
      <c r="K32" s="140">
        <f t="shared" si="12"/>
        <v>0</v>
      </c>
      <c r="L32" s="963">
        <f t="shared" si="13"/>
        <v>0</v>
      </c>
      <c r="M32" s="827"/>
      <c r="N32" s="827"/>
    </row>
    <row r="33" spans="1:14">
      <c r="A33" s="2986"/>
      <c r="B33" s="2983"/>
      <c r="C33" s="2984"/>
      <c r="D33" s="2985" t="str">
        <f t="shared" si="7"/>
        <v/>
      </c>
      <c r="E33" s="2984"/>
      <c r="F33" s="962">
        <f t="shared" si="8"/>
        <v>0</v>
      </c>
      <c r="G33" s="962">
        <f t="shared" si="9"/>
        <v>0</v>
      </c>
      <c r="H33" s="962">
        <f t="shared" si="10"/>
        <v>0</v>
      </c>
      <c r="I33" s="2984"/>
      <c r="J33" s="140">
        <f t="shared" si="11"/>
        <v>0</v>
      </c>
      <c r="K33" s="140">
        <f t="shared" si="12"/>
        <v>0</v>
      </c>
      <c r="L33" s="963">
        <f t="shared" si="13"/>
        <v>0</v>
      </c>
      <c r="M33" s="827"/>
      <c r="N33" s="827"/>
    </row>
    <row r="34" spans="1:14">
      <c r="A34" s="2986"/>
      <c r="B34" s="2983"/>
      <c r="C34" s="2984"/>
      <c r="D34" s="2985" t="str">
        <f t="shared" si="7"/>
        <v/>
      </c>
      <c r="E34" s="2984"/>
      <c r="F34" s="962">
        <f t="shared" si="8"/>
        <v>0</v>
      </c>
      <c r="G34" s="962">
        <f t="shared" si="9"/>
        <v>0</v>
      </c>
      <c r="H34" s="962">
        <f t="shared" si="10"/>
        <v>0</v>
      </c>
      <c r="I34" s="2984"/>
      <c r="J34" s="140">
        <f t="shared" si="11"/>
        <v>0</v>
      </c>
      <c r="K34" s="140">
        <f t="shared" si="12"/>
        <v>0</v>
      </c>
      <c r="L34" s="963">
        <f t="shared" si="13"/>
        <v>0</v>
      </c>
      <c r="M34" s="827"/>
      <c r="N34" s="827"/>
    </row>
    <row r="35" spans="1:14">
      <c r="A35" s="2986"/>
      <c r="B35" s="2983"/>
      <c r="C35" s="2984"/>
      <c r="D35" s="2985" t="str">
        <f t="shared" si="7"/>
        <v/>
      </c>
      <c r="E35" s="2984"/>
      <c r="F35" s="962">
        <f t="shared" si="8"/>
        <v>0</v>
      </c>
      <c r="G35" s="962">
        <f t="shared" si="9"/>
        <v>0</v>
      </c>
      <c r="H35" s="962">
        <f t="shared" si="10"/>
        <v>0</v>
      </c>
      <c r="I35" s="2984"/>
      <c r="J35" s="140">
        <f t="shared" si="11"/>
        <v>0</v>
      </c>
      <c r="K35" s="140">
        <f t="shared" si="12"/>
        <v>0</v>
      </c>
      <c r="L35" s="963">
        <f t="shared" si="13"/>
        <v>0</v>
      </c>
      <c r="M35" s="827"/>
      <c r="N35" s="827"/>
    </row>
    <row r="36" spans="1:14">
      <c r="A36" s="2986"/>
      <c r="B36" s="2983"/>
      <c r="C36" s="2984"/>
      <c r="D36" s="2985" t="str">
        <f t="shared" si="7"/>
        <v/>
      </c>
      <c r="E36" s="2984"/>
      <c r="F36" s="962">
        <f t="shared" si="8"/>
        <v>0</v>
      </c>
      <c r="G36" s="962">
        <f t="shared" si="9"/>
        <v>0</v>
      </c>
      <c r="H36" s="962">
        <f t="shared" si="10"/>
        <v>0</v>
      </c>
      <c r="I36" s="2984"/>
      <c r="J36" s="140">
        <f t="shared" si="11"/>
        <v>0</v>
      </c>
      <c r="K36" s="140">
        <f t="shared" si="12"/>
        <v>0</v>
      </c>
      <c r="L36" s="963">
        <f t="shared" si="13"/>
        <v>0</v>
      </c>
      <c r="M36" s="827"/>
      <c r="N36" s="827"/>
    </row>
    <row r="37" spans="1:14">
      <c r="A37" s="2986"/>
      <c r="B37" s="2983"/>
      <c r="C37" s="2984"/>
      <c r="D37" s="2985" t="str">
        <f t="shared" si="7"/>
        <v/>
      </c>
      <c r="E37" s="2984"/>
      <c r="F37" s="962">
        <f t="shared" si="8"/>
        <v>0</v>
      </c>
      <c r="G37" s="962">
        <f t="shared" si="9"/>
        <v>0</v>
      </c>
      <c r="H37" s="962">
        <f t="shared" si="10"/>
        <v>0</v>
      </c>
      <c r="I37" s="2984"/>
      <c r="J37" s="140">
        <f t="shared" si="11"/>
        <v>0</v>
      </c>
      <c r="K37" s="140">
        <f t="shared" si="12"/>
        <v>0</v>
      </c>
      <c r="L37" s="963">
        <f t="shared" si="13"/>
        <v>0</v>
      </c>
      <c r="M37" s="827"/>
      <c r="N37" s="827"/>
    </row>
    <row r="38" spans="1:14">
      <c r="A38" s="2986"/>
      <c r="B38" s="2983"/>
      <c r="C38" s="2984"/>
      <c r="D38" s="2985" t="str">
        <f t="shared" si="7"/>
        <v/>
      </c>
      <c r="E38" s="2984"/>
      <c r="F38" s="962">
        <f t="shared" si="8"/>
        <v>0</v>
      </c>
      <c r="G38" s="962">
        <f t="shared" si="9"/>
        <v>0</v>
      </c>
      <c r="H38" s="962">
        <f t="shared" si="10"/>
        <v>0</v>
      </c>
      <c r="I38" s="2984"/>
      <c r="J38" s="140">
        <f t="shared" si="11"/>
        <v>0</v>
      </c>
      <c r="K38" s="140">
        <f t="shared" si="12"/>
        <v>0</v>
      </c>
      <c r="L38" s="963">
        <f t="shared" si="13"/>
        <v>0</v>
      </c>
      <c r="M38" s="827"/>
      <c r="N38" s="827"/>
    </row>
    <row r="39" spans="1:14">
      <c r="A39" s="2986"/>
      <c r="B39" s="2983"/>
      <c r="C39" s="2984"/>
      <c r="D39" s="2985" t="str">
        <f t="shared" si="7"/>
        <v/>
      </c>
      <c r="E39" s="2984"/>
      <c r="F39" s="962">
        <f t="shared" si="8"/>
        <v>0</v>
      </c>
      <c r="G39" s="962">
        <f t="shared" si="9"/>
        <v>0</v>
      </c>
      <c r="H39" s="962">
        <f t="shared" si="10"/>
        <v>0</v>
      </c>
      <c r="I39" s="2984"/>
      <c r="J39" s="140">
        <f t="shared" si="11"/>
        <v>0</v>
      </c>
      <c r="K39" s="140">
        <f t="shared" si="12"/>
        <v>0</v>
      </c>
      <c r="L39" s="963">
        <f t="shared" si="13"/>
        <v>0</v>
      </c>
      <c r="M39" s="827"/>
      <c r="N39" s="827"/>
    </row>
    <row r="40" spans="1:14">
      <c r="A40" s="2986"/>
      <c r="B40" s="2983"/>
      <c r="C40" s="2984"/>
      <c r="D40" s="2985" t="str">
        <f t="shared" si="7"/>
        <v/>
      </c>
      <c r="E40" s="2984"/>
      <c r="F40" s="962">
        <f t="shared" si="8"/>
        <v>0</v>
      </c>
      <c r="G40" s="962">
        <f t="shared" si="9"/>
        <v>0</v>
      </c>
      <c r="H40" s="962">
        <f t="shared" si="10"/>
        <v>0</v>
      </c>
      <c r="I40" s="2984"/>
      <c r="J40" s="140">
        <f t="shared" si="11"/>
        <v>0</v>
      </c>
      <c r="K40" s="140">
        <f t="shared" si="12"/>
        <v>0</v>
      </c>
      <c r="L40" s="963">
        <f t="shared" si="13"/>
        <v>0</v>
      </c>
      <c r="M40" s="827"/>
      <c r="N40" s="827"/>
    </row>
    <row r="41" spans="1:14">
      <c r="A41" s="2986"/>
      <c r="B41" s="2983"/>
      <c r="C41" s="2984"/>
      <c r="D41" s="2985" t="str">
        <f t="shared" si="7"/>
        <v/>
      </c>
      <c r="E41" s="2984"/>
      <c r="F41" s="962">
        <f t="shared" si="8"/>
        <v>0</v>
      </c>
      <c r="G41" s="962">
        <f t="shared" si="9"/>
        <v>0</v>
      </c>
      <c r="H41" s="962">
        <f t="shared" si="10"/>
        <v>0</v>
      </c>
      <c r="I41" s="2984"/>
      <c r="J41" s="140">
        <f t="shared" si="11"/>
        <v>0</v>
      </c>
      <c r="K41" s="140">
        <f t="shared" si="12"/>
        <v>0</v>
      </c>
      <c r="L41" s="963">
        <f t="shared" si="13"/>
        <v>0</v>
      </c>
      <c r="M41" s="827"/>
      <c r="N41" s="827"/>
    </row>
    <row r="42" spans="1:14">
      <c r="A42" s="2986"/>
      <c r="B42" s="2983"/>
      <c r="C42" s="2984"/>
      <c r="D42" s="2985" t="str">
        <f t="shared" si="7"/>
        <v/>
      </c>
      <c r="E42" s="2984"/>
      <c r="F42" s="962">
        <f t="shared" si="8"/>
        <v>0</v>
      </c>
      <c r="G42" s="962">
        <f t="shared" si="9"/>
        <v>0</v>
      </c>
      <c r="H42" s="962">
        <f t="shared" si="10"/>
        <v>0</v>
      </c>
      <c r="I42" s="2984"/>
      <c r="J42" s="140">
        <f t="shared" si="11"/>
        <v>0</v>
      </c>
      <c r="K42" s="140">
        <f t="shared" si="12"/>
        <v>0</v>
      </c>
      <c r="L42" s="963">
        <f t="shared" si="13"/>
        <v>0</v>
      </c>
      <c r="M42" s="827"/>
      <c r="N42" s="827"/>
    </row>
    <row r="43" spans="1:14">
      <c r="A43" s="2986"/>
      <c r="B43" s="2983"/>
      <c r="C43" s="2984"/>
      <c r="D43" s="2985" t="str">
        <f t="shared" si="7"/>
        <v/>
      </c>
      <c r="E43" s="2984"/>
      <c r="F43" s="962">
        <f t="shared" si="8"/>
        <v>0</v>
      </c>
      <c r="G43" s="962">
        <f t="shared" si="9"/>
        <v>0</v>
      </c>
      <c r="H43" s="962">
        <f t="shared" si="10"/>
        <v>0</v>
      </c>
      <c r="I43" s="2984"/>
      <c r="J43" s="140">
        <f t="shared" si="11"/>
        <v>0</v>
      </c>
      <c r="K43" s="140">
        <f t="shared" si="12"/>
        <v>0</v>
      </c>
      <c r="L43" s="963">
        <f t="shared" si="13"/>
        <v>0</v>
      </c>
      <c r="M43" s="827"/>
      <c r="N43" s="827"/>
    </row>
    <row r="44" spans="1:14">
      <c r="A44" s="2986"/>
      <c r="B44" s="2983"/>
      <c r="C44" s="2984"/>
      <c r="D44" s="2985" t="str">
        <f t="shared" si="7"/>
        <v/>
      </c>
      <c r="E44" s="2984"/>
      <c r="F44" s="962">
        <f t="shared" si="8"/>
        <v>0</v>
      </c>
      <c r="G44" s="962">
        <f t="shared" si="9"/>
        <v>0</v>
      </c>
      <c r="H44" s="962">
        <f t="shared" si="10"/>
        <v>0</v>
      </c>
      <c r="I44" s="2984"/>
      <c r="J44" s="140">
        <f t="shared" si="11"/>
        <v>0</v>
      </c>
      <c r="K44" s="140">
        <f t="shared" si="12"/>
        <v>0</v>
      </c>
      <c r="L44" s="963">
        <f t="shared" si="13"/>
        <v>0</v>
      </c>
      <c r="M44" s="827"/>
      <c r="N44" s="827"/>
    </row>
    <row r="45" spans="1:14">
      <c r="A45" s="2986"/>
      <c r="B45" s="2983"/>
      <c r="C45" s="2984"/>
      <c r="D45" s="2985" t="str">
        <f t="shared" si="7"/>
        <v/>
      </c>
      <c r="E45" s="2984"/>
      <c r="F45" s="962">
        <f t="shared" si="8"/>
        <v>0</v>
      </c>
      <c r="G45" s="962">
        <f t="shared" si="9"/>
        <v>0</v>
      </c>
      <c r="H45" s="962">
        <f t="shared" si="10"/>
        <v>0</v>
      </c>
      <c r="I45" s="2984"/>
      <c r="J45" s="140">
        <f t="shared" si="11"/>
        <v>0</v>
      </c>
      <c r="K45" s="140">
        <f t="shared" si="12"/>
        <v>0</v>
      </c>
      <c r="L45" s="963">
        <f t="shared" si="13"/>
        <v>0</v>
      </c>
      <c r="M45" s="827"/>
      <c r="N45" s="827"/>
    </row>
    <row r="46" spans="1:14">
      <c r="A46" s="2986"/>
      <c r="B46" s="2983"/>
      <c r="C46" s="2984"/>
      <c r="D46" s="2985" t="str">
        <f t="shared" si="7"/>
        <v/>
      </c>
      <c r="E46" s="2984"/>
      <c r="F46" s="962">
        <f t="shared" si="8"/>
        <v>0</v>
      </c>
      <c r="G46" s="962">
        <f t="shared" si="9"/>
        <v>0</v>
      </c>
      <c r="H46" s="962">
        <f t="shared" si="10"/>
        <v>0</v>
      </c>
      <c r="I46" s="2984"/>
      <c r="J46" s="140">
        <f t="shared" si="11"/>
        <v>0</v>
      </c>
      <c r="K46" s="140">
        <f t="shared" si="12"/>
        <v>0</v>
      </c>
      <c r="L46" s="963">
        <f t="shared" si="13"/>
        <v>0</v>
      </c>
      <c r="M46" s="827"/>
      <c r="N46" s="827"/>
    </row>
    <row r="47" spans="1:14">
      <c r="A47" s="2986"/>
      <c r="B47" s="2983"/>
      <c r="C47" s="2984"/>
      <c r="D47" s="2985" t="str">
        <f t="shared" si="7"/>
        <v/>
      </c>
      <c r="E47" s="2984"/>
      <c r="F47" s="962">
        <f t="shared" si="8"/>
        <v>0</v>
      </c>
      <c r="G47" s="962">
        <f t="shared" si="9"/>
        <v>0</v>
      </c>
      <c r="H47" s="962">
        <f t="shared" si="10"/>
        <v>0</v>
      </c>
      <c r="I47" s="2984"/>
      <c r="J47" s="140">
        <f t="shared" si="11"/>
        <v>0</v>
      </c>
      <c r="K47" s="140">
        <f t="shared" si="12"/>
        <v>0</v>
      </c>
      <c r="L47" s="963">
        <f t="shared" si="13"/>
        <v>0</v>
      </c>
      <c r="M47" s="827"/>
      <c r="N47" s="827"/>
    </row>
    <row r="48" spans="1:14" ht="12.2" customHeight="1">
      <c r="A48" s="962"/>
      <c r="B48" s="962"/>
      <c r="C48" s="962"/>
      <c r="D48" s="962"/>
      <c r="E48" s="962"/>
      <c r="F48" s="962"/>
      <c r="G48" s="962"/>
      <c r="H48" s="962"/>
      <c r="I48" s="140"/>
      <c r="J48" s="962"/>
      <c r="K48" s="140"/>
      <c r="L48" s="963"/>
      <c r="M48" s="827"/>
      <c r="N48" s="827"/>
    </row>
    <row r="49" spans="1:14" s="831" customFormat="1">
      <c r="A49" s="831" t="s">
        <v>1129</v>
      </c>
      <c r="B49" s="954"/>
      <c r="C49" s="954"/>
      <c r="D49" s="954"/>
      <c r="E49" s="954"/>
      <c r="F49" s="955"/>
      <c r="G49" s="954"/>
      <c r="H49" s="954"/>
      <c r="I49" s="3"/>
      <c r="L49" s="973">
        <f>SUM(L17:N47)</f>
        <v>0</v>
      </c>
      <c r="N49" s="827"/>
    </row>
    <row r="50" spans="1:14">
      <c r="A50" s="827" t="s">
        <v>1545</v>
      </c>
      <c r="F50" s="864"/>
      <c r="I50" s="1"/>
      <c r="J50" s="827"/>
      <c r="K50" s="827"/>
      <c r="L50" s="974">
        <f>SUM(K17:K48)-L49</f>
        <v>0</v>
      </c>
      <c r="M50" s="827"/>
      <c r="N50" s="831"/>
    </row>
    <row r="51" spans="1:14" s="831" customFormat="1" ht="13.5" thickBot="1">
      <c r="A51" s="831" t="s">
        <v>425</v>
      </c>
      <c r="B51" s="954"/>
      <c r="C51" s="954"/>
      <c r="D51" s="954"/>
      <c r="E51" s="954"/>
      <c r="F51" s="955"/>
      <c r="G51" s="954"/>
      <c r="H51" s="954"/>
      <c r="I51" s="3"/>
      <c r="L51" s="975">
        <f>SUM(L49:L50)</f>
        <v>0</v>
      </c>
      <c r="N51" s="827"/>
    </row>
    <row r="52" spans="1:14" s="831" customFormat="1" ht="13.5" thickTop="1">
      <c r="B52" s="954"/>
      <c r="C52" s="954"/>
      <c r="D52" s="954"/>
      <c r="E52" s="955"/>
      <c r="F52" s="954"/>
      <c r="G52" s="3"/>
      <c r="I52" s="964"/>
      <c r="J52" s="964"/>
    </row>
    <row r="53" spans="1:14" s="957" customFormat="1" ht="12.75" customHeight="1">
      <c r="A53" s="4054" t="s">
        <v>416</v>
      </c>
      <c r="B53" s="4052" t="s">
        <v>424</v>
      </c>
      <c r="C53" s="4052" t="s">
        <v>425</v>
      </c>
      <c r="D53" s="4052" t="str">
        <f>"Oncosts " &amp; TEXT(B70,"0.00%")</f>
        <v>Oncosts 13.07%</v>
      </c>
      <c r="E53" s="4052" t="s">
        <v>1015</v>
      </c>
      <c r="F53" s="958" t="s">
        <v>426</v>
      </c>
      <c r="G53" s="1843" t="s">
        <v>1991</v>
      </c>
      <c r="H53" s="4056" t="s">
        <v>428</v>
      </c>
      <c r="I53" s="4056" t="s">
        <v>266</v>
      </c>
      <c r="J53" s="961"/>
      <c r="K53" s="1"/>
      <c r="L53" s="1"/>
      <c r="N53" s="831"/>
    </row>
    <row r="54" spans="1:14" s="957" customFormat="1">
      <c r="A54" s="4055"/>
      <c r="B54" s="4053"/>
      <c r="C54" s="4053"/>
      <c r="D54" s="4053"/>
      <c r="E54" s="4053"/>
      <c r="F54" s="2987">
        <v>0.03</v>
      </c>
      <c r="G54" s="2987">
        <v>3.5999999999999997E-2</v>
      </c>
      <c r="H54" s="4053"/>
      <c r="I54" s="4053"/>
      <c r="J54" s="961"/>
      <c r="K54" s="1"/>
      <c r="L54" s="1"/>
    </row>
    <row r="55" spans="1:14">
      <c r="A55" s="898">
        <v>1</v>
      </c>
      <c r="B55" s="2988">
        <v>0.1</v>
      </c>
      <c r="C55" s="963">
        <f>SUMIF($F$17:$F$48,"&gt;"&amp;A55-1,$K$17:$K$48)-SUM(C56:$C$62)</f>
        <v>0</v>
      </c>
      <c r="D55" s="963">
        <f t="shared" ref="D55:D61" si="14">+C55*(1+$B$70)</f>
        <v>0</v>
      </c>
      <c r="E55" s="963">
        <f t="shared" ref="E55:E61" si="15">+D55*B55</f>
        <v>0</v>
      </c>
      <c r="F55" s="963">
        <f t="shared" ref="F55:F61" si="16">+E55*(1+$F$54)^(7-A55)</f>
        <v>0</v>
      </c>
      <c r="H55" s="963">
        <f t="shared" ref="H55:H61" si="17">+F55*(1+$G$54)^-(7-A55)</f>
        <v>0</v>
      </c>
      <c r="I55" s="863"/>
      <c r="J55" s="1"/>
      <c r="K55" s="1"/>
      <c r="L55" s="827"/>
      <c r="M55" s="827"/>
      <c r="N55" s="957"/>
    </row>
    <row r="56" spans="1:14">
      <c r="A56" s="898">
        <v>2</v>
      </c>
      <c r="B56" s="2988">
        <v>0.2</v>
      </c>
      <c r="C56" s="963">
        <f>SUMIF($F$17:$F$48,"&gt;"&amp;A56-1,$K$17:$K$48)-SUM(C57:$C$62)</f>
        <v>0</v>
      </c>
      <c r="D56" s="963">
        <f t="shared" si="14"/>
        <v>0</v>
      </c>
      <c r="E56" s="963">
        <f t="shared" si="15"/>
        <v>0</v>
      </c>
      <c r="F56" s="963">
        <f t="shared" si="16"/>
        <v>0</v>
      </c>
      <c r="H56" s="963">
        <f t="shared" si="17"/>
        <v>0</v>
      </c>
      <c r="I56" s="863"/>
      <c r="J56" s="1"/>
      <c r="K56" s="1"/>
      <c r="L56" s="827"/>
      <c r="M56" s="827"/>
      <c r="N56" s="827"/>
    </row>
    <row r="57" spans="1:14">
      <c r="A57" s="898">
        <v>3</v>
      </c>
      <c r="B57" s="2988">
        <v>0.4</v>
      </c>
      <c r="C57" s="963">
        <f>SUMIF($F$17:$F$48,"&gt;"&amp;A57-1,$K$17:$K$48)-SUM(C58:$C$62)</f>
        <v>0</v>
      </c>
      <c r="D57" s="963">
        <f t="shared" si="14"/>
        <v>0</v>
      </c>
      <c r="E57" s="963">
        <f t="shared" si="15"/>
        <v>0</v>
      </c>
      <c r="F57" s="963">
        <f t="shared" si="16"/>
        <v>0</v>
      </c>
      <c r="H57" s="963">
        <f t="shared" si="17"/>
        <v>0</v>
      </c>
      <c r="I57" s="863"/>
      <c r="J57" s="1"/>
      <c r="K57" s="1"/>
      <c r="L57" s="827"/>
      <c r="M57" s="827"/>
      <c r="N57" s="827"/>
    </row>
    <row r="58" spans="1:14">
      <c r="A58" s="898">
        <v>4</v>
      </c>
      <c r="B58" s="2988">
        <v>0.6</v>
      </c>
      <c r="C58" s="963">
        <f>SUMIF($F$17:$F$48,"&gt;"&amp;A58-1,$K$17:$K$48)-SUM(C59:$C$62)</f>
        <v>0</v>
      </c>
      <c r="D58" s="963">
        <f t="shared" si="14"/>
        <v>0</v>
      </c>
      <c r="E58" s="963">
        <f t="shared" si="15"/>
        <v>0</v>
      </c>
      <c r="F58" s="963">
        <f t="shared" si="16"/>
        <v>0</v>
      </c>
      <c r="H58" s="963">
        <f t="shared" si="17"/>
        <v>0</v>
      </c>
      <c r="I58" s="971">
        <f>SUM(E55:E60)</f>
        <v>0</v>
      </c>
      <c r="J58" s="972" t="s">
        <v>265</v>
      </c>
      <c r="K58" s="1"/>
      <c r="L58" s="827"/>
      <c r="M58" s="827"/>
      <c r="N58" s="827"/>
    </row>
    <row r="59" spans="1:14">
      <c r="A59" s="898">
        <v>5</v>
      </c>
      <c r="B59" s="2988">
        <v>0.75</v>
      </c>
      <c r="C59" s="963">
        <f>SUMIF($F$17:$F$48,"&gt;"&amp;A59-1,$K$17:$K$48)-SUM(C60:$C$62)</f>
        <v>0</v>
      </c>
      <c r="D59" s="963">
        <f t="shared" si="14"/>
        <v>0</v>
      </c>
      <c r="E59" s="963">
        <f t="shared" si="15"/>
        <v>0</v>
      </c>
      <c r="F59" s="963">
        <f t="shared" si="16"/>
        <v>0</v>
      </c>
      <c r="H59" s="963">
        <f t="shared" si="17"/>
        <v>0</v>
      </c>
      <c r="I59" s="863"/>
      <c r="K59" s="3"/>
      <c r="L59" s="827"/>
      <c r="M59" s="827"/>
      <c r="N59" s="827"/>
    </row>
    <row r="60" spans="1:14">
      <c r="A60" s="898">
        <v>6</v>
      </c>
      <c r="B60" s="2988">
        <v>0.9</v>
      </c>
      <c r="C60" s="963">
        <f>SUMIF($F$17:$F$48,"&gt;"&amp;A60-1,$K$17:$K$48)-SUM(C61:$C$62)</f>
        <v>0</v>
      </c>
      <c r="D60" s="963">
        <f t="shared" si="14"/>
        <v>0</v>
      </c>
      <c r="E60" s="963">
        <f t="shared" si="15"/>
        <v>0</v>
      </c>
      <c r="F60" s="963">
        <f t="shared" si="16"/>
        <v>0</v>
      </c>
      <c r="H60" s="963">
        <f t="shared" si="17"/>
        <v>0</v>
      </c>
      <c r="I60" s="863"/>
      <c r="K60" s="1"/>
      <c r="L60" s="827"/>
      <c r="M60" s="827"/>
      <c r="N60" s="827"/>
    </row>
    <row r="61" spans="1:14">
      <c r="A61" s="898">
        <v>7</v>
      </c>
      <c r="B61" s="2988">
        <v>1</v>
      </c>
      <c r="C61" s="963">
        <f>SUMIF($F$17:$F$48,"&gt;"&amp;A61-1,$K$17:$K$48)-SUM(C62:$C$62)</f>
        <v>0</v>
      </c>
      <c r="D61" s="963">
        <f t="shared" si="14"/>
        <v>0</v>
      </c>
      <c r="E61" s="963">
        <f t="shared" si="15"/>
        <v>0</v>
      </c>
      <c r="F61" s="963">
        <f t="shared" si="16"/>
        <v>0</v>
      </c>
      <c r="H61" s="963">
        <f t="shared" si="17"/>
        <v>0</v>
      </c>
      <c r="I61" s="971">
        <f>E61</f>
        <v>0</v>
      </c>
      <c r="J61" s="972" t="s">
        <v>264</v>
      </c>
      <c r="K61" s="1"/>
      <c r="L61" s="827"/>
      <c r="M61" s="827"/>
      <c r="N61" s="827"/>
    </row>
    <row r="62" spans="1:14" ht="2.25" customHeight="1">
      <c r="A62" s="898"/>
      <c r="B62" s="978"/>
      <c r="C62" s="963"/>
      <c r="D62" s="963"/>
      <c r="E62" s="963"/>
      <c r="F62" s="963"/>
      <c r="H62" s="963"/>
      <c r="I62" s="971"/>
      <c r="J62" s="972"/>
      <c r="K62" s="979"/>
      <c r="L62" s="827"/>
      <c r="M62" s="827"/>
      <c r="N62" s="827"/>
    </row>
    <row r="63" spans="1:14" s="831" customFormat="1" ht="13.5" thickBot="1">
      <c r="A63" s="956" t="s">
        <v>1096</v>
      </c>
      <c r="B63" s="954"/>
      <c r="C63" s="965">
        <f>SUM(C55:C61)</f>
        <v>0</v>
      </c>
      <c r="D63" s="965">
        <f>SUM(D55:D61)</f>
        <v>0</v>
      </c>
      <c r="E63" s="965">
        <f>SUM(E55:E61)</f>
        <v>0</v>
      </c>
      <c r="F63" s="965">
        <f>SUM(F55:F61)</f>
        <v>0</v>
      </c>
      <c r="G63" s="1842"/>
      <c r="H63" s="965">
        <f>SUM(H55:H61)</f>
        <v>0</v>
      </c>
      <c r="I63" s="965">
        <f>SUM(I55:I61)</f>
        <v>0</v>
      </c>
      <c r="J63" s="1"/>
      <c r="K63" s="1"/>
      <c r="N63" s="827"/>
    </row>
    <row r="64" spans="1:14" s="831" customFormat="1" ht="13.5" thickTop="1">
      <c r="A64" s="831" t="s">
        <v>427</v>
      </c>
      <c r="B64" s="970" t="s">
        <v>1992</v>
      </c>
      <c r="C64" s="954"/>
      <c r="D64" s="954"/>
      <c r="E64" s="954"/>
      <c r="F64" s="962"/>
      <c r="G64" s="864"/>
      <c r="H64" s="863"/>
      <c r="I64" s="863"/>
      <c r="J64" s="1"/>
      <c r="K64" s="1"/>
    </row>
    <row r="65" spans="1:14" s="831" customFormat="1">
      <c r="B65" s="954"/>
      <c r="C65" s="954"/>
      <c r="D65" s="954"/>
      <c r="E65" s="954"/>
      <c r="F65" s="962"/>
      <c r="G65" s="864"/>
      <c r="H65" s="863"/>
      <c r="I65" s="863"/>
      <c r="J65" s="1"/>
      <c r="K65" s="1"/>
    </row>
    <row r="66" spans="1:14" s="831" customFormat="1">
      <c r="A66" s="831" t="s">
        <v>429</v>
      </c>
      <c r="B66" s="863"/>
      <c r="C66" s="863"/>
      <c r="D66" s="863"/>
      <c r="E66" s="863"/>
      <c r="F66" s="1"/>
    </row>
    <row r="67" spans="1:14">
      <c r="A67" s="827" t="s">
        <v>430</v>
      </c>
      <c r="B67" s="2989">
        <v>0</v>
      </c>
      <c r="F67" s="1"/>
      <c r="G67" s="827"/>
      <c r="H67" s="827"/>
      <c r="I67" s="827"/>
      <c r="J67" s="827"/>
      <c r="K67" s="827"/>
      <c r="L67" s="827"/>
      <c r="M67" s="827"/>
      <c r="N67" s="831"/>
    </row>
    <row r="68" spans="1:14">
      <c r="A68" s="827" t="s">
        <v>431</v>
      </c>
      <c r="B68" s="2989">
        <f>sgc</f>
        <v>0.11</v>
      </c>
      <c r="F68" s="864"/>
      <c r="H68" s="864"/>
      <c r="I68" s="827"/>
      <c r="J68" s="827"/>
      <c r="K68" s="827"/>
      <c r="L68" s="827"/>
      <c r="M68" s="827"/>
      <c r="N68" s="827"/>
    </row>
    <row r="69" spans="1:14">
      <c r="A69" s="827" t="s">
        <v>432</v>
      </c>
      <c r="B69" s="2989">
        <v>2.07E-2</v>
      </c>
      <c r="F69" s="864"/>
      <c r="H69" s="864"/>
      <c r="I69" s="827"/>
      <c r="J69" s="827"/>
      <c r="K69" s="827"/>
      <c r="L69" s="827"/>
      <c r="M69" s="827"/>
      <c r="N69" s="827"/>
    </row>
    <row r="70" spans="1:14" ht="13.5" thickBot="1">
      <c r="B70" s="966">
        <f>SUM(B67:B69)</f>
        <v>0.13070000000000001</v>
      </c>
      <c r="G70" s="864"/>
      <c r="I70" s="827"/>
      <c r="J70" s="827"/>
      <c r="K70" s="827"/>
      <c r="L70" s="827"/>
      <c r="M70" s="827"/>
      <c r="N70" s="827"/>
    </row>
    <row r="71" spans="1:14" ht="13.5" thickTop="1">
      <c r="N71" s="827"/>
    </row>
  </sheetData>
  <customSheetViews>
    <customSheetView guid="{BCBE45D4-3C45-4659-992E-5C5D3E9FD81C}" showGridLines="0" fitToPage="1" hiddenRows="1" hiddenColumns="1" topLeftCell="A22">
      <selection activeCell="R64" sqref="R64"/>
      <pageMargins left="0.59055118110236227" right="0.43307086614173229" top="0.6692913385826772" bottom="0.94488188976377963" header="0.51181102362204722" footer="0.39370078740157483"/>
      <printOptions horizontalCentered="1"/>
      <pageSetup paperSize="9" scale="7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Rows="1" hiddenColumns="1" topLeftCell="A7">
      <selection activeCell="G52" sqref="G52"/>
      <pageMargins left="0.59055118110236227" right="0.43307086614173229" top="0.6692913385826772" bottom="0.94488188976377963" header="0.51181102362204722" footer="0.39370078740157483"/>
      <printOptions horizontalCentered="1"/>
      <pageSetup paperSize="9" scale="70" fitToHeight="999" orientation="portrait" blackAndWhite="1" r:id="rId2"/>
      <headerFooter alignWithMargins="0">
        <oddFooter>&amp;L&amp;8Copyright Crowe Horwath (Aust) Pty Ltd 2016.  All rights reserved.
&amp;Z&amp;F[&amp;A]&amp;R&amp;8&amp;P/&amp;N</oddFooter>
      </headerFooter>
    </customSheetView>
  </customSheetViews>
  <mergeCells count="20">
    <mergeCell ref="A8:L8"/>
    <mergeCell ref="G15:H15"/>
    <mergeCell ref="A15:A16"/>
    <mergeCell ref="B15:B16"/>
    <mergeCell ref="C15:C16"/>
    <mergeCell ref="E15:E16"/>
    <mergeCell ref="F15:F16"/>
    <mergeCell ref="I15:I16"/>
    <mergeCell ref="J15:J16"/>
    <mergeCell ref="L15:L16"/>
    <mergeCell ref="M15:M16"/>
    <mergeCell ref="E53:E54"/>
    <mergeCell ref="A53:A54"/>
    <mergeCell ref="B53:B54"/>
    <mergeCell ref="C53:C54"/>
    <mergeCell ref="D53:D54"/>
    <mergeCell ref="H53:H54"/>
    <mergeCell ref="I53:I54"/>
    <mergeCell ref="D15:D16"/>
    <mergeCell ref="K15:K16"/>
  </mergeCells>
  <phoneticPr fontId="26" type="noConversion"/>
  <dataValidations count="1">
    <dataValidation type="list" allowBlank="1" showInputMessage="1" showErrorMessage="1" sqref="D18:D47" xr:uid="{00000000-0002-0000-2A00-000000000000}">
      <formula1>"Yes,No"</formula1>
    </dataValidation>
  </dataValidations>
  <hyperlinks>
    <hyperlink ref="B64" r:id="rId3" location="interest_rates" display="http://www.rba.gov.au/statistics/tables/index.html#interest_rates" xr:uid="{00000000-0004-0000-2A00-000001000000}"/>
    <hyperlink ref="L9" location="'WPIndex'!A1" display="Back to Workpaper Index" xr:uid="{7EBC08C5-5FB6-43DC-9D13-D843A3D505EF}"/>
  </hyperlinks>
  <printOptions horizontalCentered="1"/>
  <pageMargins left="0.59055118110236227" right="0.43307086614173229" top="0.6692913385826772" bottom="0.94488188976377963" header="0.51181102362204722" footer="0.39370078740157483"/>
  <pageSetup paperSize="9" scale="64" fitToHeight="999" orientation="portrait" r:id="rId4"/>
  <headerFooter alignWithMargins="0">
    <oddFooter>&amp;L&amp;8© Findex (Aust) Pty Ltd.  All rights reserved.&amp;R&amp;8&amp;P/&amp;N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23906" r:id="rId7" name="Drop Down 2">
              <controlPr defaultSize="0" autoLine="0" autoPict="0" macro="[0]!LongServiceLeaveEmployeeChange">
                <anchor moveWithCells="1">
                  <from>
                    <xdr:col>1</xdr:col>
                    <xdr:colOff>0</xdr:colOff>
                    <xdr:row>12</xdr:row>
                    <xdr:rowOff>0</xdr:rowOff>
                  </from>
                  <to>
                    <xdr:col>2</xdr:col>
                    <xdr:colOff>104775</xdr:colOff>
                    <xdr:row>13</xdr:row>
                    <xdr:rowOff>38100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arm_Income_Split_Sheet">
    <tabColor theme="8" tint="0.79998168889431442"/>
  </sheetPr>
  <dimension ref="A1:F69"/>
  <sheetViews>
    <sheetView zoomScaleNormal="100" workbookViewId="0">
      <selection sqref="A1:F1"/>
    </sheetView>
  </sheetViews>
  <sheetFormatPr defaultColWidth="9.140625" defaultRowHeight="12.75"/>
  <cols>
    <col min="1" max="1" width="29.28515625" style="1" customWidth="1"/>
    <col min="2" max="2" width="12.7109375" style="14" customWidth="1"/>
    <col min="3" max="3" width="8.42578125" style="73" customWidth="1"/>
    <col min="4" max="5" width="13.5703125" style="14" customWidth="1"/>
    <col min="6" max="6" width="8.28515625" style="1" hidden="1" customWidth="1"/>
    <col min="7" max="16384" width="9.140625" style="1"/>
  </cols>
  <sheetData>
    <row r="1" spans="1:6">
      <c r="D1" s="2613" t="s">
        <v>2425</v>
      </c>
      <c r="E1" s="3576" t="s">
        <v>2758</v>
      </c>
    </row>
    <row r="2" spans="1:6" ht="15.75">
      <c r="A2" s="206"/>
      <c r="B2" s="40"/>
      <c r="C2" s="40"/>
      <c r="D2" s="40"/>
      <c r="E2" s="1"/>
    </row>
    <row r="3" spans="1:6" s="32" customFormat="1">
      <c r="A3" s="206"/>
      <c r="C3" s="11"/>
      <c r="D3" s="2612" t="s">
        <v>1163</v>
      </c>
      <c r="E3" s="709" t="s">
        <v>1262</v>
      </c>
    </row>
    <row r="4" spans="1:6" s="32" customFormat="1" ht="17.25" customHeight="1">
      <c r="A4" s="206"/>
      <c r="C4" s="71" t="s">
        <v>332</v>
      </c>
      <c r="D4" s="2617" t="str">
        <f>IF(PreparedBy="","",PreparedBy)</f>
        <v/>
      </c>
      <c r="E4" s="2618" t="str">
        <f>IF(DatePrepared="","",DatePrepared)</f>
        <v/>
      </c>
    </row>
    <row r="5" spans="1:6" s="32" customFormat="1" ht="17.25" customHeight="1">
      <c r="A5" s="206"/>
      <c r="C5" s="71" t="s">
        <v>333</v>
      </c>
      <c r="D5" s="2619"/>
      <c r="E5" s="2620"/>
    </row>
    <row r="6" spans="1:6" s="32" customFormat="1" ht="3.95" customHeight="1">
      <c r="A6" s="206"/>
      <c r="B6" s="43"/>
      <c r="C6" s="43"/>
      <c r="D6" s="43"/>
      <c r="E6" s="43"/>
    </row>
    <row r="7" spans="1:6" ht="15.75">
      <c r="A7" s="3704" t="str">
        <f>WP_Farm_Income_Split</f>
        <v>Farm Income - Split into Primary and Non-Primary Income</v>
      </c>
      <c r="B7" s="3705"/>
      <c r="C7" s="3705"/>
      <c r="D7" s="3705"/>
      <c r="E7" s="3706"/>
    </row>
    <row r="8" spans="1:6">
      <c r="D8" s="3832" t="s">
        <v>2526</v>
      </c>
      <c r="E8" s="3832"/>
    </row>
    <row r="9" spans="1:6" ht="15.75">
      <c r="A9" s="222" t="str">
        <f>"CLIENT NAME:   "&amp;'WP Index'!E3</f>
        <v>CLIENT NAME:   Example Trust</v>
      </c>
    </row>
    <row r="10" spans="1:6">
      <c r="A10" s="9" t="str">
        <f>"CLIENT CODE:   "&amp;'WP Index'!E4</f>
        <v>CLIENT CODE:   99999</v>
      </c>
      <c r="D10" s="47" t="s">
        <v>951</v>
      </c>
      <c r="E10" s="47">
        <f>'WP Index'!G5</f>
        <v>45473</v>
      </c>
    </row>
    <row r="12" spans="1:6" s="60" customFormat="1">
      <c r="A12" s="9" t="s">
        <v>514</v>
      </c>
      <c r="B12" s="38" t="s">
        <v>976</v>
      </c>
      <c r="C12" s="185" t="s">
        <v>1047</v>
      </c>
      <c r="D12" s="159" t="s">
        <v>515</v>
      </c>
      <c r="E12" s="159" t="s">
        <v>516</v>
      </c>
      <c r="F12" s="6" t="s">
        <v>1286</v>
      </c>
    </row>
    <row r="13" spans="1:6" s="60" customFormat="1">
      <c r="A13" s="6"/>
      <c r="B13" s="38"/>
      <c r="C13" s="185" t="s">
        <v>515</v>
      </c>
      <c r="D13" s="38"/>
      <c r="E13" s="159" t="s">
        <v>515</v>
      </c>
      <c r="F13" s="1"/>
    </row>
    <row r="14" spans="1:6">
      <c r="A14" s="3" t="s">
        <v>517</v>
      </c>
    </row>
    <row r="15" spans="1:6">
      <c r="A15" s="1" t="s">
        <v>518</v>
      </c>
    </row>
    <row r="16" spans="1:6">
      <c r="A16" s="1" t="s">
        <v>519</v>
      </c>
      <c r="B16" s="2678"/>
      <c r="C16" s="2990"/>
      <c r="D16" s="362">
        <f>C16*B16</f>
        <v>0</v>
      </c>
      <c r="E16" s="362">
        <f>B16-D16</f>
        <v>0</v>
      </c>
    </row>
    <row r="17" spans="1:5">
      <c r="A17" s="1" t="s">
        <v>540</v>
      </c>
      <c r="B17" s="2680"/>
      <c r="C17" s="2991"/>
      <c r="D17" s="362">
        <f t="shared" ref="D17:D31" si="0">C17*B17</f>
        <v>0</v>
      </c>
      <c r="E17" s="362">
        <f t="shared" ref="E17:E31" si="1">B17-D17</f>
        <v>0</v>
      </c>
    </row>
    <row r="18" spans="1:5">
      <c r="A18" s="1" t="s">
        <v>541</v>
      </c>
      <c r="B18" s="2680"/>
      <c r="C18" s="2991"/>
      <c r="D18" s="362">
        <f t="shared" si="0"/>
        <v>0</v>
      </c>
      <c r="E18" s="362">
        <f t="shared" si="1"/>
        <v>0</v>
      </c>
    </row>
    <row r="19" spans="1:5">
      <c r="A19" s="1" t="s">
        <v>1175</v>
      </c>
      <c r="B19" s="2680"/>
      <c r="C19" s="2991"/>
      <c r="D19" s="362">
        <f t="shared" si="0"/>
        <v>0</v>
      </c>
      <c r="E19" s="362">
        <f t="shared" si="1"/>
        <v>0</v>
      </c>
    </row>
    <row r="20" spans="1:5">
      <c r="A20" s="1" t="s">
        <v>1176</v>
      </c>
      <c r="B20" s="2680"/>
      <c r="C20" s="2991"/>
      <c r="D20" s="362">
        <f t="shared" si="0"/>
        <v>0</v>
      </c>
      <c r="E20" s="362">
        <f t="shared" si="1"/>
        <v>0</v>
      </c>
    </row>
    <row r="21" spans="1:5">
      <c r="A21" s="1" t="s">
        <v>1177</v>
      </c>
      <c r="B21" s="2680"/>
      <c r="C21" s="2991"/>
      <c r="D21" s="362">
        <f t="shared" si="0"/>
        <v>0</v>
      </c>
      <c r="E21" s="362">
        <f t="shared" si="1"/>
        <v>0</v>
      </c>
    </row>
    <row r="22" spans="1:5">
      <c r="A22" s="1" t="s">
        <v>1178</v>
      </c>
      <c r="B22" s="2680"/>
      <c r="C22" s="2991"/>
      <c r="D22" s="362">
        <f t="shared" si="0"/>
        <v>0</v>
      </c>
      <c r="E22" s="362">
        <f t="shared" si="1"/>
        <v>0</v>
      </c>
    </row>
    <row r="23" spans="1:5">
      <c r="A23" s="1" t="s">
        <v>1179</v>
      </c>
      <c r="B23" s="2680"/>
      <c r="C23" s="2991"/>
      <c r="D23" s="362">
        <f t="shared" si="0"/>
        <v>0</v>
      </c>
      <c r="E23" s="362">
        <f t="shared" si="1"/>
        <v>0</v>
      </c>
    </row>
    <row r="24" spans="1:5">
      <c r="A24" s="1" t="s">
        <v>1180</v>
      </c>
      <c r="B24" s="2680"/>
      <c r="C24" s="2991"/>
      <c r="D24" s="362">
        <f t="shared" si="0"/>
        <v>0</v>
      </c>
      <c r="E24" s="362">
        <f t="shared" si="1"/>
        <v>0</v>
      </c>
    </row>
    <row r="25" spans="1:5">
      <c r="A25" s="1" t="s">
        <v>1181</v>
      </c>
      <c r="B25" s="2680"/>
      <c r="C25" s="2991"/>
      <c r="D25" s="362">
        <f t="shared" si="0"/>
        <v>0</v>
      </c>
      <c r="E25" s="362">
        <f t="shared" si="1"/>
        <v>0</v>
      </c>
    </row>
    <row r="26" spans="1:5">
      <c r="A26" s="1" t="s">
        <v>1182</v>
      </c>
      <c r="B26" s="2680"/>
      <c r="C26" s="2991"/>
      <c r="D26" s="362">
        <f t="shared" si="0"/>
        <v>0</v>
      </c>
      <c r="E26" s="362">
        <f t="shared" si="1"/>
        <v>0</v>
      </c>
    </row>
    <row r="27" spans="1:5">
      <c r="A27" s="1" t="s">
        <v>1017</v>
      </c>
      <c r="B27" s="2680"/>
      <c r="C27" s="2991"/>
      <c r="D27" s="362">
        <f t="shared" si="0"/>
        <v>0</v>
      </c>
      <c r="E27" s="362">
        <f t="shared" si="1"/>
        <v>0</v>
      </c>
    </row>
    <row r="28" spans="1:5">
      <c r="A28" s="1" t="s">
        <v>1018</v>
      </c>
      <c r="B28" s="2680"/>
      <c r="C28" s="2991"/>
      <c r="D28" s="362">
        <f t="shared" si="0"/>
        <v>0</v>
      </c>
      <c r="E28" s="362">
        <f t="shared" si="1"/>
        <v>0</v>
      </c>
    </row>
    <row r="29" spans="1:5">
      <c r="A29" s="1" t="s">
        <v>1019</v>
      </c>
      <c r="B29" s="2680"/>
      <c r="C29" s="2991"/>
      <c r="D29" s="362">
        <f t="shared" si="0"/>
        <v>0</v>
      </c>
      <c r="E29" s="362">
        <f t="shared" si="1"/>
        <v>0</v>
      </c>
    </row>
    <row r="30" spans="1:5">
      <c r="A30" s="1" t="s">
        <v>1020</v>
      </c>
      <c r="B30" s="2680"/>
      <c r="C30" s="2991"/>
      <c r="D30" s="362"/>
      <c r="E30" s="362"/>
    </row>
    <row r="31" spans="1:5">
      <c r="A31" s="1" t="s">
        <v>1021</v>
      </c>
      <c r="B31" s="2682"/>
      <c r="C31" s="2992"/>
      <c r="D31" s="362">
        <f t="shared" si="0"/>
        <v>0</v>
      </c>
      <c r="E31" s="362">
        <f t="shared" si="1"/>
        <v>0</v>
      </c>
    </row>
    <row r="32" spans="1:5">
      <c r="A32" s="3" t="s">
        <v>1093</v>
      </c>
      <c r="B32" s="361">
        <f>SUM(B16:B31)</f>
        <v>0</v>
      </c>
      <c r="C32" s="185"/>
      <c r="D32" s="361">
        <f>SUM(D16:D31)</f>
        <v>0</v>
      </c>
      <c r="E32" s="361">
        <f>SUM(E16:E31)</f>
        <v>0</v>
      </c>
    </row>
    <row r="33" spans="1:5">
      <c r="B33" s="362"/>
      <c r="D33" s="362"/>
      <c r="E33" s="362"/>
    </row>
    <row r="34" spans="1:5">
      <c r="A34" s="3" t="s">
        <v>1022</v>
      </c>
      <c r="B34" s="362"/>
      <c r="D34" s="362"/>
      <c r="E34" s="362"/>
    </row>
    <row r="35" spans="1:5">
      <c r="A35" s="1" t="s">
        <v>1023</v>
      </c>
      <c r="B35" s="2678"/>
      <c r="C35" s="2990"/>
      <c r="D35" s="362">
        <f t="shared" ref="D35:D63" si="2">C35*B35</f>
        <v>0</v>
      </c>
      <c r="E35" s="362">
        <f t="shared" ref="E35:E63" si="3">B35-D35</f>
        <v>0</v>
      </c>
    </row>
    <row r="36" spans="1:5">
      <c r="A36" s="1" t="s">
        <v>1024</v>
      </c>
      <c r="B36" s="2680"/>
      <c r="C36" s="2991"/>
      <c r="D36" s="362">
        <f t="shared" si="2"/>
        <v>0</v>
      </c>
      <c r="E36" s="362">
        <f t="shared" si="3"/>
        <v>0</v>
      </c>
    </row>
    <row r="37" spans="1:5">
      <c r="A37" s="1" t="s">
        <v>1171</v>
      </c>
      <c r="B37" s="2680"/>
      <c r="C37" s="2991"/>
      <c r="D37" s="362">
        <f t="shared" si="2"/>
        <v>0</v>
      </c>
      <c r="E37" s="362">
        <f t="shared" si="3"/>
        <v>0</v>
      </c>
    </row>
    <row r="38" spans="1:5">
      <c r="A38" s="1" t="s">
        <v>1172</v>
      </c>
      <c r="B38" s="2680"/>
      <c r="C38" s="2991"/>
      <c r="D38" s="362">
        <f t="shared" si="2"/>
        <v>0</v>
      </c>
      <c r="E38" s="362">
        <f t="shared" si="3"/>
        <v>0</v>
      </c>
    </row>
    <row r="39" spans="1:5">
      <c r="A39" s="1" t="s">
        <v>495</v>
      </c>
      <c r="B39" s="2680"/>
      <c r="C39" s="2991"/>
      <c r="D39" s="362">
        <f t="shared" si="2"/>
        <v>0</v>
      </c>
      <c r="E39" s="362">
        <f t="shared" si="3"/>
        <v>0</v>
      </c>
    </row>
    <row r="40" spans="1:5">
      <c r="A40" s="1" t="s">
        <v>1115</v>
      </c>
      <c r="B40" s="2680"/>
      <c r="C40" s="2991"/>
      <c r="D40" s="362">
        <f t="shared" si="2"/>
        <v>0</v>
      </c>
      <c r="E40" s="362">
        <f t="shared" si="3"/>
        <v>0</v>
      </c>
    </row>
    <row r="41" spans="1:5">
      <c r="A41" s="1" t="s">
        <v>1119</v>
      </c>
      <c r="B41" s="2680"/>
      <c r="C41" s="2991"/>
      <c r="D41" s="362">
        <f t="shared" si="2"/>
        <v>0</v>
      </c>
      <c r="E41" s="362">
        <f t="shared" si="3"/>
        <v>0</v>
      </c>
    </row>
    <row r="42" spans="1:5">
      <c r="A42" s="1" t="s">
        <v>496</v>
      </c>
      <c r="B42" s="2680"/>
      <c r="C42" s="2991"/>
      <c r="D42" s="362">
        <f t="shared" si="2"/>
        <v>0</v>
      </c>
      <c r="E42" s="362">
        <f t="shared" si="3"/>
        <v>0</v>
      </c>
    </row>
    <row r="43" spans="1:5">
      <c r="A43" s="1" t="s">
        <v>497</v>
      </c>
      <c r="B43" s="2680"/>
      <c r="C43" s="2991"/>
      <c r="D43" s="362">
        <f t="shared" si="2"/>
        <v>0</v>
      </c>
      <c r="E43" s="362">
        <f t="shared" si="3"/>
        <v>0</v>
      </c>
    </row>
    <row r="44" spans="1:5">
      <c r="A44" s="1" t="s">
        <v>498</v>
      </c>
      <c r="B44" s="2680"/>
      <c r="C44" s="2991"/>
      <c r="D44" s="362">
        <f t="shared" si="2"/>
        <v>0</v>
      </c>
      <c r="E44" s="362">
        <f t="shared" si="3"/>
        <v>0</v>
      </c>
    </row>
    <row r="45" spans="1:5">
      <c r="A45" s="1" t="s">
        <v>499</v>
      </c>
      <c r="B45" s="2680"/>
      <c r="C45" s="2991"/>
      <c r="D45" s="362">
        <f t="shared" si="2"/>
        <v>0</v>
      </c>
      <c r="E45" s="362">
        <f t="shared" si="3"/>
        <v>0</v>
      </c>
    </row>
    <row r="46" spans="1:5">
      <c r="A46" s="1" t="s">
        <v>500</v>
      </c>
      <c r="B46" s="2680"/>
      <c r="C46" s="2991"/>
      <c r="D46" s="362">
        <f t="shared" si="2"/>
        <v>0</v>
      </c>
      <c r="E46" s="362">
        <f t="shared" si="3"/>
        <v>0</v>
      </c>
    </row>
    <row r="47" spans="1:5">
      <c r="A47" s="1" t="s">
        <v>1270</v>
      </c>
      <c r="B47" s="2680"/>
      <c r="C47" s="2991"/>
      <c r="D47" s="362">
        <f t="shared" si="2"/>
        <v>0</v>
      </c>
      <c r="E47" s="362">
        <f t="shared" si="3"/>
        <v>0</v>
      </c>
    </row>
    <row r="48" spans="1:5">
      <c r="A48" s="1" t="s">
        <v>501</v>
      </c>
      <c r="B48" s="2680"/>
      <c r="C48" s="2991"/>
      <c r="D48" s="362">
        <f t="shared" si="2"/>
        <v>0</v>
      </c>
      <c r="E48" s="362">
        <f t="shared" si="3"/>
        <v>0</v>
      </c>
    </row>
    <row r="49" spans="1:5">
      <c r="A49" s="1" t="s">
        <v>502</v>
      </c>
      <c r="B49" s="2680"/>
      <c r="C49" s="2991"/>
      <c r="D49" s="362">
        <f t="shared" si="2"/>
        <v>0</v>
      </c>
      <c r="E49" s="362">
        <f t="shared" si="3"/>
        <v>0</v>
      </c>
    </row>
    <row r="50" spans="1:5">
      <c r="A50" s="1" t="s">
        <v>503</v>
      </c>
      <c r="B50" s="2680"/>
      <c r="C50" s="2991"/>
      <c r="D50" s="362">
        <f t="shared" si="2"/>
        <v>0</v>
      </c>
      <c r="E50" s="362">
        <f t="shared" si="3"/>
        <v>0</v>
      </c>
    </row>
    <row r="51" spans="1:5">
      <c r="A51" s="1" t="s">
        <v>504</v>
      </c>
      <c r="B51" s="2680"/>
      <c r="C51" s="2991"/>
      <c r="D51" s="362">
        <f t="shared" si="2"/>
        <v>0</v>
      </c>
      <c r="E51" s="362">
        <f t="shared" si="3"/>
        <v>0</v>
      </c>
    </row>
    <row r="52" spans="1:5">
      <c r="A52" s="1" t="s">
        <v>505</v>
      </c>
      <c r="B52" s="2680"/>
      <c r="C52" s="2991"/>
      <c r="D52" s="362">
        <f t="shared" si="2"/>
        <v>0</v>
      </c>
      <c r="E52" s="362">
        <f t="shared" si="3"/>
        <v>0</v>
      </c>
    </row>
    <row r="53" spans="1:5">
      <c r="A53" s="1" t="s">
        <v>496</v>
      </c>
      <c r="B53" s="2680"/>
      <c r="C53" s="2991"/>
      <c r="D53" s="362">
        <f t="shared" si="2"/>
        <v>0</v>
      </c>
      <c r="E53" s="362">
        <f t="shared" si="3"/>
        <v>0</v>
      </c>
    </row>
    <row r="54" spans="1:5">
      <c r="A54" s="1479" t="s">
        <v>1616</v>
      </c>
      <c r="B54" s="2680"/>
      <c r="C54" s="2991"/>
      <c r="D54" s="362"/>
      <c r="E54" s="362"/>
    </row>
    <row r="55" spans="1:5">
      <c r="A55" s="1" t="s">
        <v>506</v>
      </c>
      <c r="B55" s="2680"/>
      <c r="C55" s="2991"/>
      <c r="D55" s="362">
        <f t="shared" si="2"/>
        <v>0</v>
      </c>
      <c r="E55" s="362">
        <f t="shared" si="3"/>
        <v>0</v>
      </c>
    </row>
    <row r="56" spans="1:5">
      <c r="A56" s="1" t="s">
        <v>507</v>
      </c>
      <c r="B56" s="2680"/>
      <c r="C56" s="2991"/>
      <c r="D56" s="362">
        <f t="shared" si="2"/>
        <v>0</v>
      </c>
      <c r="E56" s="362">
        <f t="shared" si="3"/>
        <v>0</v>
      </c>
    </row>
    <row r="57" spans="1:5">
      <c r="A57" s="1" t="s">
        <v>1118</v>
      </c>
      <c r="B57" s="2680"/>
      <c r="C57" s="2991"/>
      <c r="D57" s="362">
        <f t="shared" si="2"/>
        <v>0</v>
      </c>
      <c r="E57" s="362">
        <f t="shared" si="3"/>
        <v>0</v>
      </c>
    </row>
    <row r="58" spans="1:5">
      <c r="A58" s="1" t="s">
        <v>1235</v>
      </c>
      <c r="B58" s="2680"/>
      <c r="C58" s="2991"/>
      <c r="D58" s="362">
        <f t="shared" si="2"/>
        <v>0</v>
      </c>
      <c r="E58" s="362">
        <f t="shared" si="3"/>
        <v>0</v>
      </c>
    </row>
    <row r="59" spans="1:5">
      <c r="A59" s="1" t="s">
        <v>1236</v>
      </c>
      <c r="B59" s="2680"/>
      <c r="C59" s="2991"/>
      <c r="D59" s="362">
        <f t="shared" si="2"/>
        <v>0</v>
      </c>
      <c r="E59" s="362">
        <f t="shared" si="3"/>
        <v>0</v>
      </c>
    </row>
    <row r="60" spans="1:5">
      <c r="A60" s="1" t="s">
        <v>1237</v>
      </c>
      <c r="B60" s="2680"/>
      <c r="C60" s="2991"/>
      <c r="D60" s="362">
        <f t="shared" si="2"/>
        <v>0</v>
      </c>
      <c r="E60" s="362">
        <f t="shared" si="3"/>
        <v>0</v>
      </c>
    </row>
    <row r="61" spans="1:5">
      <c r="A61" s="1" t="s">
        <v>468</v>
      </c>
      <c r="B61" s="2680"/>
      <c r="C61" s="2991"/>
      <c r="D61" s="362">
        <f t="shared" si="2"/>
        <v>0</v>
      </c>
      <c r="E61" s="362">
        <f t="shared" si="3"/>
        <v>0</v>
      </c>
    </row>
    <row r="62" spans="1:5">
      <c r="A62" s="1" t="s">
        <v>1238</v>
      </c>
      <c r="B62" s="2680"/>
      <c r="C62" s="2991"/>
      <c r="D62" s="362">
        <f t="shared" si="2"/>
        <v>0</v>
      </c>
      <c r="E62" s="362">
        <f t="shared" si="3"/>
        <v>0</v>
      </c>
    </row>
    <row r="63" spans="1:5">
      <c r="A63" s="1" t="s">
        <v>1046</v>
      </c>
      <c r="B63" s="2682"/>
      <c r="C63" s="2992"/>
      <c r="D63" s="362">
        <f t="shared" si="2"/>
        <v>0</v>
      </c>
      <c r="E63" s="362">
        <f t="shared" si="3"/>
        <v>0</v>
      </c>
    </row>
    <row r="64" spans="1:5">
      <c r="A64" s="3" t="s">
        <v>1094</v>
      </c>
      <c r="B64" s="361">
        <f>SUM(B35:B63)</f>
        <v>0</v>
      </c>
      <c r="C64" s="185"/>
      <c r="D64" s="361">
        <f>SUM(D35:D63)</f>
        <v>0</v>
      </c>
      <c r="E64" s="361">
        <f>SUM(E35:E63)</f>
        <v>0</v>
      </c>
    </row>
    <row r="65" spans="1:5">
      <c r="B65" s="362"/>
      <c r="D65" s="362"/>
      <c r="E65" s="362"/>
    </row>
    <row r="66" spans="1:5" ht="13.5" thickBot="1">
      <c r="A66" s="3" t="s">
        <v>940</v>
      </c>
      <c r="B66" s="358">
        <f>B32-B64</f>
        <v>0</v>
      </c>
      <c r="C66" s="185"/>
      <c r="D66" s="358">
        <f>D32-D64</f>
        <v>0</v>
      </c>
      <c r="E66" s="358">
        <f>E32-E64</f>
        <v>0</v>
      </c>
    </row>
    <row r="67" spans="1:5" ht="13.5" thickTop="1">
      <c r="D67" s="362"/>
      <c r="E67" s="362"/>
    </row>
    <row r="68" spans="1:5">
      <c r="A68" s="3" t="s">
        <v>172</v>
      </c>
      <c r="D68" s="362"/>
      <c r="E68" s="362"/>
    </row>
    <row r="69" spans="1:5" ht="45.75" customHeight="1">
      <c r="A69" s="3742"/>
      <c r="B69" s="3743"/>
      <c r="C69" s="3743"/>
      <c r="D69" s="3743"/>
      <c r="E69" s="3744"/>
    </row>
  </sheetData>
  <customSheetViews>
    <customSheetView guid="{BCBE45D4-3C45-4659-992E-5C5D3E9FD81C}" fitToPage="1" hiddenColumns="1">
      <selection activeCell="L29" sqref="L29"/>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topLeftCell="A19">
      <selection activeCell="J23" sqref="J23"/>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7:E7"/>
    <mergeCell ref="D8:E8"/>
    <mergeCell ref="A69:E69"/>
  </mergeCells>
  <phoneticPr fontId="26" type="noConversion"/>
  <hyperlinks>
    <hyperlink ref="D8" location="WP_Farm_Income_Split" display="Back to Workpaper Index" xr:uid="{00000000-0004-0000-2B00-000000000000}"/>
    <hyperlink ref="D8:E8" location="WPIndex!A1" display="Back to WP Index" xr:uid="{DB62BB7A-9850-4D65-95F3-1BFAC6F9C0BB}"/>
  </hyperlinks>
  <printOptions horizontalCentered="1"/>
  <pageMargins left="0.59055118110236227" right="0.43307086614173229" top="0.6692913385826772" bottom="0.94488188976377963" header="0.51181102362204722" footer="0.39370078740157483"/>
  <pageSetup paperSize="9" scale="80" fitToHeight="999" orientation="portrait" blackAndWhite="1" r:id="rId3"/>
  <headerFooter alignWithMargins="0">
    <oddFooter>&amp;L&amp;8© Findex (Aust) Pty Ltd.  All rights reserved.&amp;R&amp;8&amp;P/&amp;N</oddFooter>
  </headerFooter>
  <drawing r:id="rId4"/>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chedule_B_Sheet">
    <tabColor theme="8" tint="0.79998168889431442"/>
  </sheetPr>
  <dimension ref="A1:M154"/>
  <sheetViews>
    <sheetView showGridLines="0" zoomScaleNormal="100" workbookViewId="0">
      <selection sqref="A1:F1"/>
    </sheetView>
  </sheetViews>
  <sheetFormatPr defaultColWidth="11.7109375" defaultRowHeight="12.75"/>
  <cols>
    <col min="1" max="1" width="11.7109375" style="827" customWidth="1"/>
    <col min="2" max="9" width="11.7109375" style="863" customWidth="1"/>
    <col min="10" max="10" width="11.7109375" style="1" hidden="1" customWidth="1"/>
    <col min="11" max="11" width="11.7109375" style="827" hidden="1" customWidth="1"/>
    <col min="12" max="16384" width="11.7109375" style="827"/>
  </cols>
  <sheetData>
    <row r="1" spans="1:11">
      <c r="H1" s="2613" t="s">
        <v>2425</v>
      </c>
      <c r="I1" s="3576" t="s">
        <v>2758</v>
      </c>
    </row>
    <row r="2" spans="1:11" ht="18.75" customHeight="1">
      <c r="A2" s="829"/>
      <c r="B2" s="829"/>
      <c r="C2" s="829"/>
      <c r="D2" s="829"/>
      <c r="E2" s="829"/>
      <c r="F2" s="829"/>
      <c r="G2" s="829"/>
      <c r="H2" s="40"/>
      <c r="I2" s="1"/>
    </row>
    <row r="3" spans="1:11">
      <c r="A3" s="826"/>
      <c r="B3" s="827"/>
      <c r="C3" s="827"/>
      <c r="D3" s="827"/>
      <c r="E3" s="827"/>
      <c r="F3" s="827"/>
      <c r="G3" s="827"/>
      <c r="H3" s="2795" t="s">
        <v>1163</v>
      </c>
      <c r="I3" s="709" t="s">
        <v>1262</v>
      </c>
      <c r="J3" s="32"/>
    </row>
    <row r="4" spans="1:11" ht="17.25" customHeight="1">
      <c r="A4" s="826"/>
      <c r="B4" s="827"/>
      <c r="C4" s="827"/>
      <c r="D4" s="827"/>
      <c r="E4" s="827"/>
      <c r="F4" s="827"/>
      <c r="G4" s="851" t="s">
        <v>332</v>
      </c>
      <c r="H4" s="2617" t="str">
        <f>IF(PreparedBy="","",PreparedBy)</f>
        <v/>
      </c>
      <c r="I4" s="2618" t="str">
        <f>IF(DatePrepared="","",DatePrepared)</f>
        <v/>
      </c>
      <c r="J4" s="32"/>
    </row>
    <row r="5" spans="1:11" ht="17.25" customHeight="1">
      <c r="A5" s="826"/>
      <c r="B5" s="827"/>
      <c r="C5" s="827"/>
      <c r="D5" s="827"/>
      <c r="E5" s="827"/>
      <c r="F5" s="827"/>
      <c r="G5" s="851" t="s">
        <v>333</v>
      </c>
      <c r="H5" s="2619"/>
      <c r="I5" s="2620"/>
      <c r="J5" s="32"/>
    </row>
    <row r="6" spans="1:11" ht="15.75">
      <c r="A6" s="1390" t="b">
        <v>1</v>
      </c>
      <c r="B6" s="829"/>
      <c r="C6" s="829"/>
      <c r="D6" s="829"/>
      <c r="E6" s="829"/>
      <c r="F6" s="829"/>
      <c r="H6" s="829"/>
      <c r="I6" s="829"/>
      <c r="J6" s="32"/>
    </row>
    <row r="7" spans="1:11" ht="15.75">
      <c r="A7" s="3849" t="str">
        <f>WP_Schedule_B</f>
        <v>Profession, Trade or Business Income &amp; Deduction Sch.</v>
      </c>
      <c r="B7" s="3850"/>
      <c r="C7" s="3850"/>
      <c r="D7" s="3850"/>
      <c r="E7" s="3850"/>
      <c r="F7" s="3850"/>
      <c r="G7" s="3850"/>
      <c r="H7" s="3850"/>
      <c r="I7" s="3851"/>
    </row>
    <row r="8" spans="1:11">
      <c r="I8" s="3248" t="s">
        <v>2526</v>
      </c>
    </row>
    <row r="9" spans="1:11" ht="15.75">
      <c r="A9" s="1167" t="str">
        <f>"CLIENT NAME:   "&amp;IF(ClientName="[ENTER CLIENT NAME]","",ClientName)</f>
        <v>CLIENT NAME:   Example Trust</v>
      </c>
    </row>
    <row r="10" spans="1:11">
      <c r="A10" s="831" t="str">
        <f>"CLIENT CODE:   "&amp;'WP Index'!E4</f>
        <v>CLIENT CODE:   99999</v>
      </c>
      <c r="H10" s="853" t="s">
        <v>951</v>
      </c>
      <c r="I10" s="865">
        <f>'Input Info'!F8</f>
        <v>45473</v>
      </c>
    </row>
    <row r="11" spans="1:11">
      <c r="H11" s="864"/>
      <c r="J11" s="863"/>
      <c r="K11" s="1"/>
    </row>
    <row r="12" spans="1:11">
      <c r="H12" s="864"/>
      <c r="J12" s="863"/>
      <c r="K12" s="6" t="s">
        <v>1286</v>
      </c>
    </row>
    <row r="13" spans="1:11">
      <c r="A13" s="831" t="s">
        <v>1589</v>
      </c>
      <c r="B13" s="827"/>
      <c r="C13" s="4059"/>
      <c r="D13" s="4060"/>
      <c r="E13" s="4060"/>
      <c r="F13" s="4060"/>
      <c r="G13" s="4061"/>
      <c r="H13" s="864"/>
      <c r="I13" s="899"/>
      <c r="J13" s="899"/>
      <c r="K13" s="1"/>
    </row>
    <row r="14" spans="1:11">
      <c r="A14" s="831" t="s">
        <v>1590</v>
      </c>
      <c r="B14" s="827"/>
      <c r="C14" s="4062"/>
      <c r="D14" s="4063"/>
      <c r="E14" s="4063"/>
      <c r="F14" s="4063"/>
      <c r="G14" s="4064"/>
      <c r="H14" s="864"/>
      <c r="I14" s="899"/>
      <c r="J14" s="899"/>
      <c r="K14" s="1"/>
    </row>
    <row r="15" spans="1:11">
      <c r="A15" s="831" t="s">
        <v>1591</v>
      </c>
      <c r="B15" s="827"/>
      <c r="C15" s="4059"/>
      <c r="D15" s="4060"/>
      <c r="E15" s="4060"/>
      <c r="F15" s="4060"/>
      <c r="G15" s="4061"/>
      <c r="H15" s="864"/>
      <c r="J15" s="863"/>
      <c r="K15" s="1"/>
    </row>
    <row r="16" spans="1:11">
      <c r="A16" s="831" t="s">
        <v>1592</v>
      </c>
      <c r="B16" s="827"/>
      <c r="C16" s="4059"/>
      <c r="D16" s="4060"/>
      <c r="E16" s="4060"/>
      <c r="F16" s="4060"/>
      <c r="G16" s="4061"/>
      <c r="H16" s="864"/>
      <c r="I16" s="827"/>
      <c r="J16" s="827"/>
      <c r="K16" s="1"/>
    </row>
    <row r="17" spans="1:11">
      <c r="H17" s="1357" t="s">
        <v>1159</v>
      </c>
      <c r="I17" s="1369" t="s">
        <v>1129</v>
      </c>
      <c r="J17" s="1356"/>
      <c r="K17" s="1"/>
    </row>
    <row r="18" spans="1:11">
      <c r="A18" s="1363" t="s">
        <v>1630</v>
      </c>
      <c r="H18" s="1357" t="s">
        <v>1047</v>
      </c>
      <c r="I18" s="1358" t="str">
        <f>IF(PP="YES","NPP","$")</f>
        <v>$</v>
      </c>
      <c r="J18" s="1358" t="s">
        <v>1159</v>
      </c>
      <c r="K18" s="1"/>
    </row>
    <row r="19" spans="1:11">
      <c r="A19" s="827" t="s">
        <v>844</v>
      </c>
      <c r="D19" s="2995"/>
      <c r="E19" s="2995"/>
      <c r="F19" s="2995"/>
      <c r="G19" s="2995"/>
      <c r="H19" s="1359">
        <v>0</v>
      </c>
      <c r="I19" s="2993">
        <f t="shared" ref="I19:I25" si="0">SUM(D19:G19,-J19)</f>
        <v>0</v>
      </c>
      <c r="J19" s="1897">
        <f>SUM(D19:G19)*H19</f>
        <v>0</v>
      </c>
      <c r="K19" s="1"/>
    </row>
    <row r="20" spans="1:11">
      <c r="A20" s="827" t="s">
        <v>845</v>
      </c>
      <c r="D20" s="2995"/>
      <c r="E20" s="2995"/>
      <c r="F20" s="2995"/>
      <c r="G20" s="2995"/>
      <c r="H20" s="1359">
        <v>0</v>
      </c>
      <c r="I20" s="2993">
        <f t="shared" si="0"/>
        <v>0</v>
      </c>
      <c r="J20" s="1897">
        <f>SUM(D20:G20)*H20</f>
        <v>0</v>
      </c>
      <c r="K20" s="1"/>
    </row>
    <row r="21" spans="1:11">
      <c r="A21" s="827" t="s">
        <v>846</v>
      </c>
      <c r="D21" s="2995"/>
      <c r="E21" s="2995"/>
      <c r="F21" s="2995"/>
      <c r="G21" s="2995"/>
      <c r="H21" s="1359">
        <v>0</v>
      </c>
      <c r="I21" s="2993">
        <f t="shared" si="0"/>
        <v>0</v>
      </c>
      <c r="J21" s="1897">
        <f>SUM(D21:G21)*H21</f>
        <v>0</v>
      </c>
      <c r="K21" s="1"/>
    </row>
    <row r="22" spans="1:11">
      <c r="A22" s="827" t="s">
        <v>847</v>
      </c>
      <c r="D22" s="2995"/>
      <c r="E22" s="2995"/>
      <c r="F22" s="2995"/>
      <c r="G22" s="2995"/>
      <c r="H22" s="1359">
        <v>0</v>
      </c>
      <c r="I22" s="2993">
        <f t="shared" si="0"/>
        <v>0</v>
      </c>
      <c r="J22" s="1897">
        <f>SUM(D22:G22)*H22</f>
        <v>0</v>
      </c>
      <c r="K22" s="1"/>
    </row>
    <row r="23" spans="1:11">
      <c r="A23" s="827" t="s">
        <v>848</v>
      </c>
      <c r="D23" s="2995"/>
      <c r="E23" s="2995"/>
      <c r="F23" s="2995"/>
      <c r="G23" s="2995"/>
      <c r="H23" s="1359">
        <v>0</v>
      </c>
      <c r="I23" s="2993">
        <f t="shared" si="0"/>
        <v>0</v>
      </c>
      <c r="J23" s="1897">
        <f>SUM(D23:G23)*H23</f>
        <v>0</v>
      </c>
      <c r="K23" s="1"/>
    </row>
    <row r="24" spans="1:11">
      <c r="A24" s="970" t="s">
        <v>851</v>
      </c>
      <c r="D24" s="2995"/>
      <c r="E24" s="2995"/>
      <c r="F24" s="2995"/>
      <c r="G24" s="2995"/>
      <c r="H24" s="1359">
        <v>1</v>
      </c>
      <c r="I24" s="2993">
        <f t="shared" si="0"/>
        <v>0</v>
      </c>
      <c r="J24" s="1897">
        <f>Livestock!W34</f>
        <v>0</v>
      </c>
      <c r="K24" s="1"/>
    </row>
    <row r="25" spans="1:11">
      <c r="A25" s="827" t="s">
        <v>1593</v>
      </c>
      <c r="D25" s="2995"/>
      <c r="E25" s="2995"/>
      <c r="F25" s="2995"/>
      <c r="G25" s="2995"/>
      <c r="H25" s="1359">
        <v>0</v>
      </c>
      <c r="I25" s="2994">
        <f t="shared" si="0"/>
        <v>0</v>
      </c>
      <c r="J25" s="1898">
        <f>SUM(D25:G25)*H25</f>
        <v>0</v>
      </c>
      <c r="K25" s="1"/>
    </row>
    <row r="26" spans="1:11" s="831" customFormat="1">
      <c r="A26" s="831" t="s">
        <v>1529</v>
      </c>
      <c r="B26" s="954"/>
      <c r="C26" s="954"/>
      <c r="D26" s="1364">
        <f>SUBTOTAL(9,D19:D25)</f>
        <v>0</v>
      </c>
      <c r="E26" s="1364">
        <f>SUBTOTAL(9,E19:E25)</f>
        <v>0</v>
      </c>
      <c r="F26" s="1364">
        <f>SUBTOTAL(9,F19:F25)</f>
        <v>0</v>
      </c>
      <c r="G26" s="1364">
        <f>SUBTOTAL(9,G19:G25)</f>
        <v>0</v>
      </c>
      <c r="H26" s="955"/>
      <c r="I26" s="1364">
        <f>SUBTOTAL(9,I19:I25)</f>
        <v>0</v>
      </c>
      <c r="J26" s="1364">
        <f>SUBTOTAL(9,J19:J25)</f>
        <v>0</v>
      </c>
      <c r="K26" s="3"/>
    </row>
    <row r="27" spans="1:11">
      <c r="H27" s="864"/>
      <c r="I27" s="893"/>
      <c r="J27" s="893"/>
      <c r="K27" s="1"/>
    </row>
    <row r="28" spans="1:11">
      <c r="A28" s="1363" t="s">
        <v>1631</v>
      </c>
      <c r="H28" s="864"/>
      <c r="I28" s="893"/>
      <c r="J28" s="893"/>
      <c r="K28" s="1"/>
    </row>
    <row r="29" spans="1:11">
      <c r="A29" s="827" t="s">
        <v>1594</v>
      </c>
      <c r="D29" s="2995"/>
      <c r="E29" s="893">
        <f>SUM(D29:D30,-D31)</f>
        <v>0</v>
      </c>
      <c r="F29" s="893">
        <f>SUM(E29:E30,-E31)</f>
        <v>0</v>
      </c>
      <c r="G29" s="2995">
        <f>SUM(F29:F30,-F31)</f>
        <v>0</v>
      </c>
      <c r="H29" s="1359">
        <v>0</v>
      </c>
      <c r="I29" s="2993">
        <f>D29-J29</f>
        <v>0</v>
      </c>
      <c r="J29" s="1897">
        <f>D29*H29</f>
        <v>0</v>
      </c>
      <c r="K29" s="1"/>
    </row>
    <row r="30" spans="1:11">
      <c r="A30" s="827" t="s">
        <v>1632</v>
      </c>
      <c r="D30" s="2995"/>
      <c r="E30" s="2995"/>
      <c r="F30" s="2995"/>
      <c r="G30" s="2995"/>
      <c r="H30" s="1359">
        <f>H29</f>
        <v>0</v>
      </c>
      <c r="I30" s="2993">
        <f>SUM(D30:G30,-J30)</f>
        <v>0</v>
      </c>
      <c r="J30" s="1897">
        <f>SUM(D30:G30)*H30</f>
        <v>0</v>
      </c>
      <c r="K30" s="1"/>
    </row>
    <row r="31" spans="1:11">
      <c r="A31" s="827" t="s">
        <v>1595</v>
      </c>
      <c r="D31" s="2996"/>
      <c r="E31" s="2996"/>
      <c r="F31" s="2996"/>
      <c r="G31" s="2996"/>
      <c r="H31" s="1359">
        <f>H29</f>
        <v>0</v>
      </c>
      <c r="I31" s="2994">
        <f>+G31-J31</f>
        <v>0</v>
      </c>
      <c r="J31" s="1898">
        <f>G31*H31</f>
        <v>0</v>
      </c>
      <c r="K31" s="1"/>
    </row>
    <row r="32" spans="1:11" s="831" customFormat="1">
      <c r="A32" s="831" t="s">
        <v>1633</v>
      </c>
      <c r="B32" s="954"/>
      <c r="C32" s="954"/>
      <c r="D32" s="1368">
        <f>SUM(D29:D30,-D31)</f>
        <v>0</v>
      </c>
      <c r="E32" s="1368">
        <f>SUM(E29:E30,-E31)</f>
        <v>0</v>
      </c>
      <c r="F32" s="1368">
        <f>SUM(F29:F30,-F31)</f>
        <v>0</v>
      </c>
      <c r="G32" s="1368">
        <f>SUM(G29:G30,-G31)</f>
        <v>0</v>
      </c>
      <c r="H32" s="955"/>
      <c r="I32" s="1368">
        <f>SUM(I29:I30,-I31)</f>
        <v>0</v>
      </c>
      <c r="J32" s="1368">
        <f>SUM(J29:J30,-J31)</f>
        <v>0</v>
      </c>
      <c r="K32" s="3"/>
    </row>
    <row r="33" spans="1:11" s="831" customFormat="1">
      <c r="B33" s="954"/>
      <c r="C33" s="954"/>
      <c r="D33" s="954"/>
      <c r="E33" s="954"/>
      <c r="F33" s="954"/>
      <c r="G33" s="954"/>
      <c r="H33" s="955"/>
      <c r="I33" s="1365"/>
      <c r="J33" s="1365"/>
      <c r="K33" s="3"/>
    </row>
    <row r="34" spans="1:11" s="831" customFormat="1">
      <c r="A34" s="831" t="s">
        <v>1634</v>
      </c>
      <c r="B34" s="954"/>
      <c r="C34" s="954"/>
      <c r="D34" s="1364">
        <f>D26-D32</f>
        <v>0</v>
      </c>
      <c r="E34" s="1364">
        <f>E26-E32</f>
        <v>0</v>
      </c>
      <c r="F34" s="1364">
        <f>F26-F32</f>
        <v>0</v>
      </c>
      <c r="G34" s="1364">
        <f>G26-G32</f>
        <v>0</v>
      </c>
      <c r="H34" s="955"/>
      <c r="I34" s="1364">
        <f>I26-I32</f>
        <v>0</v>
      </c>
      <c r="J34" s="1364">
        <f>J26-J32</f>
        <v>0</v>
      </c>
      <c r="K34" s="3"/>
    </row>
    <row r="35" spans="1:11">
      <c r="H35" s="864"/>
      <c r="I35" s="893"/>
      <c r="J35" s="893"/>
      <c r="K35" s="1"/>
    </row>
    <row r="36" spans="1:11" s="831" customFormat="1">
      <c r="A36" s="831" t="s">
        <v>517</v>
      </c>
      <c r="B36" s="954"/>
      <c r="C36" s="954"/>
      <c r="D36" s="954"/>
      <c r="E36" s="954"/>
      <c r="F36" s="954"/>
      <c r="G36" s="954"/>
      <c r="H36" s="955"/>
      <c r="I36" s="1365"/>
      <c r="J36" s="1365"/>
      <c r="K36" s="3"/>
    </row>
    <row r="37" spans="1:11">
      <c r="A37" s="827" t="s">
        <v>1635</v>
      </c>
      <c r="D37" s="2995"/>
      <c r="E37" s="2995"/>
      <c r="F37" s="2995"/>
      <c r="G37" s="2995"/>
      <c r="H37" s="1359">
        <v>0</v>
      </c>
      <c r="I37" s="2993">
        <f>SUM(D37:G37,-J37)</f>
        <v>0</v>
      </c>
      <c r="J37" s="1897">
        <f>SUM(D37:G37)*H37</f>
        <v>0</v>
      </c>
      <c r="K37" s="1"/>
    </row>
    <row r="38" spans="1:11">
      <c r="A38" s="827" t="s">
        <v>1635</v>
      </c>
      <c r="D38" s="2995"/>
      <c r="E38" s="2995"/>
      <c r="F38" s="2995"/>
      <c r="G38" s="2995"/>
      <c r="H38" s="1359">
        <v>0</v>
      </c>
      <c r="I38" s="2994">
        <f>SUM(D38:G38,-J38)</f>
        <v>0</v>
      </c>
      <c r="J38" s="1898">
        <f>SUM(D38:G38)*H38</f>
        <v>0</v>
      </c>
      <c r="K38" s="1"/>
    </row>
    <row r="39" spans="1:11" s="831" customFormat="1">
      <c r="A39" s="831" t="s">
        <v>1636</v>
      </c>
      <c r="B39" s="954"/>
      <c r="C39" s="954"/>
      <c r="D39" s="1364">
        <f>SUBTOTAL(9,D37:D38)</f>
        <v>0</v>
      </c>
      <c r="E39" s="1364">
        <f>SUBTOTAL(9,E37:E38)</f>
        <v>0</v>
      </c>
      <c r="F39" s="1364">
        <f>SUBTOTAL(9,F37:F38)</f>
        <v>0</v>
      </c>
      <c r="G39" s="1364">
        <f>SUBTOTAL(9,G37:G38)</f>
        <v>0</v>
      </c>
      <c r="H39" s="1367"/>
      <c r="I39" s="1364">
        <f>SUBTOTAL(9,I37:I38)</f>
        <v>0</v>
      </c>
      <c r="J39" s="1364">
        <f>SUBTOTAL(9,J37:J38)</f>
        <v>0</v>
      </c>
      <c r="K39" s="3"/>
    </row>
    <row r="40" spans="1:11">
      <c r="H40" s="864"/>
      <c r="I40" s="893"/>
      <c r="J40" s="893"/>
      <c r="K40" s="1"/>
    </row>
    <row r="41" spans="1:11">
      <c r="A41" s="1363" t="s">
        <v>1600</v>
      </c>
      <c r="H41" s="864"/>
      <c r="I41" s="893"/>
      <c r="J41" s="893"/>
      <c r="K41" s="1"/>
    </row>
    <row r="42" spans="1:11">
      <c r="A42" s="827" t="s">
        <v>1145</v>
      </c>
      <c r="D42" s="2995"/>
      <c r="E42" s="2995"/>
      <c r="F42" s="2995"/>
      <c r="G42" s="2995"/>
      <c r="H42" s="1359">
        <v>0</v>
      </c>
      <c r="I42" s="2993">
        <f t="shared" ref="I42:I62" si="1">SUM(D42:G42,-J42)</f>
        <v>0</v>
      </c>
      <c r="J42" s="1897">
        <f t="shared" ref="J42:J62" si="2">SUM(D42:G42)*H42</f>
        <v>0</v>
      </c>
      <c r="K42" s="1"/>
    </row>
    <row r="43" spans="1:11">
      <c r="A43" s="827" t="s">
        <v>506</v>
      </c>
      <c r="D43" s="2995"/>
      <c r="E43" s="2995"/>
      <c r="F43" s="2995"/>
      <c r="G43" s="2995"/>
      <c r="H43" s="1359">
        <v>0</v>
      </c>
      <c r="I43" s="2993">
        <f t="shared" si="1"/>
        <v>0</v>
      </c>
      <c r="J43" s="1897">
        <f t="shared" si="2"/>
        <v>0</v>
      </c>
      <c r="K43" s="1"/>
    </row>
    <row r="44" spans="1:11">
      <c r="A44" s="827" t="s">
        <v>1601</v>
      </c>
      <c r="D44" s="2995"/>
      <c r="E44" s="2995"/>
      <c r="F44" s="2995"/>
      <c r="G44" s="2995"/>
      <c r="H44" s="1359">
        <v>0</v>
      </c>
      <c r="I44" s="2993">
        <f t="shared" si="1"/>
        <v>0</v>
      </c>
      <c r="J44" s="1897">
        <f t="shared" si="2"/>
        <v>0</v>
      </c>
      <c r="K44" s="1"/>
    </row>
    <row r="45" spans="1:11">
      <c r="A45" s="827" t="s">
        <v>1602</v>
      </c>
      <c r="D45" s="2995"/>
      <c r="E45" s="2995"/>
      <c r="F45" s="2995"/>
      <c r="G45" s="2995"/>
      <c r="H45" s="1359">
        <v>0</v>
      </c>
      <c r="I45" s="2993">
        <f t="shared" si="1"/>
        <v>0</v>
      </c>
      <c r="J45" s="1897">
        <f t="shared" si="2"/>
        <v>0</v>
      </c>
      <c r="K45" s="1"/>
    </row>
    <row r="46" spans="1:11">
      <c r="A46" s="827" t="s">
        <v>335</v>
      </c>
      <c r="D46" s="2995"/>
      <c r="E46" s="2995"/>
      <c r="F46" s="2995"/>
      <c r="G46" s="2995"/>
      <c r="H46" s="1359">
        <v>0</v>
      </c>
      <c r="I46" s="2993">
        <f t="shared" si="1"/>
        <v>0</v>
      </c>
      <c r="J46" s="1897">
        <f t="shared" si="2"/>
        <v>0</v>
      </c>
      <c r="K46" s="1"/>
    </row>
    <row r="47" spans="1:11">
      <c r="A47" s="827" t="s">
        <v>83</v>
      </c>
      <c r="D47" s="2995"/>
      <c r="E47" s="2995"/>
      <c r="F47" s="2995"/>
      <c r="G47" s="2995"/>
      <c r="H47" s="1359">
        <v>0</v>
      </c>
      <c r="I47" s="2993">
        <f t="shared" si="1"/>
        <v>0</v>
      </c>
      <c r="J47" s="1897">
        <f t="shared" si="2"/>
        <v>0</v>
      </c>
      <c r="K47" s="1"/>
    </row>
    <row r="48" spans="1:11">
      <c r="A48" s="827" t="s">
        <v>1603</v>
      </c>
      <c r="D48" s="2995"/>
      <c r="E48" s="2995"/>
      <c r="F48" s="2995"/>
      <c r="G48" s="2995"/>
      <c r="H48" s="1359">
        <v>0</v>
      </c>
      <c r="I48" s="2993">
        <f t="shared" si="1"/>
        <v>0</v>
      </c>
      <c r="J48" s="1897">
        <f t="shared" si="2"/>
        <v>0</v>
      </c>
      <c r="K48" s="1"/>
    </row>
    <row r="49" spans="1:11">
      <c r="A49" s="827" t="s">
        <v>1604</v>
      </c>
      <c r="D49" s="2995"/>
      <c r="E49" s="2995"/>
      <c r="F49" s="2995"/>
      <c r="G49" s="2995"/>
      <c r="H49" s="1359">
        <v>0</v>
      </c>
      <c r="I49" s="2993">
        <f t="shared" si="1"/>
        <v>0</v>
      </c>
      <c r="J49" s="1897">
        <f t="shared" si="2"/>
        <v>0</v>
      </c>
      <c r="K49" s="1"/>
    </row>
    <row r="50" spans="1:11">
      <c r="A50" s="827" t="s">
        <v>310</v>
      </c>
      <c r="D50" s="2995"/>
      <c r="E50" s="2995"/>
      <c r="F50" s="2995"/>
      <c r="G50" s="2995"/>
      <c r="H50" s="1359">
        <v>0</v>
      </c>
      <c r="I50" s="2993">
        <f t="shared" si="1"/>
        <v>0</v>
      </c>
      <c r="J50" s="1897">
        <f t="shared" si="2"/>
        <v>0</v>
      </c>
      <c r="K50" s="1"/>
    </row>
    <row r="51" spans="1:11">
      <c r="A51" s="827" t="s">
        <v>1605</v>
      </c>
      <c r="D51" s="2995"/>
      <c r="E51" s="2995"/>
      <c r="F51" s="2995"/>
      <c r="G51" s="2995"/>
      <c r="H51" s="1359">
        <v>0</v>
      </c>
      <c r="I51" s="2993">
        <f t="shared" si="1"/>
        <v>0</v>
      </c>
      <c r="J51" s="1897">
        <f t="shared" si="2"/>
        <v>0</v>
      </c>
      <c r="K51" s="1"/>
    </row>
    <row r="52" spans="1:11">
      <c r="A52" s="827" t="s">
        <v>855</v>
      </c>
      <c r="D52" s="2995"/>
      <c r="E52" s="2995"/>
      <c r="F52" s="2995"/>
      <c r="G52" s="2995"/>
      <c r="H52" s="1359">
        <v>0</v>
      </c>
      <c r="I52" s="2993">
        <f t="shared" si="1"/>
        <v>0</v>
      </c>
      <c r="J52" s="1897">
        <f t="shared" si="2"/>
        <v>0</v>
      </c>
      <c r="K52" s="1"/>
    </row>
    <row r="53" spans="1:11">
      <c r="A53" s="827" t="s">
        <v>1606</v>
      </c>
      <c r="D53" s="2995"/>
      <c r="E53" s="2995"/>
      <c r="F53" s="2995"/>
      <c r="G53" s="2995"/>
      <c r="H53" s="1359">
        <v>0</v>
      </c>
      <c r="I53" s="2993">
        <f t="shared" si="1"/>
        <v>0</v>
      </c>
      <c r="J53" s="1897">
        <f t="shared" si="2"/>
        <v>0</v>
      </c>
      <c r="K53" s="1"/>
    </row>
    <row r="54" spans="1:11">
      <c r="A54" s="827" t="s">
        <v>497</v>
      </c>
      <c r="D54" s="2995"/>
      <c r="E54" s="2995"/>
      <c r="F54" s="2995"/>
      <c r="G54" s="2995"/>
      <c r="H54" s="1359">
        <v>0</v>
      </c>
      <c r="I54" s="2993">
        <f t="shared" si="1"/>
        <v>0</v>
      </c>
      <c r="J54" s="1897">
        <f t="shared" si="2"/>
        <v>0</v>
      </c>
      <c r="K54" s="1"/>
    </row>
    <row r="55" spans="1:11">
      <c r="A55" s="827" t="s">
        <v>1607</v>
      </c>
      <c r="D55" s="2995"/>
      <c r="E55" s="2995"/>
      <c r="F55" s="2995"/>
      <c r="G55" s="2995"/>
      <c r="H55" s="1359">
        <v>0</v>
      </c>
      <c r="I55" s="2993">
        <f t="shared" si="1"/>
        <v>0</v>
      </c>
      <c r="J55" s="1897">
        <f t="shared" si="2"/>
        <v>0</v>
      </c>
      <c r="K55" s="1"/>
    </row>
    <row r="56" spans="1:11">
      <c r="A56" s="827" t="s">
        <v>1273</v>
      </c>
      <c r="D56" s="2995"/>
      <c r="E56" s="2995"/>
      <c r="F56" s="2995"/>
      <c r="G56" s="2995"/>
      <c r="H56" s="1359">
        <v>0</v>
      </c>
      <c r="I56" s="2993">
        <f t="shared" si="1"/>
        <v>0</v>
      </c>
      <c r="J56" s="1897">
        <f t="shared" si="2"/>
        <v>0</v>
      </c>
      <c r="K56" s="1"/>
    </row>
    <row r="57" spans="1:11">
      <c r="A57" s="827" t="s">
        <v>1608</v>
      </c>
      <c r="D57" s="2995"/>
      <c r="E57" s="2995"/>
      <c r="F57" s="2995"/>
      <c r="G57" s="2995"/>
      <c r="H57" s="1359">
        <v>0</v>
      </c>
      <c r="I57" s="2993">
        <f t="shared" si="1"/>
        <v>0</v>
      </c>
      <c r="J57" s="1897">
        <f t="shared" si="2"/>
        <v>0</v>
      </c>
      <c r="K57" s="1"/>
    </row>
    <row r="58" spans="1:11">
      <c r="A58" s="827" t="s">
        <v>1609</v>
      </c>
      <c r="D58" s="2995"/>
      <c r="E58" s="2995"/>
      <c r="F58" s="2995"/>
      <c r="G58" s="2995"/>
      <c r="H58" s="1359">
        <v>0</v>
      </c>
      <c r="I58" s="2993">
        <f t="shared" si="1"/>
        <v>0</v>
      </c>
      <c r="J58" s="1897">
        <f t="shared" si="2"/>
        <v>0</v>
      </c>
      <c r="K58" s="1"/>
    </row>
    <row r="59" spans="1:11">
      <c r="A59" s="827" t="s">
        <v>1270</v>
      </c>
      <c r="D59" s="2995"/>
      <c r="E59" s="2995"/>
      <c r="F59" s="2995"/>
      <c r="G59" s="2995"/>
      <c r="H59" s="1359">
        <v>0</v>
      </c>
      <c r="I59" s="2993">
        <f t="shared" si="1"/>
        <v>0</v>
      </c>
      <c r="J59" s="1897">
        <f t="shared" si="2"/>
        <v>0</v>
      </c>
      <c r="K59" s="1"/>
    </row>
    <row r="60" spans="1:11">
      <c r="A60" s="827" t="s">
        <v>1610</v>
      </c>
      <c r="D60" s="2995"/>
      <c r="E60" s="2995"/>
      <c r="F60" s="2995"/>
      <c r="G60" s="2995"/>
      <c r="H60" s="1359">
        <v>0</v>
      </c>
      <c r="I60" s="2993">
        <f t="shared" si="1"/>
        <v>0</v>
      </c>
      <c r="J60" s="1897">
        <f t="shared" si="2"/>
        <v>0</v>
      </c>
      <c r="K60" s="1"/>
    </row>
    <row r="61" spans="1:11">
      <c r="A61" s="827" t="s">
        <v>340</v>
      </c>
      <c r="D61" s="2995"/>
      <c r="E61" s="2995"/>
      <c r="F61" s="2995"/>
      <c r="G61" s="2995"/>
      <c r="H61" s="1359">
        <v>0</v>
      </c>
      <c r="I61" s="2993">
        <f t="shared" si="1"/>
        <v>0</v>
      </c>
      <c r="J61" s="1897">
        <f t="shared" si="2"/>
        <v>0</v>
      </c>
      <c r="K61" s="1"/>
    </row>
    <row r="62" spans="1:11">
      <c r="A62" s="827" t="s">
        <v>1611</v>
      </c>
      <c r="D62" s="2995"/>
      <c r="E62" s="2995"/>
      <c r="F62" s="2995"/>
      <c r="G62" s="2995"/>
      <c r="H62" s="1359">
        <v>0</v>
      </c>
      <c r="I62" s="2993">
        <f t="shared" si="1"/>
        <v>0</v>
      </c>
      <c r="J62" s="1897">
        <f t="shared" si="2"/>
        <v>0</v>
      </c>
      <c r="K62" s="1"/>
    </row>
    <row r="63" spans="1:11">
      <c r="A63" s="1363" t="s">
        <v>1612</v>
      </c>
      <c r="D63" s="893"/>
      <c r="E63" s="893"/>
      <c r="F63" s="893"/>
      <c r="G63" s="893"/>
      <c r="I63" s="893"/>
      <c r="J63" s="893"/>
      <c r="K63" s="1"/>
    </row>
    <row r="64" spans="1:11">
      <c r="A64" s="1360" t="s">
        <v>1273</v>
      </c>
      <c r="D64" s="2995"/>
      <c r="E64" s="2995"/>
      <c r="F64" s="2995"/>
      <c r="G64" s="2995"/>
      <c r="H64" s="1359">
        <v>0</v>
      </c>
      <c r="I64" s="2993">
        <f t="shared" ref="I64:I70" si="3">SUM(D64:G64,-J64)</f>
        <v>0</v>
      </c>
      <c r="J64" s="1897">
        <f t="shared" ref="J64:J70" si="4">SUM(D64:G64)*H64</f>
        <v>0</v>
      </c>
      <c r="K64" s="1"/>
    </row>
    <row r="65" spans="1:13">
      <c r="A65" s="1360" t="s">
        <v>1272</v>
      </c>
      <c r="D65" s="2995"/>
      <c r="E65" s="2995"/>
      <c r="F65" s="2995"/>
      <c r="G65" s="2995"/>
      <c r="H65" s="1359">
        <v>0</v>
      </c>
      <c r="I65" s="2993">
        <f t="shared" si="3"/>
        <v>0</v>
      </c>
      <c r="J65" s="1897">
        <f t="shared" si="4"/>
        <v>0</v>
      </c>
      <c r="K65" s="1"/>
    </row>
    <row r="66" spans="1:13">
      <c r="A66" s="1360" t="s">
        <v>1605</v>
      </c>
      <c r="D66" s="2995"/>
      <c r="E66" s="2995"/>
      <c r="F66" s="2995"/>
      <c r="G66" s="2995"/>
      <c r="H66" s="1359">
        <v>0</v>
      </c>
      <c r="I66" s="2993">
        <f t="shared" si="3"/>
        <v>0</v>
      </c>
      <c r="J66" s="1897">
        <f t="shared" si="4"/>
        <v>0</v>
      </c>
      <c r="K66" s="1"/>
    </row>
    <row r="67" spans="1:13">
      <c r="A67" s="1360" t="s">
        <v>1613</v>
      </c>
      <c r="D67" s="2995"/>
      <c r="E67" s="2995"/>
      <c r="F67" s="2995"/>
      <c r="G67" s="2995"/>
      <c r="H67" s="1359">
        <v>0</v>
      </c>
      <c r="I67" s="2993">
        <f t="shared" si="3"/>
        <v>0</v>
      </c>
      <c r="J67" s="1897">
        <f t="shared" si="4"/>
        <v>0</v>
      </c>
      <c r="K67" s="1"/>
    </row>
    <row r="68" spans="1:13">
      <c r="A68" s="1360" t="s">
        <v>1614</v>
      </c>
      <c r="D68" s="2995"/>
      <c r="E68" s="2995"/>
      <c r="F68" s="2995"/>
      <c r="G68" s="2995"/>
      <c r="H68" s="1359">
        <v>0</v>
      </c>
      <c r="I68" s="2993">
        <f t="shared" si="3"/>
        <v>0</v>
      </c>
      <c r="J68" s="1897">
        <f t="shared" si="4"/>
        <v>0</v>
      </c>
      <c r="K68" s="1"/>
    </row>
    <row r="69" spans="1:13">
      <c r="A69" s="1360" t="s">
        <v>497</v>
      </c>
      <c r="D69" s="2995"/>
      <c r="E69" s="2995"/>
      <c r="F69" s="2995"/>
      <c r="G69" s="2995"/>
      <c r="H69" s="1359">
        <v>0</v>
      </c>
      <c r="I69" s="2993">
        <f t="shared" si="3"/>
        <v>0</v>
      </c>
      <c r="J69" s="1897">
        <f t="shared" si="4"/>
        <v>0</v>
      </c>
      <c r="K69" s="1"/>
    </row>
    <row r="70" spans="1:13">
      <c r="A70" s="1360" t="s">
        <v>312</v>
      </c>
      <c r="D70" s="2995"/>
      <c r="E70" s="2995"/>
      <c r="F70" s="2995"/>
      <c r="G70" s="2995"/>
      <c r="H70" s="1359">
        <v>0</v>
      </c>
      <c r="I70" s="2994">
        <f t="shared" si="3"/>
        <v>0</v>
      </c>
      <c r="J70" s="1898">
        <f t="shared" si="4"/>
        <v>0</v>
      </c>
      <c r="K70" s="1"/>
    </row>
    <row r="71" spans="1:13">
      <c r="A71" s="1361" t="s">
        <v>1629</v>
      </c>
      <c r="D71" s="1366">
        <f>SUBTOTAL(9,D63:D70)</f>
        <v>0</v>
      </c>
      <c r="E71" s="1366">
        <f>SUBTOTAL(9,E63:E70)</f>
        <v>0</v>
      </c>
      <c r="F71" s="1366">
        <f>SUBTOTAL(9,F63:F70)</f>
        <v>0</v>
      </c>
      <c r="G71" s="1366">
        <f>SUBTOTAL(9,G63:G70)</f>
        <v>0</v>
      </c>
      <c r="H71" s="1362"/>
      <c r="I71" s="1366">
        <f>SUBTOTAL(9,I63:I70)</f>
        <v>0</v>
      </c>
      <c r="J71" s="1366">
        <f>SUBTOTAL(9,J63:J70)</f>
        <v>0</v>
      </c>
      <c r="K71" s="863"/>
      <c r="L71" s="863"/>
      <c r="M71" s="863"/>
    </row>
    <row r="72" spans="1:13">
      <c r="A72" s="827" t="s">
        <v>1615</v>
      </c>
      <c r="D72" s="2995"/>
      <c r="E72" s="2995"/>
      <c r="F72" s="2995"/>
      <c r="G72" s="2995"/>
      <c r="H72" s="1359">
        <v>0</v>
      </c>
      <c r="I72" s="2993">
        <f t="shared" ref="I72:I92" si="5">SUM(D72:G72,-J72)</f>
        <v>0</v>
      </c>
      <c r="J72" s="1897">
        <f t="shared" ref="J72:J92" si="6">SUM(D72:G72)*H72</f>
        <v>0</v>
      </c>
      <c r="K72" s="1"/>
    </row>
    <row r="73" spans="1:13">
      <c r="A73" s="827" t="s">
        <v>1616</v>
      </c>
      <c r="D73" s="2995"/>
      <c r="E73" s="2995"/>
      <c r="F73" s="2995"/>
      <c r="G73" s="2995"/>
      <c r="H73" s="1359">
        <v>0</v>
      </c>
      <c r="I73" s="2993">
        <f t="shared" si="5"/>
        <v>0</v>
      </c>
      <c r="J73" s="1897">
        <f t="shared" si="6"/>
        <v>0</v>
      </c>
      <c r="K73" s="1"/>
    </row>
    <row r="74" spans="1:13">
      <c r="A74" s="827" t="s">
        <v>507</v>
      </c>
      <c r="D74" s="2995"/>
      <c r="E74" s="2995"/>
      <c r="F74" s="2995"/>
      <c r="G74" s="2995"/>
      <c r="H74" s="1359">
        <v>0</v>
      </c>
      <c r="I74" s="2993">
        <f t="shared" si="5"/>
        <v>0</v>
      </c>
      <c r="J74" s="1897">
        <f t="shared" si="6"/>
        <v>0</v>
      </c>
      <c r="K74" s="1"/>
    </row>
    <row r="75" spans="1:13">
      <c r="A75" s="827" t="s">
        <v>1617</v>
      </c>
      <c r="D75" s="2995"/>
      <c r="E75" s="2995"/>
      <c r="F75" s="2995"/>
      <c r="G75" s="2995"/>
      <c r="H75" s="1359">
        <v>0</v>
      </c>
      <c r="I75" s="2993">
        <f t="shared" si="5"/>
        <v>0</v>
      </c>
      <c r="J75" s="1897">
        <f t="shared" si="6"/>
        <v>0</v>
      </c>
      <c r="K75" s="1"/>
    </row>
    <row r="76" spans="1:13">
      <c r="A76" s="827" t="s">
        <v>1618</v>
      </c>
      <c r="D76" s="2995"/>
      <c r="E76" s="2995"/>
      <c r="F76" s="2995"/>
      <c r="G76" s="2995"/>
      <c r="H76" s="1359">
        <v>0</v>
      </c>
      <c r="I76" s="2993">
        <f t="shared" si="5"/>
        <v>0</v>
      </c>
      <c r="J76" s="1897">
        <f t="shared" si="6"/>
        <v>0</v>
      </c>
      <c r="K76" s="1"/>
    </row>
    <row r="77" spans="1:13">
      <c r="A77" s="827" t="s">
        <v>1118</v>
      </c>
      <c r="D77" s="2995"/>
      <c r="E77" s="2995"/>
      <c r="F77" s="2995"/>
      <c r="G77" s="2995"/>
      <c r="H77" s="1359">
        <v>0</v>
      </c>
      <c r="I77" s="2993">
        <f t="shared" si="5"/>
        <v>0</v>
      </c>
      <c r="J77" s="1897">
        <f t="shared" si="6"/>
        <v>0</v>
      </c>
      <c r="K77" s="1"/>
    </row>
    <row r="78" spans="1:13">
      <c r="A78" s="827" t="s">
        <v>1619</v>
      </c>
      <c r="D78" s="2995"/>
      <c r="E78" s="2995"/>
      <c r="F78" s="2995"/>
      <c r="G78" s="2995"/>
      <c r="H78" s="1359">
        <v>0</v>
      </c>
      <c r="I78" s="2993">
        <f t="shared" si="5"/>
        <v>0</v>
      </c>
      <c r="J78" s="1897">
        <f t="shared" si="6"/>
        <v>0</v>
      </c>
      <c r="K78" s="1"/>
    </row>
    <row r="79" spans="1:13">
      <c r="A79" s="827" t="s">
        <v>1620</v>
      </c>
      <c r="D79" s="2995"/>
      <c r="E79" s="2995"/>
      <c r="F79" s="2995"/>
      <c r="G79" s="2995"/>
      <c r="H79" s="1359">
        <v>0</v>
      </c>
      <c r="I79" s="2993">
        <f t="shared" si="5"/>
        <v>0</v>
      </c>
      <c r="J79" s="1897">
        <f t="shared" si="6"/>
        <v>0</v>
      </c>
      <c r="K79" s="1"/>
    </row>
    <row r="80" spans="1:13">
      <c r="A80" s="827" t="s">
        <v>1621</v>
      </c>
      <c r="D80" s="2995"/>
      <c r="E80" s="2995"/>
      <c r="F80" s="2995"/>
      <c r="G80" s="2995"/>
      <c r="H80" s="1359">
        <v>0</v>
      </c>
      <c r="I80" s="2993">
        <f t="shared" si="5"/>
        <v>0</v>
      </c>
      <c r="J80" s="1897">
        <f t="shared" si="6"/>
        <v>0</v>
      </c>
      <c r="K80" s="1"/>
    </row>
    <row r="81" spans="1:11">
      <c r="A81" s="827" t="s">
        <v>1622</v>
      </c>
      <c r="D81" s="2995"/>
      <c r="E81" s="2995"/>
      <c r="F81" s="2995"/>
      <c r="G81" s="2995"/>
      <c r="H81" s="1359">
        <v>0</v>
      </c>
      <c r="I81" s="2993">
        <f t="shared" si="5"/>
        <v>0</v>
      </c>
      <c r="J81" s="1897">
        <f t="shared" si="6"/>
        <v>0</v>
      </c>
      <c r="K81" s="1"/>
    </row>
    <row r="82" spans="1:11">
      <c r="A82" s="827" t="s">
        <v>1623</v>
      </c>
      <c r="D82" s="2995"/>
      <c r="E82" s="2995"/>
      <c r="F82" s="2995"/>
      <c r="G82" s="2995"/>
      <c r="H82" s="1359">
        <v>0</v>
      </c>
      <c r="I82" s="2993">
        <f t="shared" si="5"/>
        <v>0</v>
      </c>
      <c r="J82" s="1897">
        <f t="shared" si="6"/>
        <v>0</v>
      </c>
      <c r="K82" s="1"/>
    </row>
    <row r="83" spans="1:11">
      <c r="A83" s="827" t="s">
        <v>1624</v>
      </c>
      <c r="D83" s="2995"/>
      <c r="E83" s="2995"/>
      <c r="F83" s="2995"/>
      <c r="G83" s="2995"/>
      <c r="H83" s="1359">
        <v>0</v>
      </c>
      <c r="I83" s="2993">
        <f t="shared" si="5"/>
        <v>0</v>
      </c>
      <c r="J83" s="1897">
        <f t="shared" si="6"/>
        <v>0</v>
      </c>
      <c r="K83" s="1"/>
    </row>
    <row r="84" spans="1:11">
      <c r="A84" s="827" t="s">
        <v>1625</v>
      </c>
      <c r="D84" s="2995"/>
      <c r="E84" s="2995"/>
      <c r="F84" s="2995"/>
      <c r="G84" s="2995"/>
      <c r="H84" s="1359">
        <v>0</v>
      </c>
      <c r="I84" s="2993">
        <f t="shared" si="5"/>
        <v>0</v>
      </c>
      <c r="J84" s="1897">
        <f t="shared" si="6"/>
        <v>0</v>
      </c>
      <c r="K84" s="1"/>
    </row>
    <row r="85" spans="1:11">
      <c r="A85" s="827" t="s">
        <v>1626</v>
      </c>
      <c r="D85" s="2995"/>
      <c r="E85" s="2995"/>
      <c r="F85" s="2995"/>
      <c r="G85" s="2995"/>
      <c r="H85" s="1359">
        <v>0</v>
      </c>
      <c r="I85" s="2993">
        <f t="shared" si="5"/>
        <v>0</v>
      </c>
      <c r="J85" s="1897">
        <f t="shared" si="6"/>
        <v>0</v>
      </c>
      <c r="K85" s="1"/>
    </row>
    <row r="86" spans="1:11">
      <c r="A86" s="827" t="s">
        <v>468</v>
      </c>
      <c r="D86" s="2995"/>
      <c r="E86" s="2995"/>
      <c r="F86" s="2995"/>
      <c r="G86" s="2995"/>
      <c r="H86" s="1359">
        <v>0</v>
      </c>
      <c r="I86" s="2993">
        <f t="shared" si="5"/>
        <v>0</v>
      </c>
      <c r="J86" s="1897">
        <f t="shared" si="6"/>
        <v>0</v>
      </c>
      <c r="K86" s="1"/>
    </row>
    <row r="87" spans="1:11">
      <c r="A87" s="827" t="s">
        <v>1627</v>
      </c>
      <c r="D87" s="2995"/>
      <c r="E87" s="2995"/>
      <c r="F87" s="2995"/>
      <c r="G87" s="2995"/>
      <c r="H87" s="1359">
        <v>0</v>
      </c>
      <c r="I87" s="2993">
        <f t="shared" si="5"/>
        <v>0</v>
      </c>
      <c r="J87" s="1897">
        <f t="shared" si="6"/>
        <v>0</v>
      </c>
      <c r="K87" s="1"/>
    </row>
    <row r="88" spans="1:11">
      <c r="A88" s="827" t="s">
        <v>312</v>
      </c>
      <c r="D88" s="2995"/>
      <c r="E88" s="2995"/>
      <c r="F88" s="2995"/>
      <c r="G88" s="2995"/>
      <c r="H88" s="1359">
        <v>0</v>
      </c>
      <c r="I88" s="2993">
        <f t="shared" si="5"/>
        <v>0</v>
      </c>
      <c r="J88" s="1897">
        <f t="shared" si="6"/>
        <v>0</v>
      </c>
      <c r="K88" s="1"/>
    </row>
    <row r="89" spans="1:11">
      <c r="A89" s="827" t="s">
        <v>1596</v>
      </c>
      <c r="D89" s="2995"/>
      <c r="E89" s="2995"/>
      <c r="F89" s="2995"/>
      <c r="G89" s="2995"/>
      <c r="H89" s="1359">
        <v>0</v>
      </c>
      <c r="I89" s="2993">
        <f t="shared" si="5"/>
        <v>0</v>
      </c>
      <c r="J89" s="1897">
        <f t="shared" si="6"/>
        <v>0</v>
      </c>
      <c r="K89" s="1"/>
    </row>
    <row r="90" spans="1:11">
      <c r="A90" s="827" t="s">
        <v>1597</v>
      </c>
      <c r="D90" s="2995"/>
      <c r="E90" s="2995"/>
      <c r="F90" s="2995"/>
      <c r="G90" s="2995"/>
      <c r="H90" s="1359">
        <v>0</v>
      </c>
      <c r="I90" s="2993">
        <f t="shared" si="5"/>
        <v>0</v>
      </c>
      <c r="J90" s="1897">
        <f t="shared" si="6"/>
        <v>0</v>
      </c>
      <c r="K90" s="1"/>
    </row>
    <row r="91" spans="1:11">
      <c r="A91" s="827" t="s">
        <v>1598</v>
      </c>
      <c r="D91" s="2995"/>
      <c r="E91" s="2995"/>
      <c r="F91" s="2995"/>
      <c r="G91" s="2995"/>
      <c r="H91" s="1359">
        <v>0</v>
      </c>
      <c r="I91" s="2993">
        <f t="shared" si="5"/>
        <v>0</v>
      </c>
      <c r="J91" s="1897">
        <f t="shared" si="6"/>
        <v>0</v>
      </c>
      <c r="K91" s="1"/>
    </row>
    <row r="92" spans="1:11">
      <c r="A92" s="827" t="s">
        <v>1599</v>
      </c>
      <c r="D92" s="2996"/>
      <c r="E92" s="2995"/>
      <c r="F92" s="2995"/>
      <c r="G92" s="2995"/>
      <c r="H92" s="1359">
        <v>0</v>
      </c>
      <c r="I92" s="2994">
        <f t="shared" si="5"/>
        <v>0</v>
      </c>
      <c r="J92" s="1898">
        <f t="shared" si="6"/>
        <v>0</v>
      </c>
      <c r="K92" s="1"/>
    </row>
    <row r="93" spans="1:11" s="831" customFormat="1">
      <c r="A93" s="831" t="s">
        <v>1628</v>
      </c>
      <c r="B93" s="954"/>
      <c r="C93" s="954"/>
      <c r="D93" s="1364">
        <f>SUBTOTAL(9,D42:D92)</f>
        <v>0</v>
      </c>
      <c r="E93" s="1364">
        <f>SUBTOTAL(9,E42:E92)</f>
        <v>0</v>
      </c>
      <c r="F93" s="1364">
        <f>SUBTOTAL(9,F42:F92)</f>
        <v>0</v>
      </c>
      <c r="G93" s="1364">
        <f>SUBTOTAL(9,G42:G92)</f>
        <v>0</v>
      </c>
      <c r="H93" s="955"/>
      <c r="I93" s="1364">
        <f>SUBTOTAL(9,I42:I92)</f>
        <v>0</v>
      </c>
      <c r="J93" s="1364">
        <f>SUBTOTAL(9,J42:J92)</f>
        <v>0</v>
      </c>
      <c r="K93" s="3"/>
    </row>
    <row r="94" spans="1:11">
      <c r="H94" s="864"/>
      <c r="I94" s="893"/>
      <c r="J94" s="893"/>
      <c r="K94" s="1"/>
    </row>
    <row r="95" spans="1:11" s="831" customFormat="1" ht="13.5" thickBot="1">
      <c r="A95" s="831" t="s">
        <v>940</v>
      </c>
      <c r="B95" s="954"/>
      <c r="C95" s="954"/>
      <c r="D95" s="897">
        <f>D34+D39-D93</f>
        <v>0</v>
      </c>
      <c r="E95" s="897">
        <f>E34+E39-E93</f>
        <v>0</v>
      </c>
      <c r="F95" s="897">
        <f>F34+F39-F93</f>
        <v>0</v>
      </c>
      <c r="G95" s="897">
        <f>G34+G39-G93</f>
        <v>0</v>
      </c>
      <c r="H95" s="955"/>
      <c r="I95" s="897">
        <f>I34+I39-I93</f>
        <v>0</v>
      </c>
      <c r="J95" s="897">
        <f>J34+J39-J93</f>
        <v>0</v>
      </c>
      <c r="K95" s="3"/>
    </row>
    <row r="96" spans="1:11" ht="13.5" thickTop="1">
      <c r="H96" s="864"/>
      <c r="J96" s="863"/>
      <c r="K96" s="1"/>
    </row>
    <row r="97" spans="8:11">
      <c r="H97" s="864"/>
      <c r="J97" s="863"/>
      <c r="K97" s="1"/>
    </row>
    <row r="98" spans="8:11">
      <c r="H98" s="864"/>
      <c r="J98" s="863"/>
      <c r="K98" s="1"/>
    </row>
    <row r="99" spans="8:11">
      <c r="H99" s="864"/>
      <c r="J99" s="863"/>
      <c r="K99" s="1"/>
    </row>
    <row r="100" spans="8:11">
      <c r="H100" s="864"/>
      <c r="J100" s="863"/>
      <c r="K100" s="1"/>
    </row>
    <row r="101" spans="8:11">
      <c r="H101" s="864"/>
      <c r="J101" s="863"/>
      <c r="K101" s="1"/>
    </row>
    <row r="102" spans="8:11">
      <c r="H102" s="864"/>
      <c r="J102" s="863"/>
      <c r="K102" s="1"/>
    </row>
    <row r="103" spans="8:11">
      <c r="H103" s="864"/>
      <c r="J103" s="863"/>
      <c r="K103" s="1"/>
    </row>
    <row r="104" spans="8:11">
      <c r="H104" s="864"/>
      <c r="J104" s="863"/>
      <c r="K104" s="1"/>
    </row>
    <row r="105" spans="8:11">
      <c r="H105" s="864"/>
      <c r="J105" s="863"/>
      <c r="K105" s="1"/>
    </row>
    <row r="106" spans="8:11">
      <c r="H106" s="864"/>
      <c r="J106" s="863"/>
      <c r="K106" s="1"/>
    </row>
    <row r="107" spans="8:11">
      <c r="H107" s="864"/>
      <c r="J107" s="863"/>
      <c r="K107" s="1"/>
    </row>
    <row r="108" spans="8:11">
      <c r="H108" s="864"/>
      <c r="J108" s="863"/>
      <c r="K108" s="1"/>
    </row>
    <row r="109" spans="8:11">
      <c r="H109" s="864"/>
      <c r="J109" s="863"/>
      <c r="K109" s="1"/>
    </row>
    <row r="110" spans="8:11">
      <c r="H110" s="864"/>
      <c r="J110" s="863"/>
      <c r="K110" s="1"/>
    </row>
    <row r="111" spans="8:11">
      <c r="H111" s="864"/>
      <c r="J111" s="863"/>
      <c r="K111" s="1"/>
    </row>
    <row r="112" spans="8:11">
      <c r="H112" s="864"/>
      <c r="J112" s="863"/>
      <c r="K112" s="1"/>
    </row>
    <row r="113" spans="8:11">
      <c r="H113" s="864"/>
      <c r="J113" s="863"/>
      <c r="K113" s="1"/>
    </row>
    <row r="114" spans="8:11">
      <c r="H114" s="864"/>
      <c r="J114" s="863"/>
      <c r="K114" s="1"/>
    </row>
    <row r="115" spans="8:11">
      <c r="H115" s="864"/>
      <c r="J115" s="863"/>
      <c r="K115" s="1"/>
    </row>
    <row r="116" spans="8:11">
      <c r="H116" s="864"/>
      <c r="J116" s="863"/>
      <c r="K116" s="1"/>
    </row>
    <row r="117" spans="8:11">
      <c r="H117" s="864"/>
      <c r="J117" s="863"/>
      <c r="K117" s="1"/>
    </row>
    <row r="118" spans="8:11">
      <c r="H118" s="864"/>
      <c r="J118" s="863"/>
      <c r="K118" s="1"/>
    </row>
    <row r="119" spans="8:11">
      <c r="H119" s="864"/>
      <c r="J119" s="863"/>
      <c r="K119" s="1"/>
    </row>
    <row r="120" spans="8:11">
      <c r="H120" s="864"/>
      <c r="J120" s="863"/>
      <c r="K120" s="1"/>
    </row>
    <row r="121" spans="8:11">
      <c r="H121" s="864"/>
      <c r="J121" s="863"/>
      <c r="K121" s="1"/>
    </row>
    <row r="122" spans="8:11">
      <c r="H122" s="864"/>
      <c r="J122" s="863"/>
      <c r="K122" s="1"/>
    </row>
    <row r="123" spans="8:11">
      <c r="H123" s="864"/>
      <c r="J123" s="863"/>
      <c r="K123" s="1"/>
    </row>
    <row r="124" spans="8:11">
      <c r="H124" s="864"/>
      <c r="J124" s="863"/>
      <c r="K124" s="1"/>
    </row>
    <row r="125" spans="8:11">
      <c r="H125" s="864"/>
      <c r="J125" s="863"/>
      <c r="K125" s="1"/>
    </row>
    <row r="126" spans="8:11">
      <c r="H126" s="864"/>
      <c r="J126" s="863"/>
      <c r="K126" s="1"/>
    </row>
    <row r="127" spans="8:11">
      <c r="H127" s="864"/>
      <c r="J127" s="863"/>
      <c r="K127" s="1"/>
    </row>
    <row r="128" spans="8:11">
      <c r="H128" s="864"/>
      <c r="J128" s="863"/>
      <c r="K128" s="1"/>
    </row>
    <row r="129" spans="8:11">
      <c r="H129" s="864"/>
      <c r="J129" s="863"/>
      <c r="K129" s="1"/>
    </row>
    <row r="130" spans="8:11">
      <c r="H130" s="864"/>
      <c r="J130" s="863"/>
      <c r="K130" s="1"/>
    </row>
    <row r="131" spans="8:11">
      <c r="H131" s="864"/>
      <c r="J131" s="863"/>
      <c r="K131" s="1"/>
    </row>
    <row r="132" spans="8:11">
      <c r="H132" s="864"/>
      <c r="J132" s="863"/>
      <c r="K132" s="1"/>
    </row>
    <row r="133" spans="8:11">
      <c r="H133" s="864"/>
      <c r="J133" s="863"/>
      <c r="K133" s="1"/>
    </row>
    <row r="134" spans="8:11">
      <c r="H134" s="864"/>
      <c r="J134" s="863"/>
      <c r="K134" s="1"/>
    </row>
    <row r="135" spans="8:11">
      <c r="H135" s="864"/>
      <c r="J135" s="863"/>
      <c r="K135" s="1"/>
    </row>
    <row r="136" spans="8:11">
      <c r="H136" s="864"/>
      <c r="J136" s="863"/>
      <c r="K136" s="1"/>
    </row>
    <row r="137" spans="8:11">
      <c r="H137" s="864"/>
      <c r="J137" s="863"/>
      <c r="K137" s="1"/>
    </row>
    <row r="138" spans="8:11">
      <c r="H138" s="864"/>
      <c r="J138" s="863"/>
      <c r="K138" s="1"/>
    </row>
    <row r="139" spans="8:11">
      <c r="H139" s="864"/>
      <c r="J139" s="863"/>
      <c r="K139" s="1"/>
    </row>
    <row r="140" spans="8:11">
      <c r="H140" s="864"/>
      <c r="J140" s="863"/>
      <c r="K140" s="1"/>
    </row>
    <row r="141" spans="8:11">
      <c r="H141" s="864"/>
      <c r="J141" s="863"/>
      <c r="K141" s="1"/>
    </row>
    <row r="142" spans="8:11">
      <c r="H142" s="864"/>
      <c r="J142" s="863"/>
      <c r="K142" s="1"/>
    </row>
    <row r="143" spans="8:11">
      <c r="H143" s="864"/>
      <c r="J143" s="863"/>
      <c r="K143" s="1"/>
    </row>
    <row r="144" spans="8:11">
      <c r="H144" s="864"/>
      <c r="J144" s="863"/>
      <c r="K144" s="1"/>
    </row>
    <row r="145" spans="8:11">
      <c r="H145" s="864"/>
      <c r="J145" s="863"/>
      <c r="K145" s="1"/>
    </row>
    <row r="146" spans="8:11">
      <c r="H146" s="864"/>
      <c r="J146" s="863"/>
      <c r="K146" s="1"/>
    </row>
    <row r="147" spans="8:11">
      <c r="H147" s="864"/>
      <c r="J147" s="863"/>
      <c r="K147" s="1"/>
    </row>
    <row r="148" spans="8:11">
      <c r="H148" s="864"/>
      <c r="J148" s="863"/>
      <c r="K148" s="1"/>
    </row>
    <row r="149" spans="8:11">
      <c r="H149" s="864"/>
      <c r="J149" s="863"/>
      <c r="K149" s="1"/>
    </row>
    <row r="150" spans="8:11">
      <c r="H150" s="864"/>
      <c r="J150" s="863"/>
      <c r="K150" s="1"/>
    </row>
    <row r="151" spans="8:11">
      <c r="H151" s="864"/>
      <c r="J151" s="863"/>
      <c r="K151" s="1"/>
    </row>
    <row r="152" spans="8:11">
      <c r="H152" s="864"/>
      <c r="J152" s="863"/>
      <c r="K152" s="1"/>
    </row>
    <row r="153" spans="8:11">
      <c r="H153" s="864"/>
      <c r="J153" s="863"/>
      <c r="K153" s="1"/>
    </row>
    <row r="154" spans="8:11">
      <c r="H154" s="864"/>
      <c r="J154" s="863"/>
      <c r="K154" s="1"/>
    </row>
  </sheetData>
  <customSheetViews>
    <customSheetView guid="{BCBE45D4-3C45-4659-992E-5C5D3E9FD81C}" showGridLines="0" fitToPage="1" hiddenColumns="1" topLeftCell="A58">
      <selection activeCell="N73" sqref="N73"/>
      <pageMargins left="0.59055118110236227" right="0.43307086614173229" top="0.6692913385826772" bottom="0.94488188976377963" header="0.51181102362204722" footer="0.39370078740157483"/>
      <printOptions horizontalCentered="1"/>
      <pageSetup paperSize="9" scale="61"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Columns="1" topLeftCell="A46">
      <selection activeCell="N84" sqref="N84"/>
      <pageMargins left="0.59055118110236227" right="0.43307086614173229" top="0.6692913385826772" bottom="0.94488188976377963" header="0.51181102362204722" footer="0.39370078740157483"/>
      <printOptions horizontalCentered="1"/>
      <pageSetup paperSize="9" scale="61" fitToHeight="999" orientation="portrait" blackAndWhite="1" r:id="rId2"/>
      <headerFooter alignWithMargins="0">
        <oddFooter>&amp;L&amp;8Copyright Crowe Horwath (Aust) Pty Ltd 2016.  All rights reserved.
&amp;Z&amp;F[&amp;A]&amp;R&amp;8&amp;P/&amp;N</oddFooter>
      </headerFooter>
    </customSheetView>
  </customSheetViews>
  <mergeCells count="5">
    <mergeCell ref="A7:I7"/>
    <mergeCell ref="C13:G13"/>
    <mergeCell ref="C14:G14"/>
    <mergeCell ref="C15:G15"/>
    <mergeCell ref="C16:G16"/>
  </mergeCells>
  <conditionalFormatting sqref="H17:H95">
    <cfRule type="expression" dxfId="19" priority="2" stopIfTrue="1">
      <formula>PP&lt;&gt;"YES"</formula>
    </cfRule>
  </conditionalFormatting>
  <conditionalFormatting sqref="D18:G95">
    <cfRule type="expression" dxfId="18" priority="1" stopIfTrue="1">
      <formula>AND(NOT($A$6),PP&lt;&gt;"YES")</formula>
    </cfRule>
  </conditionalFormatting>
  <hyperlinks>
    <hyperlink ref="A9" location="ClientName" display="ClientName" xr:uid="{00000000-0004-0000-2C00-000001000000}"/>
    <hyperlink ref="A24" location="Livestock!A1" display="Gross profit from livestock" xr:uid="{00000000-0004-0000-2C00-000002000000}"/>
    <hyperlink ref="I8" location="'WPIndex'!A1" display="Back to Workpaper Index" xr:uid="{4DBFB189-2E15-405B-B7F2-A590D2E69673}"/>
  </hyperlinks>
  <printOptions horizontalCentered="1"/>
  <pageMargins left="0.59055118110236227" right="0.43307086614173229" top="0.6692913385826772" bottom="0.94488188976377963" header="0.51181102362204722" footer="0.39370078740157483"/>
  <pageSetup paperSize="9" scale="58" fitToHeight="999" orientation="portrait" r:id="rId3"/>
  <headerFooter alignWithMargins="0">
    <oddFooter>&amp;L&amp;8© Findex (Aust) Pty Ltd.  All rights reserved.&amp;R&amp;8&amp;P/&amp;N</oddFooter>
  </headerFooter>
  <drawing r:id="rId4"/>
  <legacyDrawing r:id="rId5"/>
  <controls>
    <mc:AlternateContent xmlns:mc="http://schemas.openxmlformats.org/markup-compatibility/2006">
      <mc:Choice Requires="x14">
        <control shapeId="194588" r:id="rId6" name="DetailedToggleButton">
          <controlPr defaultSize="0" autoLine="0" r:id="rId7">
            <anchor moveWithCells="1">
              <from>
                <xdr:col>12</xdr:col>
                <xdr:colOff>0</xdr:colOff>
                <xdr:row>3</xdr:row>
                <xdr:rowOff>152400</xdr:rowOff>
              </from>
              <to>
                <xdr:col>13</xdr:col>
                <xdr:colOff>76200</xdr:colOff>
                <xdr:row>7</xdr:row>
                <xdr:rowOff>9525</xdr:rowOff>
              </to>
            </anchor>
          </controlPr>
        </control>
      </mc:Choice>
      <mc:Fallback>
        <control shapeId="194588" r:id="rId6" name="DetailedToggleButton"/>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Inv_Income_Sheet">
    <tabColor theme="8" tint="0.79998168889431442"/>
  </sheetPr>
  <dimension ref="A1:J52"/>
  <sheetViews>
    <sheetView zoomScaleNormal="100" workbookViewId="0">
      <selection sqref="A1:F1"/>
    </sheetView>
  </sheetViews>
  <sheetFormatPr defaultColWidth="9.140625" defaultRowHeight="12.75"/>
  <cols>
    <col min="1" max="1" width="13.7109375" style="1" customWidth="1"/>
    <col min="2" max="2" width="9.140625" style="1"/>
    <col min="3" max="3" width="10.42578125" style="14" customWidth="1"/>
    <col min="4" max="4" width="9.140625" style="14"/>
    <col min="5" max="5" width="11.42578125" style="14" customWidth="1"/>
    <col min="6" max="7" width="9.140625" style="14"/>
    <col min="8" max="8" width="9.140625" style="1"/>
    <col min="9" max="9" width="12.42578125" style="1" customWidth="1"/>
    <col min="10" max="10" width="8.28515625" style="1" hidden="1" customWidth="1"/>
    <col min="11" max="16384" width="9.140625" style="1"/>
  </cols>
  <sheetData>
    <row r="1" spans="1:10">
      <c r="H1" s="2613" t="s">
        <v>2425</v>
      </c>
      <c r="I1" s="3576" t="s">
        <v>2758</v>
      </c>
    </row>
    <row r="2" spans="1:10" ht="15.75">
      <c r="A2" s="740"/>
      <c r="B2" s="740"/>
      <c r="C2" s="40"/>
      <c r="D2" s="40"/>
      <c r="E2" s="40"/>
      <c r="F2" s="40"/>
      <c r="G2" s="40"/>
      <c r="H2" s="40"/>
    </row>
    <row r="3" spans="1:10" s="32" customFormat="1">
      <c r="A3" s="206"/>
      <c r="G3" s="11"/>
      <c r="H3" s="2795" t="s">
        <v>1163</v>
      </c>
      <c r="I3" s="709" t="s">
        <v>1262</v>
      </c>
    </row>
    <row r="4" spans="1:10" s="32" customFormat="1" ht="17.25" customHeight="1">
      <c r="A4" s="206"/>
      <c r="G4" s="71" t="s">
        <v>332</v>
      </c>
      <c r="H4" s="2617" t="str">
        <f>IF(PreparedBy="","",PreparedBy)</f>
        <v/>
      </c>
      <c r="I4" s="2618" t="str">
        <f>IF(DatePrepared="","",DatePrepared)</f>
        <v/>
      </c>
    </row>
    <row r="5" spans="1:10" s="32" customFormat="1" ht="17.25" customHeight="1">
      <c r="A5" s="206"/>
      <c r="G5" s="71" t="s">
        <v>333</v>
      </c>
      <c r="H5" s="2619"/>
      <c r="I5" s="2620"/>
    </row>
    <row r="6" spans="1:10" s="32" customFormat="1" ht="15.75">
      <c r="A6" s="206"/>
      <c r="B6" s="43"/>
      <c r="C6" s="43"/>
      <c r="D6" s="43"/>
      <c r="E6" s="43"/>
    </row>
    <row r="7" spans="1:10" ht="15.75">
      <c r="A7" s="3704" t="str">
        <f>WP_Investment_Income</f>
        <v>Investment Income</v>
      </c>
      <c r="B7" s="3705"/>
      <c r="C7" s="3705"/>
      <c r="D7" s="3705"/>
      <c r="E7" s="3705"/>
      <c r="F7" s="3705"/>
      <c r="G7" s="3705"/>
      <c r="H7" s="3705"/>
      <c r="I7" s="3706"/>
    </row>
    <row r="8" spans="1:10">
      <c r="G8" s="3832" t="s">
        <v>2526</v>
      </c>
      <c r="H8" s="3832"/>
      <c r="I8" s="3832"/>
    </row>
    <row r="9" spans="1:10" ht="15.75">
      <c r="A9" s="222" t="str">
        <f>"CLIENT NAME:   "&amp;'WP Index'!E3</f>
        <v>CLIENT NAME:   Example Trust</v>
      </c>
    </row>
    <row r="10" spans="1:10">
      <c r="A10" s="9" t="str">
        <f>"CLIENT CODE:   "&amp;'WP Index'!E4</f>
        <v>CLIENT CODE:   99999</v>
      </c>
      <c r="H10" s="47" t="s">
        <v>951</v>
      </c>
      <c r="I10" s="47">
        <f>'WP Index'!G5</f>
        <v>45473</v>
      </c>
    </row>
    <row r="11" spans="1:10">
      <c r="J11" s="6" t="s">
        <v>1286</v>
      </c>
    </row>
    <row r="12" spans="1:10" ht="15.75">
      <c r="A12" s="4065" t="s">
        <v>1446</v>
      </c>
      <c r="B12" s="4066"/>
      <c r="C12" s="4066"/>
      <c r="D12" s="4067"/>
      <c r="E12" s="20"/>
      <c r="F12" s="20"/>
      <c r="G12" s="20"/>
      <c r="H12" s="8"/>
      <c r="I12" s="8"/>
    </row>
    <row r="13" spans="1:10">
      <c r="A13" s="54"/>
      <c r="B13" s="8"/>
      <c r="C13" s="20"/>
      <c r="D13" s="20"/>
      <c r="E13" s="20"/>
      <c r="F13" s="67"/>
      <c r="G13" s="67"/>
      <c r="H13" s="8"/>
      <c r="I13" s="8"/>
    </row>
    <row r="14" spans="1:10">
      <c r="A14" s="54" t="s">
        <v>1272</v>
      </c>
      <c r="B14" s="8"/>
      <c r="C14" s="949" t="s">
        <v>1154</v>
      </c>
      <c r="D14" s="949" t="s">
        <v>976</v>
      </c>
      <c r="E14" s="164"/>
      <c r="F14" s="164"/>
      <c r="G14" s="164"/>
      <c r="H14" s="160"/>
      <c r="I14" s="160"/>
    </row>
    <row r="15" spans="1:10">
      <c r="A15" s="4068" t="s">
        <v>1203</v>
      </c>
      <c r="B15" s="4068"/>
      <c r="C15" s="2997"/>
      <c r="D15" s="2997"/>
      <c r="E15" s="164"/>
      <c r="F15" s="164"/>
      <c r="G15" s="164"/>
      <c r="H15" s="160"/>
      <c r="I15" s="160"/>
    </row>
    <row r="16" spans="1:10">
      <c r="A16" s="4069" t="s">
        <v>1204</v>
      </c>
      <c r="B16" s="4069"/>
      <c r="C16" s="2682"/>
      <c r="D16" s="2682"/>
      <c r="E16" s="164"/>
      <c r="F16" s="164"/>
      <c r="G16" s="164"/>
      <c r="H16" s="160"/>
      <c r="I16" s="160"/>
    </row>
    <row r="17" spans="1:9" ht="13.5" thickBot="1">
      <c r="A17" s="54" t="s">
        <v>1129</v>
      </c>
      <c r="B17" s="8"/>
      <c r="C17" s="178"/>
      <c r="D17" s="358">
        <f>SUM(D15:D16)</f>
        <v>0</v>
      </c>
      <c r="E17" s="164"/>
      <c r="F17" s="164"/>
      <c r="G17" s="164"/>
      <c r="H17" s="160"/>
      <c r="I17" s="160"/>
    </row>
    <row r="18" spans="1:9" ht="13.5" thickTop="1">
      <c r="A18" s="54"/>
      <c r="B18" s="8"/>
      <c r="C18" s="178"/>
      <c r="D18" s="178"/>
      <c r="E18" s="164"/>
      <c r="F18" s="164"/>
      <c r="G18" s="164"/>
      <c r="H18" s="160"/>
      <c r="I18" s="160"/>
    </row>
    <row r="19" spans="1:9">
      <c r="A19" s="8"/>
      <c r="B19" s="8"/>
      <c r="C19" s="184"/>
      <c r="D19" s="184"/>
      <c r="E19" s="184"/>
      <c r="F19" s="184"/>
      <c r="G19" s="949" t="s">
        <v>1205</v>
      </c>
      <c r="H19" s="160"/>
      <c r="I19" s="160"/>
    </row>
    <row r="20" spans="1:9" s="3" customFormat="1">
      <c r="A20" s="54" t="s">
        <v>1206</v>
      </c>
      <c r="B20" s="54"/>
      <c r="C20" s="950" t="s">
        <v>1159</v>
      </c>
      <c r="D20" s="949" t="s">
        <v>1160</v>
      </c>
      <c r="E20" s="949" t="s">
        <v>1207</v>
      </c>
      <c r="F20" s="949" t="s">
        <v>1208</v>
      </c>
      <c r="G20" s="949" t="s">
        <v>1061</v>
      </c>
      <c r="H20" s="951"/>
      <c r="I20" s="951"/>
    </row>
    <row r="21" spans="1:9">
      <c r="A21" s="4068" t="s">
        <v>1209</v>
      </c>
      <c r="B21" s="4068"/>
      <c r="C21" s="2997"/>
      <c r="D21" s="2997"/>
      <c r="E21" s="2997"/>
      <c r="F21" s="2997"/>
      <c r="G21" s="2997"/>
      <c r="H21" s="160"/>
      <c r="I21" s="160"/>
    </row>
    <row r="22" spans="1:9">
      <c r="A22" s="3796" t="s">
        <v>1210</v>
      </c>
      <c r="B22" s="3798"/>
      <c r="C22" s="2682"/>
      <c r="D22" s="2682"/>
      <c r="E22" s="2682"/>
      <c r="F22" s="2682"/>
      <c r="G22" s="2682"/>
      <c r="H22" s="160"/>
      <c r="I22" s="160"/>
    </row>
    <row r="23" spans="1:9" ht="13.5" thickBot="1">
      <c r="A23" s="54" t="s">
        <v>1129</v>
      </c>
      <c r="B23" s="8"/>
      <c r="C23" s="358">
        <f>SUM(C21:C22)</f>
        <v>0</v>
      </c>
      <c r="D23" s="358">
        <f>SUM(D21:D22)</f>
        <v>0</v>
      </c>
      <c r="E23" s="358">
        <f>SUM(E21:E22)</f>
        <v>0</v>
      </c>
      <c r="F23" s="358">
        <f>SUM(F21:F22)</f>
        <v>0</v>
      </c>
      <c r="G23" s="358">
        <f>SUM(G21:G22)</f>
        <v>0</v>
      </c>
      <c r="H23" s="160"/>
      <c r="I23" s="160"/>
    </row>
    <row r="24" spans="1:9" ht="13.5" thickTop="1">
      <c r="A24" s="8"/>
      <c r="B24" s="8"/>
      <c r="C24" s="164"/>
      <c r="D24" s="164"/>
      <c r="E24" s="164"/>
      <c r="F24" s="164"/>
      <c r="G24" s="164"/>
      <c r="H24" s="160"/>
      <c r="I24" s="160"/>
    </row>
    <row r="25" spans="1:9" s="3" customFormat="1">
      <c r="A25" s="54"/>
      <c r="B25" s="54"/>
      <c r="C25" s="949"/>
      <c r="D25" s="949"/>
      <c r="E25" s="949"/>
      <c r="F25" s="949"/>
      <c r="G25" s="949" t="s">
        <v>1205</v>
      </c>
      <c r="H25" s="950" t="s">
        <v>1211</v>
      </c>
      <c r="I25" s="950" t="s">
        <v>1211</v>
      </c>
    </row>
    <row r="26" spans="1:9" s="3" customFormat="1">
      <c r="A26" s="54" t="s">
        <v>1212</v>
      </c>
      <c r="B26" s="54"/>
      <c r="C26" s="950" t="s">
        <v>1159</v>
      </c>
      <c r="D26" s="949" t="s">
        <v>1160</v>
      </c>
      <c r="E26" s="949" t="s">
        <v>1207</v>
      </c>
      <c r="F26" s="949" t="s">
        <v>1208</v>
      </c>
      <c r="G26" s="949" t="s">
        <v>1061</v>
      </c>
      <c r="H26" s="950" t="s">
        <v>1213</v>
      </c>
      <c r="I26" s="950" t="s">
        <v>1214</v>
      </c>
    </row>
    <row r="27" spans="1:9">
      <c r="A27" s="4068" t="s">
        <v>1215</v>
      </c>
      <c r="B27" s="4068"/>
      <c r="C27" s="2997"/>
      <c r="D27" s="2997"/>
      <c r="E27" s="2997"/>
      <c r="F27" s="2997"/>
      <c r="G27" s="2997"/>
      <c r="H27" s="2997"/>
      <c r="I27" s="2997"/>
    </row>
    <row r="28" spans="1:9">
      <c r="A28" s="4069" t="s">
        <v>1216</v>
      </c>
      <c r="B28" s="4069"/>
      <c r="C28" s="2682"/>
      <c r="D28" s="2682"/>
      <c r="E28" s="2682"/>
      <c r="F28" s="2682"/>
      <c r="G28" s="2682"/>
      <c r="H28" s="2682"/>
      <c r="I28" s="2682"/>
    </row>
    <row r="29" spans="1:9" ht="13.5" thickBot="1">
      <c r="A29" s="54" t="s">
        <v>1129</v>
      </c>
      <c r="B29" s="8"/>
      <c r="C29" s="358">
        <f t="shared" ref="C29:I29" si="0">SUM(C27:C28)</f>
        <v>0</v>
      </c>
      <c r="D29" s="358">
        <f t="shared" si="0"/>
        <v>0</v>
      </c>
      <c r="E29" s="358">
        <f t="shared" si="0"/>
        <v>0</v>
      </c>
      <c r="F29" s="358">
        <f t="shared" si="0"/>
        <v>0</v>
      </c>
      <c r="G29" s="358">
        <f t="shared" si="0"/>
        <v>0</v>
      </c>
      <c r="H29" s="358">
        <f t="shared" si="0"/>
        <v>0</v>
      </c>
      <c r="I29" s="358">
        <f t="shared" si="0"/>
        <v>0</v>
      </c>
    </row>
    <row r="30" spans="1:9" ht="13.5" thickTop="1">
      <c r="A30" s="8"/>
      <c r="B30" s="8"/>
      <c r="C30" s="164"/>
      <c r="D30" s="164"/>
      <c r="E30" s="164"/>
      <c r="F30" s="164"/>
      <c r="G30" s="164"/>
      <c r="H30" s="160"/>
      <c r="I30" s="160"/>
    </row>
    <row r="31" spans="1:9">
      <c r="C31" s="162"/>
      <c r="D31" s="162"/>
      <c r="E31" s="162"/>
      <c r="F31" s="162"/>
      <c r="G31" s="162"/>
      <c r="H31" s="161"/>
      <c r="I31" s="161"/>
    </row>
    <row r="32" spans="1:9" ht="15.75">
      <c r="A32" s="4065" t="s">
        <v>1447</v>
      </c>
      <c r="B32" s="4066"/>
      <c r="C32" s="4066"/>
      <c r="D32" s="4067"/>
      <c r="E32" s="164"/>
      <c r="F32" s="164"/>
      <c r="G32" s="164"/>
      <c r="H32" s="160"/>
      <c r="I32" s="160"/>
    </row>
    <row r="33" spans="1:9">
      <c r="A33" s="8"/>
      <c r="B33" s="8"/>
      <c r="C33" s="164"/>
      <c r="D33" s="164"/>
      <c r="E33" s="164"/>
      <c r="F33" s="164"/>
      <c r="G33" s="164"/>
      <c r="H33" s="160"/>
      <c r="I33" s="160"/>
    </row>
    <row r="34" spans="1:9">
      <c r="A34" s="54" t="s">
        <v>1272</v>
      </c>
      <c r="B34" s="8"/>
      <c r="C34" s="949" t="s">
        <v>1154</v>
      </c>
      <c r="D34" s="949" t="s">
        <v>976</v>
      </c>
      <c r="E34" s="164"/>
      <c r="F34" s="164"/>
      <c r="G34" s="164"/>
      <c r="H34" s="160"/>
      <c r="I34" s="160"/>
    </row>
    <row r="35" spans="1:9">
      <c r="A35" s="4068" t="s">
        <v>1203</v>
      </c>
      <c r="B35" s="4068"/>
      <c r="C35" s="2997"/>
      <c r="D35" s="2997"/>
      <c r="E35" s="164"/>
      <c r="F35" s="164"/>
      <c r="G35" s="164"/>
      <c r="H35" s="160"/>
      <c r="I35" s="160"/>
    </row>
    <row r="36" spans="1:9">
      <c r="A36" s="4069" t="s">
        <v>1204</v>
      </c>
      <c r="B36" s="4069"/>
      <c r="C36" s="2682"/>
      <c r="D36" s="2682"/>
      <c r="E36" s="164"/>
      <c r="F36" s="164"/>
      <c r="G36" s="164"/>
      <c r="H36" s="160"/>
      <c r="I36" s="160"/>
    </row>
    <row r="37" spans="1:9" ht="13.5" thickBot="1">
      <c r="A37" s="54" t="s">
        <v>1129</v>
      </c>
      <c r="B37" s="8"/>
      <c r="C37" s="178"/>
      <c r="D37" s="358">
        <f>SUM(D35:D36)</f>
        <v>0</v>
      </c>
      <c r="E37" s="164"/>
      <c r="F37" s="164"/>
      <c r="G37" s="164"/>
      <c r="H37" s="160"/>
      <c r="I37" s="160"/>
    </row>
    <row r="38" spans="1:9" ht="13.5" thickTop="1">
      <c r="A38" s="54"/>
      <c r="B38" s="8"/>
      <c r="C38" s="178"/>
      <c r="D38" s="164"/>
      <c r="E38" s="164"/>
      <c r="F38" s="164"/>
      <c r="G38" s="164"/>
      <c r="H38" s="160"/>
      <c r="I38" s="160"/>
    </row>
    <row r="39" spans="1:9">
      <c r="A39" s="8"/>
      <c r="B39" s="8"/>
      <c r="C39" s="184"/>
      <c r="D39" s="184"/>
      <c r="E39" s="184"/>
      <c r="F39" s="184"/>
      <c r="G39" s="949" t="s">
        <v>1205</v>
      </c>
      <c r="H39" s="160"/>
      <c r="I39" s="160"/>
    </row>
    <row r="40" spans="1:9" s="3" customFormat="1">
      <c r="A40" s="54" t="s">
        <v>1206</v>
      </c>
      <c r="B40" s="54"/>
      <c r="C40" s="950" t="s">
        <v>1159</v>
      </c>
      <c r="D40" s="949" t="s">
        <v>1160</v>
      </c>
      <c r="E40" s="949" t="s">
        <v>1207</v>
      </c>
      <c r="F40" s="949" t="s">
        <v>1208</v>
      </c>
      <c r="G40" s="949" t="s">
        <v>1061</v>
      </c>
      <c r="H40" s="951"/>
      <c r="I40" s="951"/>
    </row>
    <row r="41" spans="1:9">
      <c r="A41" s="4068" t="s">
        <v>1209</v>
      </c>
      <c r="B41" s="4068"/>
      <c r="C41" s="2997"/>
      <c r="D41" s="2997"/>
      <c r="E41" s="2997"/>
      <c r="F41" s="2997"/>
      <c r="G41" s="2997"/>
      <c r="H41" s="160"/>
      <c r="I41" s="160"/>
    </row>
    <row r="42" spans="1:9">
      <c r="A42" s="3796" t="s">
        <v>1210</v>
      </c>
      <c r="B42" s="3798"/>
      <c r="C42" s="2682"/>
      <c r="D42" s="2682"/>
      <c r="E42" s="2682"/>
      <c r="F42" s="2682"/>
      <c r="G42" s="2682"/>
      <c r="H42" s="160"/>
      <c r="I42" s="160"/>
    </row>
    <row r="43" spans="1:9" ht="13.5" thickBot="1">
      <c r="A43" s="54" t="s">
        <v>1129</v>
      </c>
      <c r="B43" s="8"/>
      <c r="C43" s="358">
        <f>SUM(C41:C42)</f>
        <v>0</v>
      </c>
      <c r="D43" s="358">
        <f>SUM(D41:D42)</f>
        <v>0</v>
      </c>
      <c r="E43" s="358">
        <f>SUM(E41:E42)</f>
        <v>0</v>
      </c>
      <c r="F43" s="358">
        <f>SUM(F41:F42)</f>
        <v>0</v>
      </c>
      <c r="G43" s="358">
        <f>SUM(G41:G42)</f>
        <v>0</v>
      </c>
      <c r="H43" s="160"/>
      <c r="I43" s="160"/>
    </row>
    <row r="44" spans="1:9" ht="13.5" thickTop="1">
      <c r="A44" s="8"/>
      <c r="B44" s="8"/>
      <c r="C44" s="164"/>
      <c r="D44" s="164"/>
      <c r="E44" s="164"/>
      <c r="F44" s="164"/>
      <c r="G44" s="164"/>
      <c r="H44" s="160"/>
      <c r="I44" s="160"/>
    </row>
    <row r="45" spans="1:9" s="3" customFormat="1">
      <c r="A45" s="54"/>
      <c r="B45" s="54"/>
      <c r="C45" s="949"/>
      <c r="D45" s="949"/>
      <c r="E45" s="949"/>
      <c r="F45" s="949"/>
      <c r="G45" s="949" t="s">
        <v>1205</v>
      </c>
      <c r="H45" s="950" t="s">
        <v>1211</v>
      </c>
      <c r="I45" s="950" t="s">
        <v>1211</v>
      </c>
    </row>
    <row r="46" spans="1:9" s="3" customFormat="1">
      <c r="A46" s="54" t="s">
        <v>1212</v>
      </c>
      <c r="B46" s="54"/>
      <c r="C46" s="950" t="s">
        <v>1159</v>
      </c>
      <c r="D46" s="949" t="s">
        <v>1160</v>
      </c>
      <c r="E46" s="949" t="s">
        <v>1207</v>
      </c>
      <c r="F46" s="949" t="s">
        <v>1208</v>
      </c>
      <c r="G46" s="949" t="s">
        <v>1061</v>
      </c>
      <c r="H46" s="950" t="s">
        <v>1213</v>
      </c>
      <c r="I46" s="950" t="s">
        <v>1214</v>
      </c>
    </row>
    <row r="47" spans="1:9">
      <c r="A47" s="4068" t="s">
        <v>1215</v>
      </c>
      <c r="B47" s="4068"/>
      <c r="C47" s="2997"/>
      <c r="D47" s="2997"/>
      <c r="E47" s="2997"/>
      <c r="F47" s="2997"/>
      <c r="G47" s="2997"/>
      <c r="H47" s="2997"/>
      <c r="I47" s="2997"/>
    </row>
    <row r="48" spans="1:9">
      <c r="A48" s="4069" t="s">
        <v>1216</v>
      </c>
      <c r="B48" s="4069"/>
      <c r="C48" s="2682"/>
      <c r="D48" s="2682"/>
      <c r="E48" s="2682"/>
      <c r="F48" s="2682"/>
      <c r="G48" s="2682"/>
      <c r="H48" s="2682"/>
      <c r="I48" s="2682"/>
    </row>
    <row r="49" spans="1:9" ht="13.5" thickBot="1">
      <c r="A49" s="54" t="s">
        <v>1129</v>
      </c>
      <c r="B49" s="8"/>
      <c r="C49" s="358">
        <f t="shared" ref="C49:I49" si="1">SUM(C47:C48)</f>
        <v>0</v>
      </c>
      <c r="D49" s="358">
        <f t="shared" si="1"/>
        <v>0</v>
      </c>
      <c r="E49" s="358">
        <f t="shared" si="1"/>
        <v>0</v>
      </c>
      <c r="F49" s="358">
        <f t="shared" si="1"/>
        <v>0</v>
      </c>
      <c r="G49" s="358">
        <f t="shared" si="1"/>
        <v>0</v>
      </c>
      <c r="H49" s="358">
        <f t="shared" si="1"/>
        <v>0</v>
      </c>
      <c r="I49" s="358">
        <f t="shared" si="1"/>
        <v>0</v>
      </c>
    </row>
    <row r="50" spans="1:9" ht="13.5" thickTop="1">
      <c r="A50" s="8"/>
      <c r="B50" s="8"/>
      <c r="C50" s="20"/>
      <c r="D50" s="20"/>
      <c r="E50" s="20"/>
      <c r="F50" s="20"/>
      <c r="G50" s="20"/>
      <c r="H50" s="8"/>
      <c r="I50" s="8"/>
    </row>
    <row r="51" spans="1:9">
      <c r="A51" s="3" t="s">
        <v>172</v>
      </c>
    </row>
    <row r="52" spans="1:9" ht="45.75" customHeight="1">
      <c r="A52" s="3742"/>
      <c r="B52" s="3743"/>
      <c r="C52" s="3743"/>
      <c r="D52" s="3743"/>
      <c r="E52" s="3743"/>
      <c r="F52" s="3743"/>
      <c r="G52" s="3743"/>
      <c r="H52" s="3743"/>
      <c r="I52" s="3744"/>
    </row>
  </sheetData>
  <customSheetViews>
    <customSheetView guid="{BCBE45D4-3C45-4659-992E-5C5D3E9FD81C}" fitToPage="1" hiddenColumns="1" topLeftCell="A28">
      <selection activeCell="W42" sqref="W42"/>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topLeftCell="A7">
      <selection activeCell="N39" sqref="N39"/>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17">
    <mergeCell ref="A35:B35"/>
    <mergeCell ref="A36:B36"/>
    <mergeCell ref="A41:B41"/>
    <mergeCell ref="A52:I52"/>
    <mergeCell ref="A42:B42"/>
    <mergeCell ref="A47:B47"/>
    <mergeCell ref="A48:B48"/>
    <mergeCell ref="A7:I7"/>
    <mergeCell ref="A12:D12"/>
    <mergeCell ref="A32:D32"/>
    <mergeCell ref="G8:I8"/>
    <mergeCell ref="A15:B15"/>
    <mergeCell ref="A16:B16"/>
    <mergeCell ref="A21:B21"/>
    <mergeCell ref="A22:B22"/>
    <mergeCell ref="A27:B27"/>
    <mergeCell ref="A28:B28"/>
  </mergeCells>
  <phoneticPr fontId="26" type="noConversion"/>
  <conditionalFormatting sqref="J117">
    <cfRule type="expression" dxfId="17" priority="1" stopIfTrue="1">
      <formula>SUM($117:$117)=0</formula>
    </cfRule>
  </conditionalFormatting>
  <hyperlinks>
    <hyperlink ref="G8" location="'WP Index'!E76" display="Back to Workpaper Index" xr:uid="{00000000-0004-0000-2D00-000000000000}"/>
    <hyperlink ref="G8:I8" location="WPIndex!A1" display="Back to WP Index" xr:uid="{00000000-0004-0000-2D00-000001000000}"/>
  </hyperlinks>
  <printOptions horizontalCentered="1"/>
  <pageMargins left="0.59055118110236227" right="0.43307086614173229" top="0.6692913385826772" bottom="0.94488188976377963" header="0.51181102362204722" footer="0.39370078740157483"/>
  <pageSetup paperSize="9" fitToHeight="999"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41989" r:id="rId6" name="Button 5">
              <controlPr defaultSize="0" print="0" autoFill="0" autoPict="0" macro="[0]!Help_Investment_Income">
                <anchor moveWithCells="1">
                  <from>
                    <xdr:col>11</xdr:col>
                    <xdr:colOff>0</xdr:colOff>
                    <xdr:row>4</xdr:row>
                    <xdr:rowOff>0</xdr:rowOff>
                  </from>
                  <to>
                    <xdr:col>12</xdr:col>
                    <xdr:colOff>228600</xdr:colOff>
                    <xdr:row>6</xdr:row>
                    <xdr:rowOff>28575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Dividend_Summary_Sheet">
    <pageSetUpPr fitToPage="1"/>
  </sheetPr>
  <dimension ref="A1:O146"/>
  <sheetViews>
    <sheetView workbookViewId="0"/>
  </sheetViews>
  <sheetFormatPr defaultColWidth="9.140625" defaultRowHeight="12.75"/>
  <cols>
    <col min="1" max="1" width="19.85546875" style="1" customWidth="1"/>
    <col min="2" max="2" width="9.140625" style="1"/>
    <col min="3" max="3" width="7.42578125" style="1" customWidth="1"/>
    <col min="4" max="4" width="5.5703125" style="1" bestFit="1" customWidth="1"/>
    <col min="5" max="5" width="12.140625" style="1" customWidth="1"/>
    <col min="6" max="6" width="10.42578125" style="1" customWidth="1"/>
    <col min="7" max="7" width="10.85546875" style="1" customWidth="1"/>
    <col min="8" max="8" width="8.7109375" style="1" bestFit="1" customWidth="1"/>
    <col min="9" max="9" width="12.85546875" style="1" bestFit="1" customWidth="1"/>
    <col min="10" max="10" width="12" style="1" bestFit="1" customWidth="1"/>
    <col min="11" max="11" width="11.5703125" style="1" customWidth="1"/>
    <col min="12" max="12" width="12.42578125" style="1" customWidth="1"/>
    <col min="13" max="13" width="12.140625" style="1" customWidth="1"/>
    <col min="14" max="14" width="9.140625" style="10" hidden="1" customWidth="1"/>
    <col min="15" max="15" width="8.28515625" style="1" hidden="1" customWidth="1"/>
    <col min="16" max="16384" width="9.140625" style="1"/>
  </cols>
  <sheetData>
    <row r="1" spans="1:15" ht="15.75">
      <c r="A1" s="740"/>
      <c r="B1" s="740"/>
      <c r="C1" s="740"/>
      <c r="D1" s="40"/>
      <c r="E1" s="40"/>
      <c r="F1" s="40"/>
      <c r="G1" s="40"/>
      <c r="H1" s="40"/>
      <c r="I1" s="40"/>
      <c r="L1" s="40"/>
      <c r="M1" s="2116"/>
      <c r="N1" s="736" t="s">
        <v>348</v>
      </c>
    </row>
    <row r="2" spans="1:15" s="32" customFormat="1">
      <c r="A2" s="206"/>
      <c r="K2" s="11"/>
      <c r="L2" s="11" t="s">
        <v>331</v>
      </c>
      <c r="M2" s="709" t="s">
        <v>1262</v>
      </c>
      <c r="N2" s="33">
        <v>10</v>
      </c>
    </row>
    <row r="3" spans="1:15" s="32" customFormat="1" ht="17.25" customHeight="1">
      <c r="A3" s="206"/>
      <c r="K3" s="71" t="s">
        <v>332</v>
      </c>
      <c r="L3" s="2105" t="str">
        <f>IF(PreparedBy="","",PreparedBy)</f>
        <v/>
      </c>
      <c r="M3" s="2106" t="str">
        <f>IF(DatePrepared="","",DatePrepared)</f>
        <v/>
      </c>
      <c r="N3" s="33">
        <v>20</v>
      </c>
    </row>
    <row r="4" spans="1:15" s="32" customFormat="1" ht="17.25" customHeight="1">
      <c r="A4" s="206"/>
      <c r="K4" s="71" t="s">
        <v>333</v>
      </c>
      <c r="L4" s="2107"/>
      <c r="M4" s="2108"/>
      <c r="N4" s="33">
        <v>30</v>
      </c>
    </row>
    <row r="5" spans="1:15" s="32" customFormat="1" ht="3.95" customHeight="1">
      <c r="A5" s="206"/>
      <c r="B5" s="43"/>
      <c r="C5" s="43"/>
      <c r="D5" s="43"/>
      <c r="E5" s="43"/>
      <c r="N5" s="33"/>
    </row>
    <row r="6" spans="1:15" ht="15.75">
      <c r="A6" s="3704" t="str">
        <f>WP_Dividend_Summary</f>
        <v>Dividend Summary</v>
      </c>
      <c r="B6" s="3705"/>
      <c r="C6" s="3705"/>
      <c r="D6" s="3705"/>
      <c r="E6" s="3705"/>
      <c r="F6" s="3705"/>
      <c r="G6" s="3705"/>
      <c r="H6" s="3705"/>
      <c r="I6" s="3705"/>
      <c r="J6" s="3705"/>
      <c r="K6" s="3705"/>
      <c r="L6" s="3705"/>
      <c r="M6" s="3706"/>
      <c r="N6" s="736" t="s">
        <v>349</v>
      </c>
    </row>
    <row r="7" spans="1:15">
      <c r="A7" s="8"/>
      <c r="B7" s="8"/>
      <c r="C7" s="8"/>
      <c r="D7" s="8"/>
      <c r="E7" s="8"/>
      <c r="F7" s="8"/>
      <c r="G7" s="8"/>
      <c r="H7" s="8"/>
      <c r="I7" s="8"/>
      <c r="L7" s="3832" t="s">
        <v>1039</v>
      </c>
      <c r="M7" s="3832"/>
      <c r="N7" s="10">
        <v>1</v>
      </c>
    </row>
    <row r="8" spans="1:15" ht="15.75">
      <c r="A8" s="222" t="str">
        <f>"CLIENT NAME:   "&amp;'WP Index'!E3</f>
        <v>CLIENT NAME:   Example Trust</v>
      </c>
      <c r="B8" s="8"/>
      <c r="C8" s="8"/>
      <c r="D8" s="8"/>
      <c r="E8" s="8"/>
      <c r="F8" s="8"/>
      <c r="G8" s="8"/>
      <c r="H8" s="8"/>
      <c r="I8" s="8"/>
      <c r="L8" s="8"/>
      <c r="M8" s="8"/>
    </row>
    <row r="9" spans="1:15">
      <c r="A9" s="9" t="str">
        <f>"CLIENT CODE:   "&amp;'WP Index'!E4</f>
        <v>CLIENT CODE:   99999</v>
      </c>
      <c r="B9" s="8"/>
      <c r="C9" s="8"/>
      <c r="D9" s="8"/>
      <c r="E9" s="8"/>
      <c r="F9" s="8"/>
      <c r="G9" s="8"/>
      <c r="H9" s="8"/>
      <c r="I9" s="8"/>
      <c r="L9" s="47" t="s">
        <v>951</v>
      </c>
      <c r="M9" s="47">
        <f>'WP Index'!G5</f>
        <v>45473</v>
      </c>
      <c r="N9" s="736" t="s">
        <v>350</v>
      </c>
    </row>
    <row r="10" spans="1:15">
      <c r="A10" s="8"/>
      <c r="B10" s="8"/>
      <c r="C10" s="8"/>
      <c r="D10" s="8"/>
      <c r="E10" s="8"/>
      <c r="F10" s="8"/>
      <c r="G10" s="8"/>
      <c r="H10" s="8"/>
      <c r="I10" s="8"/>
      <c r="J10" s="27"/>
      <c r="K10" s="8"/>
      <c r="N10" s="10">
        <f>INDEX(N2:N4,N7)</f>
        <v>10</v>
      </c>
    </row>
    <row r="11" spans="1:15">
      <c r="A11" s="54" t="s">
        <v>1442</v>
      </c>
      <c r="B11" s="8"/>
      <c r="C11" s="8"/>
      <c r="D11" s="8"/>
      <c r="E11" s="8"/>
      <c r="F11" s="8"/>
      <c r="G11" s="8"/>
      <c r="H11" s="8"/>
      <c r="I11" s="8"/>
      <c r="J11" s="27"/>
      <c r="K11" s="8"/>
    </row>
    <row r="12" spans="1:15">
      <c r="A12" s="151"/>
      <c r="B12" s="151"/>
      <c r="C12" s="151"/>
      <c r="D12" s="151"/>
      <c r="E12" s="151"/>
      <c r="F12" s="151"/>
      <c r="G12" s="151"/>
      <c r="H12" s="151"/>
      <c r="I12" s="151"/>
      <c r="J12" s="151"/>
      <c r="K12" s="151"/>
      <c r="L12" s="151"/>
      <c r="M12" s="151"/>
    </row>
    <row r="13" spans="1:15">
      <c r="A13" s="24"/>
      <c r="B13" s="25"/>
      <c r="C13" s="25"/>
      <c r="D13" s="25" t="s">
        <v>1438</v>
      </c>
      <c r="E13" s="25" t="s">
        <v>983</v>
      </c>
      <c r="F13" s="25" t="s">
        <v>1262</v>
      </c>
      <c r="G13" s="25" t="s">
        <v>984</v>
      </c>
      <c r="H13" s="198" t="s">
        <v>1133</v>
      </c>
      <c r="I13" s="328" t="s">
        <v>1134</v>
      </c>
      <c r="J13" s="199" t="s">
        <v>1129</v>
      </c>
      <c r="K13" s="16"/>
      <c r="L13" s="16"/>
      <c r="M13" s="26" t="s">
        <v>1135</v>
      </c>
      <c r="O13" s="6" t="s">
        <v>1286</v>
      </c>
    </row>
    <row r="14" spans="1:15">
      <c r="A14" s="21"/>
      <c r="B14" s="167"/>
      <c r="C14" s="168"/>
      <c r="D14" s="168" t="s">
        <v>1439</v>
      </c>
      <c r="E14" s="168" t="s">
        <v>1136</v>
      </c>
      <c r="F14" s="168" t="s">
        <v>1137</v>
      </c>
      <c r="G14" s="168" t="s">
        <v>1138</v>
      </c>
      <c r="H14" s="200" t="s">
        <v>1095</v>
      </c>
      <c r="I14" s="329" t="s">
        <v>1139</v>
      </c>
      <c r="J14" s="201" t="s">
        <v>984</v>
      </c>
      <c r="K14" s="168" t="s">
        <v>1158</v>
      </c>
      <c r="L14" s="168" t="s">
        <v>1174</v>
      </c>
      <c r="M14" s="202" t="s">
        <v>1061</v>
      </c>
    </row>
    <row r="15" spans="1:15">
      <c r="A15" s="11"/>
      <c r="B15" s="11"/>
      <c r="C15" s="11"/>
      <c r="D15" s="11"/>
      <c r="E15" s="11"/>
      <c r="F15" s="11"/>
      <c r="G15" s="11" t="s">
        <v>976</v>
      </c>
      <c r="H15" s="11" t="s">
        <v>1047</v>
      </c>
      <c r="I15" s="25" t="s">
        <v>976</v>
      </c>
      <c r="J15" s="25" t="s">
        <v>976</v>
      </c>
      <c r="K15" s="25" t="s">
        <v>976</v>
      </c>
      <c r="L15" s="25" t="s">
        <v>976</v>
      </c>
      <c r="M15" s="25" t="s">
        <v>976</v>
      </c>
    </row>
    <row r="16" spans="1:15">
      <c r="A16" s="27"/>
      <c r="B16" s="27"/>
      <c r="C16" s="27"/>
      <c r="D16" s="27"/>
      <c r="E16" s="27"/>
      <c r="F16" s="27"/>
      <c r="G16" s="27"/>
      <c r="H16" s="27"/>
      <c r="I16" s="27"/>
      <c r="J16" s="27"/>
      <c r="K16" s="27"/>
      <c r="L16" s="27"/>
      <c r="M16" s="27"/>
    </row>
    <row r="17" spans="1:13">
      <c r="A17" s="13" t="s">
        <v>1440</v>
      </c>
      <c r="B17" s="4071"/>
      <c r="C17" s="4071"/>
      <c r="D17" s="1662">
        <v>1</v>
      </c>
      <c r="E17" s="2117"/>
      <c r="F17" s="2118"/>
      <c r="G17" s="2119"/>
      <c r="H17" s="2120"/>
      <c r="I17" s="2121"/>
      <c r="J17" s="720">
        <f>E17*G17</f>
        <v>0</v>
      </c>
      <c r="K17" s="721">
        <f>J17-L17</f>
        <v>0</v>
      </c>
      <c r="L17" s="721">
        <f>J17*H17</f>
        <v>0</v>
      </c>
      <c r="M17" s="722">
        <f>L17*30/70</f>
        <v>0</v>
      </c>
    </row>
    <row r="18" spans="1:13">
      <c r="A18" s="13" t="s">
        <v>1441</v>
      </c>
      <c r="B18" s="4070"/>
      <c r="C18" s="4070"/>
      <c r="D18" s="1642">
        <v>2</v>
      </c>
      <c r="E18" s="2132"/>
      <c r="F18" s="2133"/>
      <c r="G18" s="2134"/>
      <c r="H18" s="2135"/>
      <c r="I18" s="2136"/>
      <c r="J18" s="723">
        <f>E18*G18</f>
        <v>0</v>
      </c>
      <c r="K18" s="724">
        <f>J18-L18</f>
        <v>0</v>
      </c>
      <c r="L18" s="724">
        <f>J18*H18</f>
        <v>0</v>
      </c>
      <c r="M18" s="725">
        <f>L18*30/70</f>
        <v>0</v>
      </c>
    </row>
    <row r="19" spans="1:13">
      <c r="A19" s="27"/>
      <c r="B19" s="27"/>
      <c r="C19" s="27"/>
      <c r="D19" s="27"/>
      <c r="E19" s="27"/>
      <c r="F19" s="330"/>
      <c r="G19" s="27"/>
      <c r="H19" s="27"/>
      <c r="I19" s="726">
        <f>SUBTOTAL(9,I17:I18)</f>
        <v>0</v>
      </c>
      <c r="J19" s="727">
        <f>SUBTOTAL(9,J17:J18)</f>
        <v>0</v>
      </c>
      <c r="K19" s="728">
        <f>SUBTOTAL(9,K17:K18)</f>
        <v>0</v>
      </c>
      <c r="L19" s="728">
        <f>SUBTOTAL(9,L17:L18)</f>
        <v>0</v>
      </c>
      <c r="M19" s="729">
        <f>SUBTOTAL(9,M17:M18)</f>
        <v>0</v>
      </c>
    </row>
    <row r="20" spans="1:13">
      <c r="A20" s="27"/>
      <c r="B20" s="27"/>
      <c r="C20" s="27"/>
      <c r="D20" s="27"/>
      <c r="E20" s="27"/>
      <c r="F20" s="330"/>
      <c r="G20" s="27"/>
      <c r="H20" s="27"/>
      <c r="I20" s="730"/>
      <c r="J20" s="730"/>
      <c r="K20" s="730"/>
      <c r="L20" s="730"/>
      <c r="M20" s="730"/>
    </row>
    <row r="21" spans="1:13">
      <c r="A21" s="13" t="s">
        <v>1440</v>
      </c>
      <c r="B21" s="4071"/>
      <c r="C21" s="4071"/>
      <c r="D21" s="1662">
        <v>1</v>
      </c>
      <c r="E21" s="2117"/>
      <c r="F21" s="2118"/>
      <c r="G21" s="2119"/>
      <c r="H21" s="2120"/>
      <c r="I21" s="2121"/>
      <c r="J21" s="720">
        <f>E21*G21</f>
        <v>0</v>
      </c>
      <c r="K21" s="721">
        <f>J21-L21</f>
        <v>0</v>
      </c>
      <c r="L21" s="721">
        <f>J21*H21</f>
        <v>0</v>
      </c>
      <c r="M21" s="722">
        <f>L21*30/70</f>
        <v>0</v>
      </c>
    </row>
    <row r="22" spans="1:13">
      <c r="A22" s="13" t="s">
        <v>1441</v>
      </c>
      <c r="B22" s="4070"/>
      <c r="C22" s="4070"/>
      <c r="D22" s="1642">
        <v>2</v>
      </c>
      <c r="E22" s="2132"/>
      <c r="F22" s="2133"/>
      <c r="G22" s="2134"/>
      <c r="H22" s="2135"/>
      <c r="I22" s="2136"/>
      <c r="J22" s="723">
        <f>E22*G22</f>
        <v>0</v>
      </c>
      <c r="K22" s="724">
        <f>J22-L22</f>
        <v>0</v>
      </c>
      <c r="L22" s="724">
        <f>J22*H22</f>
        <v>0</v>
      </c>
      <c r="M22" s="725">
        <f>L22*30/70</f>
        <v>0</v>
      </c>
    </row>
    <row r="23" spans="1:13">
      <c r="A23" s="27"/>
      <c r="B23" s="27"/>
      <c r="C23" s="27"/>
      <c r="D23" s="27"/>
      <c r="E23" s="27"/>
      <c r="F23" s="330"/>
      <c r="G23" s="27"/>
      <c r="H23" s="27"/>
      <c r="I23" s="726">
        <f>SUBTOTAL(9,I21:I22)</f>
        <v>0</v>
      </c>
      <c r="J23" s="727">
        <f>SUBTOTAL(9,J21:J22)</f>
        <v>0</v>
      </c>
      <c r="K23" s="728">
        <f>SUBTOTAL(9,K21:K22)</f>
        <v>0</v>
      </c>
      <c r="L23" s="728">
        <f>SUBTOTAL(9,L21:L22)</f>
        <v>0</v>
      </c>
      <c r="M23" s="729">
        <f>SUBTOTAL(9,M21:M22)</f>
        <v>0</v>
      </c>
    </row>
    <row r="24" spans="1:13">
      <c r="A24" s="27"/>
      <c r="B24" s="27"/>
      <c r="C24" s="27"/>
      <c r="D24" s="27"/>
      <c r="E24" s="27"/>
      <c r="F24" s="330"/>
      <c r="G24" s="27"/>
      <c r="H24" s="27"/>
      <c r="I24" s="730"/>
      <c r="J24" s="730"/>
      <c r="K24" s="730"/>
      <c r="L24" s="730"/>
      <c r="M24" s="730"/>
    </row>
    <row r="25" spans="1:13">
      <c r="A25" s="13" t="s">
        <v>1440</v>
      </c>
      <c r="B25" s="4071"/>
      <c r="C25" s="4071"/>
      <c r="D25" s="1662">
        <v>1</v>
      </c>
      <c r="E25" s="2117"/>
      <c r="F25" s="2118"/>
      <c r="G25" s="2119"/>
      <c r="H25" s="2120"/>
      <c r="I25" s="2121"/>
      <c r="J25" s="720">
        <f>E25*G25</f>
        <v>0</v>
      </c>
      <c r="K25" s="721">
        <f>J25-L25</f>
        <v>0</v>
      </c>
      <c r="L25" s="721">
        <f>J25*H25</f>
        <v>0</v>
      </c>
      <c r="M25" s="722">
        <f>L25*30/70</f>
        <v>0</v>
      </c>
    </row>
    <row r="26" spans="1:13">
      <c r="A26" s="13" t="s">
        <v>1441</v>
      </c>
      <c r="B26" s="4070"/>
      <c r="C26" s="4070"/>
      <c r="D26" s="1642">
        <v>2</v>
      </c>
      <c r="E26" s="2132"/>
      <c r="F26" s="2133"/>
      <c r="G26" s="2134"/>
      <c r="H26" s="2135"/>
      <c r="I26" s="2136"/>
      <c r="J26" s="723">
        <f>E26*G26</f>
        <v>0</v>
      </c>
      <c r="K26" s="724">
        <f>J26-L26</f>
        <v>0</v>
      </c>
      <c r="L26" s="724">
        <f>J26*H26</f>
        <v>0</v>
      </c>
      <c r="M26" s="725">
        <f>L26*30/70</f>
        <v>0</v>
      </c>
    </row>
    <row r="27" spans="1:13">
      <c r="A27" s="27"/>
      <c r="B27" s="27"/>
      <c r="C27" s="27"/>
      <c r="D27" s="27"/>
      <c r="E27" s="27"/>
      <c r="F27" s="330"/>
      <c r="G27" s="27"/>
      <c r="H27" s="27"/>
      <c r="I27" s="726">
        <f>SUBTOTAL(9,I25:I26)</f>
        <v>0</v>
      </c>
      <c r="J27" s="727">
        <f>SUBTOTAL(9,J25:J26)</f>
        <v>0</v>
      </c>
      <c r="K27" s="728">
        <f>SUBTOTAL(9,K25:K26)</f>
        <v>0</v>
      </c>
      <c r="L27" s="728">
        <f>SUBTOTAL(9,L25:L26)</f>
        <v>0</v>
      </c>
      <c r="M27" s="729">
        <f>SUBTOTAL(9,M25:M26)</f>
        <v>0</v>
      </c>
    </row>
    <row r="28" spans="1:13">
      <c r="A28" s="27"/>
      <c r="B28" s="27"/>
      <c r="C28" s="27"/>
      <c r="D28" s="27"/>
      <c r="E28" s="27"/>
      <c r="F28" s="330"/>
      <c r="G28" s="27"/>
      <c r="H28" s="27"/>
      <c r="I28" s="730"/>
      <c r="J28" s="730"/>
      <c r="K28" s="730"/>
      <c r="L28" s="730"/>
      <c r="M28" s="730"/>
    </row>
    <row r="29" spans="1:13">
      <c r="A29" s="13" t="s">
        <v>1440</v>
      </c>
      <c r="B29" s="4071"/>
      <c r="C29" s="4071"/>
      <c r="D29" s="1662">
        <v>1</v>
      </c>
      <c r="E29" s="2117"/>
      <c r="F29" s="2118"/>
      <c r="G29" s="2119"/>
      <c r="H29" s="2120"/>
      <c r="I29" s="2121"/>
      <c r="J29" s="720">
        <f>E29*G29</f>
        <v>0</v>
      </c>
      <c r="K29" s="721">
        <f>J29-L29</f>
        <v>0</v>
      </c>
      <c r="L29" s="721">
        <f>J29*H29</f>
        <v>0</v>
      </c>
      <c r="M29" s="722">
        <f>L29*30/70</f>
        <v>0</v>
      </c>
    </row>
    <row r="30" spans="1:13">
      <c r="A30" s="13" t="s">
        <v>1441</v>
      </c>
      <c r="B30" s="4070"/>
      <c r="C30" s="4070"/>
      <c r="D30" s="1642">
        <v>2</v>
      </c>
      <c r="E30" s="2132"/>
      <c r="F30" s="2133"/>
      <c r="G30" s="2134"/>
      <c r="H30" s="2135"/>
      <c r="I30" s="2136"/>
      <c r="J30" s="723">
        <f>E30*G30</f>
        <v>0</v>
      </c>
      <c r="K30" s="724">
        <f>J30-L30</f>
        <v>0</v>
      </c>
      <c r="L30" s="724">
        <f>J30*H30</f>
        <v>0</v>
      </c>
      <c r="M30" s="725">
        <f>L30*30/70</f>
        <v>0</v>
      </c>
    </row>
    <row r="31" spans="1:13">
      <c r="A31" s="27"/>
      <c r="B31" s="27"/>
      <c r="C31" s="27"/>
      <c r="D31" s="27"/>
      <c r="E31" s="27"/>
      <c r="F31" s="330"/>
      <c r="G31" s="27"/>
      <c r="H31" s="27"/>
      <c r="I31" s="726">
        <f>SUBTOTAL(9,I29:I30)</f>
        <v>0</v>
      </c>
      <c r="J31" s="727">
        <f>SUBTOTAL(9,J29:J30)</f>
        <v>0</v>
      </c>
      <c r="K31" s="728">
        <f>SUBTOTAL(9,K29:K30)</f>
        <v>0</v>
      </c>
      <c r="L31" s="728">
        <f>SUBTOTAL(9,L29:L30)</f>
        <v>0</v>
      </c>
      <c r="M31" s="729">
        <f>SUBTOTAL(9,M29:M30)</f>
        <v>0</v>
      </c>
    </row>
    <row r="32" spans="1:13">
      <c r="A32" s="27"/>
      <c r="B32" s="27"/>
      <c r="C32" s="27"/>
      <c r="D32" s="27"/>
      <c r="E32" s="27"/>
      <c r="F32" s="330"/>
      <c r="G32" s="27"/>
      <c r="H32" s="27"/>
      <c r="I32" s="730"/>
      <c r="J32" s="730"/>
      <c r="K32" s="730"/>
      <c r="L32" s="730"/>
      <c r="M32" s="730"/>
    </row>
    <row r="33" spans="1:13">
      <c r="A33" s="13" t="s">
        <v>1440</v>
      </c>
      <c r="B33" s="4071"/>
      <c r="C33" s="4071"/>
      <c r="D33" s="1662">
        <v>1</v>
      </c>
      <c r="E33" s="2117"/>
      <c r="F33" s="2118"/>
      <c r="G33" s="2119"/>
      <c r="H33" s="2120"/>
      <c r="I33" s="2121"/>
      <c r="J33" s="720">
        <f>E33*G33</f>
        <v>0</v>
      </c>
      <c r="K33" s="721">
        <f>J33-L33</f>
        <v>0</v>
      </c>
      <c r="L33" s="721">
        <f>J33*H33</f>
        <v>0</v>
      </c>
      <c r="M33" s="722">
        <f>L33*30/70</f>
        <v>0</v>
      </c>
    </row>
    <row r="34" spans="1:13">
      <c r="A34" s="13" t="s">
        <v>1441</v>
      </c>
      <c r="B34" s="4070"/>
      <c r="C34" s="4070"/>
      <c r="D34" s="1642">
        <v>2</v>
      </c>
      <c r="E34" s="2132"/>
      <c r="F34" s="2133"/>
      <c r="G34" s="2134"/>
      <c r="H34" s="2135"/>
      <c r="I34" s="2136"/>
      <c r="J34" s="723">
        <f>E34*G34</f>
        <v>0</v>
      </c>
      <c r="K34" s="724">
        <f>J34-L34</f>
        <v>0</v>
      </c>
      <c r="L34" s="724">
        <f>J34*H34</f>
        <v>0</v>
      </c>
      <c r="M34" s="725">
        <f>L34*30/70</f>
        <v>0</v>
      </c>
    </row>
    <row r="35" spans="1:13">
      <c r="A35" s="27"/>
      <c r="B35" s="27"/>
      <c r="C35" s="27"/>
      <c r="D35" s="27"/>
      <c r="E35" s="27"/>
      <c r="F35" s="330"/>
      <c r="G35" s="27"/>
      <c r="H35" s="27"/>
      <c r="I35" s="726">
        <f>SUBTOTAL(9,I33:I34)</f>
        <v>0</v>
      </c>
      <c r="J35" s="727">
        <f>SUBTOTAL(9,J33:J34)</f>
        <v>0</v>
      </c>
      <c r="K35" s="728">
        <f>SUBTOTAL(9,K33:K34)</f>
        <v>0</v>
      </c>
      <c r="L35" s="728">
        <f>SUBTOTAL(9,L33:L34)</f>
        <v>0</v>
      </c>
      <c r="M35" s="729">
        <f>SUBTOTAL(9,M33:M34)</f>
        <v>0</v>
      </c>
    </row>
    <row r="36" spans="1:13">
      <c r="A36" s="27"/>
      <c r="B36" s="27"/>
      <c r="C36" s="27"/>
      <c r="D36" s="27"/>
      <c r="E36" s="27"/>
      <c r="F36" s="330"/>
      <c r="G36" s="27"/>
      <c r="H36" s="27"/>
      <c r="I36" s="730"/>
      <c r="J36" s="730"/>
      <c r="K36" s="730"/>
      <c r="L36" s="730"/>
      <c r="M36" s="730"/>
    </row>
    <row r="37" spans="1:13">
      <c r="A37" s="13" t="s">
        <v>1440</v>
      </c>
      <c r="B37" s="4071"/>
      <c r="C37" s="4071"/>
      <c r="D37" s="1662">
        <v>1</v>
      </c>
      <c r="E37" s="2117"/>
      <c r="F37" s="2118"/>
      <c r="G37" s="2119"/>
      <c r="H37" s="2120"/>
      <c r="I37" s="2121"/>
      <c r="J37" s="720">
        <f>E37*G37</f>
        <v>0</v>
      </c>
      <c r="K37" s="721">
        <f>J37-L37</f>
        <v>0</v>
      </c>
      <c r="L37" s="721">
        <f>J37*H37</f>
        <v>0</v>
      </c>
      <c r="M37" s="722">
        <f>L37*30/70</f>
        <v>0</v>
      </c>
    </row>
    <row r="38" spans="1:13">
      <c r="A38" s="13" t="s">
        <v>1441</v>
      </c>
      <c r="B38" s="4070"/>
      <c r="C38" s="4070"/>
      <c r="D38" s="1642">
        <v>2</v>
      </c>
      <c r="E38" s="2132"/>
      <c r="F38" s="2133"/>
      <c r="G38" s="2134"/>
      <c r="H38" s="2135"/>
      <c r="I38" s="2136"/>
      <c r="J38" s="723">
        <f>E38*G38</f>
        <v>0</v>
      </c>
      <c r="K38" s="724">
        <f>J38-L38</f>
        <v>0</v>
      </c>
      <c r="L38" s="724">
        <f>J38*H38</f>
        <v>0</v>
      </c>
      <c r="M38" s="725">
        <f>L38*30/70</f>
        <v>0</v>
      </c>
    </row>
    <row r="39" spans="1:13">
      <c r="A39" s="27"/>
      <c r="B39" s="27"/>
      <c r="C39" s="27"/>
      <c r="D39" s="27"/>
      <c r="E39" s="27"/>
      <c r="F39" s="330"/>
      <c r="G39" s="27"/>
      <c r="H39" s="27"/>
      <c r="I39" s="726">
        <f>SUBTOTAL(9,I37:I38)</f>
        <v>0</v>
      </c>
      <c r="J39" s="727">
        <f>SUBTOTAL(9,J37:J38)</f>
        <v>0</v>
      </c>
      <c r="K39" s="728">
        <f>SUBTOTAL(9,K37:K38)</f>
        <v>0</v>
      </c>
      <c r="L39" s="728">
        <f>SUBTOTAL(9,L37:L38)</f>
        <v>0</v>
      </c>
      <c r="M39" s="729">
        <f>SUBTOTAL(9,M37:M38)</f>
        <v>0</v>
      </c>
    </row>
    <row r="40" spans="1:13">
      <c r="A40" s="27"/>
      <c r="B40" s="27"/>
      <c r="C40" s="27"/>
      <c r="D40" s="27"/>
      <c r="E40" s="27"/>
      <c r="F40" s="330"/>
      <c r="G40" s="27"/>
      <c r="H40" s="27"/>
      <c r="I40" s="730"/>
      <c r="J40" s="730"/>
      <c r="K40" s="730"/>
      <c r="L40" s="730"/>
      <c r="M40" s="730"/>
    </row>
    <row r="41" spans="1:13">
      <c r="A41" s="13" t="s">
        <v>1440</v>
      </c>
      <c r="B41" s="4071"/>
      <c r="C41" s="4071"/>
      <c r="D41" s="1662">
        <v>1</v>
      </c>
      <c r="E41" s="2117"/>
      <c r="F41" s="2118"/>
      <c r="G41" s="2119"/>
      <c r="H41" s="2120"/>
      <c r="I41" s="2121"/>
      <c r="J41" s="720">
        <f>E41*G41</f>
        <v>0</v>
      </c>
      <c r="K41" s="721">
        <f>J41-L41</f>
        <v>0</v>
      </c>
      <c r="L41" s="721">
        <f>J41*H41</f>
        <v>0</v>
      </c>
      <c r="M41" s="722">
        <f>L41*30/70</f>
        <v>0</v>
      </c>
    </row>
    <row r="42" spans="1:13">
      <c r="A42" s="13" t="s">
        <v>1441</v>
      </c>
      <c r="B42" s="4070"/>
      <c r="C42" s="4070"/>
      <c r="D42" s="1642">
        <v>2</v>
      </c>
      <c r="E42" s="2132"/>
      <c r="F42" s="2133"/>
      <c r="G42" s="2134"/>
      <c r="H42" s="2135"/>
      <c r="I42" s="2136"/>
      <c r="J42" s="723">
        <f>E42*G42</f>
        <v>0</v>
      </c>
      <c r="K42" s="724">
        <f>J42-L42</f>
        <v>0</v>
      </c>
      <c r="L42" s="724">
        <f>J42*H42</f>
        <v>0</v>
      </c>
      <c r="M42" s="725">
        <f>L42*30/70</f>
        <v>0</v>
      </c>
    </row>
    <row r="43" spans="1:13">
      <c r="A43" s="27"/>
      <c r="B43" s="27"/>
      <c r="C43" s="27"/>
      <c r="D43" s="27"/>
      <c r="E43" s="27"/>
      <c r="F43" s="330"/>
      <c r="G43" s="27"/>
      <c r="H43" s="27"/>
      <c r="I43" s="726">
        <f>SUBTOTAL(9,I41:I42)</f>
        <v>0</v>
      </c>
      <c r="J43" s="727">
        <f>SUBTOTAL(9,J41:J42)</f>
        <v>0</v>
      </c>
      <c r="K43" s="728">
        <f>SUBTOTAL(9,K41:K42)</f>
        <v>0</v>
      </c>
      <c r="L43" s="728">
        <f>SUBTOTAL(9,L41:L42)</f>
        <v>0</v>
      </c>
      <c r="M43" s="729">
        <f>SUBTOTAL(9,M41:M42)</f>
        <v>0</v>
      </c>
    </row>
    <row r="44" spans="1:13">
      <c r="A44" s="27"/>
      <c r="B44" s="27"/>
      <c r="C44" s="27"/>
      <c r="D44" s="27"/>
      <c r="E44" s="27"/>
      <c r="F44" s="330"/>
      <c r="G44" s="27"/>
      <c r="H44" s="27"/>
      <c r="I44" s="730"/>
      <c r="J44" s="730"/>
      <c r="K44" s="730"/>
      <c r="L44" s="730"/>
      <c r="M44" s="730"/>
    </row>
    <row r="45" spans="1:13">
      <c r="A45" s="13" t="s">
        <v>1440</v>
      </c>
      <c r="B45" s="4071"/>
      <c r="C45" s="4071"/>
      <c r="D45" s="1662">
        <v>1</v>
      </c>
      <c r="E45" s="2117"/>
      <c r="F45" s="2118"/>
      <c r="G45" s="2119"/>
      <c r="H45" s="2120"/>
      <c r="I45" s="2121"/>
      <c r="J45" s="720">
        <f>E45*G45</f>
        <v>0</v>
      </c>
      <c r="K45" s="721">
        <f>J45-L45</f>
        <v>0</v>
      </c>
      <c r="L45" s="721">
        <f>J45*H45</f>
        <v>0</v>
      </c>
      <c r="M45" s="722">
        <f>L45*30/70</f>
        <v>0</v>
      </c>
    </row>
    <row r="46" spans="1:13">
      <c r="A46" s="13" t="s">
        <v>1441</v>
      </c>
      <c r="B46" s="4070"/>
      <c r="C46" s="4070"/>
      <c r="D46" s="1642">
        <v>2</v>
      </c>
      <c r="E46" s="2132"/>
      <c r="F46" s="2133"/>
      <c r="G46" s="2134"/>
      <c r="H46" s="2135"/>
      <c r="I46" s="2136"/>
      <c r="J46" s="723">
        <f>E46*G46</f>
        <v>0</v>
      </c>
      <c r="K46" s="724">
        <f>J46-L46</f>
        <v>0</v>
      </c>
      <c r="L46" s="724">
        <f>J46*H46</f>
        <v>0</v>
      </c>
      <c r="M46" s="725">
        <f>L46*30/70</f>
        <v>0</v>
      </c>
    </row>
    <row r="47" spans="1:13">
      <c r="A47" s="27"/>
      <c r="B47" s="27"/>
      <c r="C47" s="27"/>
      <c r="D47" s="27"/>
      <c r="E47" s="27"/>
      <c r="F47" s="330"/>
      <c r="G47" s="27"/>
      <c r="H47" s="27"/>
      <c r="I47" s="726">
        <f>SUBTOTAL(9,I45:I46)</f>
        <v>0</v>
      </c>
      <c r="J47" s="727">
        <f>SUBTOTAL(9,J45:J46)</f>
        <v>0</v>
      </c>
      <c r="K47" s="728">
        <f>SUBTOTAL(9,K45:K46)</f>
        <v>0</v>
      </c>
      <c r="L47" s="728">
        <f>SUBTOTAL(9,L45:L46)</f>
        <v>0</v>
      </c>
      <c r="M47" s="729">
        <f>SUBTOTAL(9,M45:M46)</f>
        <v>0</v>
      </c>
    </row>
    <row r="48" spans="1:13">
      <c r="A48" s="27"/>
      <c r="B48" s="27"/>
      <c r="C48" s="27"/>
      <c r="D48" s="27"/>
      <c r="E48" s="27"/>
      <c r="F48" s="330"/>
      <c r="G48" s="27"/>
      <c r="H48" s="27"/>
      <c r="I48" s="730"/>
      <c r="J48" s="730"/>
      <c r="K48" s="730"/>
      <c r="L48" s="730"/>
      <c r="M48" s="730"/>
    </row>
    <row r="49" spans="1:13">
      <c r="A49" s="13" t="s">
        <v>1440</v>
      </c>
      <c r="B49" s="4071"/>
      <c r="C49" s="4071"/>
      <c r="D49" s="1662">
        <v>1</v>
      </c>
      <c r="E49" s="2117"/>
      <c r="F49" s="2118"/>
      <c r="G49" s="2119"/>
      <c r="H49" s="2120"/>
      <c r="I49" s="2121"/>
      <c r="J49" s="720">
        <f>E49*G49</f>
        <v>0</v>
      </c>
      <c r="K49" s="721">
        <f>J49-L49</f>
        <v>0</v>
      </c>
      <c r="L49" s="721">
        <f>J49*H49</f>
        <v>0</v>
      </c>
      <c r="M49" s="722">
        <f>L49*30/70</f>
        <v>0</v>
      </c>
    </row>
    <row r="50" spans="1:13">
      <c r="A50" s="13" t="s">
        <v>1441</v>
      </c>
      <c r="B50" s="4070"/>
      <c r="C50" s="4070"/>
      <c r="D50" s="1642">
        <v>2</v>
      </c>
      <c r="E50" s="2132"/>
      <c r="F50" s="2133"/>
      <c r="G50" s="2134"/>
      <c r="H50" s="2135"/>
      <c r="I50" s="2136"/>
      <c r="J50" s="723">
        <f>E50*G50</f>
        <v>0</v>
      </c>
      <c r="K50" s="724">
        <f>J50-L50</f>
        <v>0</v>
      </c>
      <c r="L50" s="724">
        <f>J50*H50</f>
        <v>0</v>
      </c>
      <c r="M50" s="725">
        <f>L50*30/70</f>
        <v>0</v>
      </c>
    </row>
    <row r="51" spans="1:13">
      <c r="A51" s="27"/>
      <c r="B51" s="27"/>
      <c r="C51" s="27"/>
      <c r="D51" s="27"/>
      <c r="E51" s="27"/>
      <c r="F51" s="330"/>
      <c r="G51" s="27"/>
      <c r="H51" s="27"/>
      <c r="I51" s="726">
        <f>SUBTOTAL(9,I49:I50)</f>
        <v>0</v>
      </c>
      <c r="J51" s="727">
        <f>SUBTOTAL(9,J49:J50)</f>
        <v>0</v>
      </c>
      <c r="K51" s="728">
        <f>SUBTOTAL(9,K49:K50)</f>
        <v>0</v>
      </c>
      <c r="L51" s="728">
        <f>SUBTOTAL(9,L49:L50)</f>
        <v>0</v>
      </c>
      <c r="M51" s="729">
        <f>SUBTOTAL(9,M49:M50)</f>
        <v>0</v>
      </c>
    </row>
    <row r="52" spans="1:13">
      <c r="A52" s="27"/>
      <c r="B52" s="27"/>
      <c r="C52" s="27"/>
      <c r="D52" s="27"/>
      <c r="E52" s="27"/>
      <c r="F52" s="330"/>
      <c r="G52" s="27"/>
      <c r="H52" s="27"/>
      <c r="I52" s="730"/>
      <c r="J52" s="730"/>
      <c r="K52" s="730"/>
      <c r="L52" s="730"/>
      <c r="M52" s="730"/>
    </row>
    <row r="53" spans="1:13">
      <c r="A53" s="13" t="s">
        <v>1440</v>
      </c>
      <c r="B53" s="4071"/>
      <c r="C53" s="4071"/>
      <c r="D53" s="1662">
        <v>1</v>
      </c>
      <c r="E53" s="2117"/>
      <c r="F53" s="2118"/>
      <c r="G53" s="2119"/>
      <c r="H53" s="2120"/>
      <c r="I53" s="2121"/>
      <c r="J53" s="720">
        <f>E53*G53</f>
        <v>0</v>
      </c>
      <c r="K53" s="721">
        <f>J53-L53</f>
        <v>0</v>
      </c>
      <c r="L53" s="721">
        <f>J53*H53</f>
        <v>0</v>
      </c>
      <c r="M53" s="722">
        <f>L53*30/70</f>
        <v>0</v>
      </c>
    </row>
    <row r="54" spans="1:13">
      <c r="A54" s="13" t="s">
        <v>1441</v>
      </c>
      <c r="B54" s="4070"/>
      <c r="C54" s="4070"/>
      <c r="D54" s="1642">
        <v>2</v>
      </c>
      <c r="E54" s="2132"/>
      <c r="F54" s="2133"/>
      <c r="G54" s="2134"/>
      <c r="H54" s="2135"/>
      <c r="I54" s="2136"/>
      <c r="J54" s="723">
        <f>E54*G54</f>
        <v>0</v>
      </c>
      <c r="K54" s="724">
        <f>J54-L54</f>
        <v>0</v>
      </c>
      <c r="L54" s="724">
        <f>J54*H54</f>
        <v>0</v>
      </c>
      <c r="M54" s="725">
        <f>L54*30/70</f>
        <v>0</v>
      </c>
    </row>
    <row r="55" spans="1:13">
      <c r="A55" s="27"/>
      <c r="B55" s="27"/>
      <c r="C55" s="27"/>
      <c r="D55" s="27"/>
      <c r="E55" s="27"/>
      <c r="F55" s="330"/>
      <c r="G55" s="27"/>
      <c r="H55" s="27"/>
      <c r="I55" s="726">
        <f>SUBTOTAL(9,I53:I54)</f>
        <v>0</v>
      </c>
      <c r="J55" s="727">
        <f>SUBTOTAL(9,J53:J54)</f>
        <v>0</v>
      </c>
      <c r="K55" s="728">
        <f>SUBTOTAL(9,K53:K54)</f>
        <v>0</v>
      </c>
      <c r="L55" s="728">
        <f>SUBTOTAL(9,L53:L54)</f>
        <v>0</v>
      </c>
      <c r="M55" s="729">
        <f>SUBTOTAL(9,M53:M54)</f>
        <v>0</v>
      </c>
    </row>
    <row r="56" spans="1:13">
      <c r="A56" s="27"/>
      <c r="B56" s="27"/>
      <c r="C56" s="27"/>
      <c r="D56" s="27"/>
      <c r="E56" s="27"/>
      <c r="F56" s="330"/>
      <c r="G56" s="27"/>
      <c r="H56" s="27"/>
      <c r="I56" s="730"/>
      <c r="J56" s="730"/>
      <c r="K56" s="730"/>
      <c r="L56" s="730"/>
      <c r="M56" s="730"/>
    </row>
    <row r="57" spans="1:13">
      <c r="A57" s="13" t="s">
        <v>1440</v>
      </c>
      <c r="B57" s="4071"/>
      <c r="C57" s="4071"/>
      <c r="D57" s="1662">
        <v>1</v>
      </c>
      <c r="E57" s="2117"/>
      <c r="F57" s="2118"/>
      <c r="G57" s="2119"/>
      <c r="H57" s="2120"/>
      <c r="I57" s="2121"/>
      <c r="J57" s="720">
        <f>E57*G57</f>
        <v>0</v>
      </c>
      <c r="K57" s="721">
        <f>J57-L57</f>
        <v>0</v>
      </c>
      <c r="L57" s="721">
        <f>J57*H57</f>
        <v>0</v>
      </c>
      <c r="M57" s="722">
        <f>L57*30/70</f>
        <v>0</v>
      </c>
    </row>
    <row r="58" spans="1:13">
      <c r="A58" s="13" t="s">
        <v>1441</v>
      </c>
      <c r="B58" s="4070"/>
      <c r="C58" s="4070"/>
      <c r="D58" s="1642">
        <v>2</v>
      </c>
      <c r="E58" s="2132"/>
      <c r="F58" s="2133"/>
      <c r="G58" s="2134"/>
      <c r="H58" s="2135"/>
      <c r="I58" s="2136"/>
      <c r="J58" s="723">
        <f>E58*G58</f>
        <v>0</v>
      </c>
      <c r="K58" s="724">
        <f>J58-L58</f>
        <v>0</v>
      </c>
      <c r="L58" s="724">
        <f>J58*H58</f>
        <v>0</v>
      </c>
      <c r="M58" s="725">
        <f>L58*30/70</f>
        <v>0</v>
      </c>
    </row>
    <row r="59" spans="1:13">
      <c r="A59" s="27"/>
      <c r="B59" s="27"/>
      <c r="C59" s="27"/>
      <c r="D59" s="27"/>
      <c r="E59" s="27"/>
      <c r="F59" s="330"/>
      <c r="G59" s="27"/>
      <c r="H59" s="27"/>
      <c r="I59" s="726">
        <f>SUBTOTAL(9,I57:I58)</f>
        <v>0</v>
      </c>
      <c r="J59" s="727">
        <f>SUBTOTAL(9,J57:J58)</f>
        <v>0</v>
      </c>
      <c r="K59" s="728">
        <f>SUBTOTAL(9,K57:K58)</f>
        <v>0</v>
      </c>
      <c r="L59" s="728">
        <f>SUBTOTAL(9,L57:L58)</f>
        <v>0</v>
      </c>
      <c r="M59" s="729">
        <f>SUBTOTAL(9,M57:M58)</f>
        <v>0</v>
      </c>
    </row>
    <row r="60" spans="1:13">
      <c r="A60" s="27"/>
      <c r="B60" s="27"/>
      <c r="C60" s="27"/>
      <c r="D60" s="27"/>
      <c r="E60" s="27"/>
      <c r="F60" s="330"/>
      <c r="G60" s="27"/>
      <c r="H60" s="27"/>
      <c r="I60" s="730"/>
      <c r="J60" s="730"/>
      <c r="K60" s="730"/>
      <c r="L60" s="730"/>
      <c r="M60" s="730"/>
    </row>
    <row r="61" spans="1:13">
      <c r="A61" s="13" t="s">
        <v>1440</v>
      </c>
      <c r="B61" s="4072"/>
      <c r="C61" s="4072"/>
      <c r="D61" s="1662">
        <v>1</v>
      </c>
      <c r="E61" s="2137"/>
      <c r="F61" s="2138"/>
      <c r="G61" s="2139"/>
      <c r="H61" s="2140"/>
      <c r="I61" s="2141"/>
      <c r="J61" s="720">
        <f>E61*G61</f>
        <v>0</v>
      </c>
      <c r="K61" s="721">
        <f>J61-L61</f>
        <v>0</v>
      </c>
      <c r="L61" s="721">
        <f>J61*H61</f>
        <v>0</v>
      </c>
      <c r="M61" s="722">
        <f>L61*30/70</f>
        <v>0</v>
      </c>
    </row>
    <row r="62" spans="1:13">
      <c r="A62" s="13" t="s">
        <v>1441</v>
      </c>
      <c r="B62" s="4073"/>
      <c r="C62" s="4073"/>
      <c r="D62" s="1642">
        <v>2</v>
      </c>
      <c r="E62" s="2142"/>
      <c r="F62" s="2143"/>
      <c r="G62" s="2144"/>
      <c r="H62" s="2145"/>
      <c r="I62" s="2146"/>
      <c r="J62" s="723">
        <f>E62*G62</f>
        <v>0</v>
      </c>
      <c r="K62" s="724">
        <f>J62-L62</f>
        <v>0</v>
      </c>
      <c r="L62" s="724">
        <f>J62*H62</f>
        <v>0</v>
      </c>
      <c r="M62" s="725">
        <f>L62*30/70</f>
        <v>0</v>
      </c>
    </row>
    <row r="63" spans="1:13">
      <c r="A63" s="27"/>
      <c r="B63" s="27"/>
      <c r="C63" s="27"/>
      <c r="D63" s="27"/>
      <c r="E63" s="27"/>
      <c r="F63" s="330"/>
      <c r="G63" s="27"/>
      <c r="H63" s="27"/>
      <c r="I63" s="726">
        <f>SUBTOTAL(9,I61:I62)</f>
        <v>0</v>
      </c>
      <c r="J63" s="727">
        <f>SUBTOTAL(9,J61:J62)</f>
        <v>0</v>
      </c>
      <c r="K63" s="728">
        <f>SUBTOTAL(9,K61:K62)</f>
        <v>0</v>
      </c>
      <c r="L63" s="728">
        <f>SUBTOTAL(9,L61:L62)</f>
        <v>0</v>
      </c>
      <c r="M63" s="729">
        <f>SUBTOTAL(9,M61:M62)</f>
        <v>0</v>
      </c>
    </row>
    <row r="64" spans="1:13">
      <c r="A64" s="27"/>
      <c r="B64" s="27"/>
      <c r="C64" s="27"/>
      <c r="D64" s="27"/>
      <c r="E64" s="27"/>
      <c r="F64" s="330"/>
      <c r="G64" s="27"/>
      <c r="H64" s="27"/>
      <c r="I64" s="730"/>
      <c r="J64" s="730"/>
      <c r="K64" s="730"/>
      <c r="L64" s="730"/>
      <c r="M64" s="730"/>
    </row>
    <row r="65" spans="1:13">
      <c r="A65" s="13" t="s">
        <v>1440</v>
      </c>
      <c r="B65" s="4072"/>
      <c r="C65" s="4072"/>
      <c r="D65" s="1662">
        <v>1</v>
      </c>
      <c r="E65" s="2137"/>
      <c r="F65" s="2138"/>
      <c r="G65" s="2139"/>
      <c r="H65" s="2140"/>
      <c r="I65" s="2141"/>
      <c r="J65" s="720">
        <f>E65*G65</f>
        <v>0</v>
      </c>
      <c r="K65" s="721">
        <f>J65-L65</f>
        <v>0</v>
      </c>
      <c r="L65" s="721">
        <f>J65*H65</f>
        <v>0</v>
      </c>
      <c r="M65" s="722">
        <f>L65*30/70</f>
        <v>0</v>
      </c>
    </row>
    <row r="66" spans="1:13">
      <c r="A66" s="13" t="s">
        <v>1441</v>
      </c>
      <c r="B66" s="4073"/>
      <c r="C66" s="4073"/>
      <c r="D66" s="1642">
        <v>2</v>
      </c>
      <c r="E66" s="2142"/>
      <c r="F66" s="2143"/>
      <c r="G66" s="2144"/>
      <c r="H66" s="2145"/>
      <c r="I66" s="2146"/>
      <c r="J66" s="723">
        <f>E66*G66</f>
        <v>0</v>
      </c>
      <c r="K66" s="724">
        <f>J66-L66</f>
        <v>0</v>
      </c>
      <c r="L66" s="724">
        <f>J66*H66</f>
        <v>0</v>
      </c>
      <c r="M66" s="725">
        <f>L66*30/70</f>
        <v>0</v>
      </c>
    </row>
    <row r="67" spans="1:13">
      <c r="A67" s="27"/>
      <c r="B67" s="27"/>
      <c r="C67" s="27"/>
      <c r="D67" s="27"/>
      <c r="E67" s="27"/>
      <c r="F67" s="330"/>
      <c r="G67" s="27"/>
      <c r="H67" s="27"/>
      <c r="I67" s="726">
        <f>SUBTOTAL(9,I65:I66)</f>
        <v>0</v>
      </c>
      <c r="J67" s="727">
        <f>SUBTOTAL(9,J65:J66)</f>
        <v>0</v>
      </c>
      <c r="K67" s="728">
        <f>SUBTOTAL(9,K65:K66)</f>
        <v>0</v>
      </c>
      <c r="L67" s="728">
        <f>SUBTOTAL(9,L65:L66)</f>
        <v>0</v>
      </c>
      <c r="M67" s="729">
        <f>SUBTOTAL(9,M65:M66)</f>
        <v>0</v>
      </c>
    </row>
    <row r="68" spans="1:13">
      <c r="A68" s="27"/>
      <c r="B68" s="27"/>
      <c r="C68" s="27"/>
      <c r="D68" s="27"/>
      <c r="E68" s="27"/>
      <c r="F68" s="330"/>
      <c r="G68" s="27"/>
      <c r="H68" s="27"/>
      <c r="I68" s="730"/>
      <c r="J68" s="730"/>
      <c r="K68" s="730"/>
      <c r="L68" s="730"/>
      <c r="M68" s="730"/>
    </row>
    <row r="69" spans="1:13">
      <c r="A69" s="13" t="s">
        <v>1440</v>
      </c>
      <c r="B69" s="4072"/>
      <c r="C69" s="4072"/>
      <c r="D69" s="1662">
        <v>1</v>
      </c>
      <c r="E69" s="2137"/>
      <c r="F69" s="2138"/>
      <c r="G69" s="2139"/>
      <c r="H69" s="2140"/>
      <c r="I69" s="2141"/>
      <c r="J69" s="720">
        <f>E69*G69</f>
        <v>0</v>
      </c>
      <c r="K69" s="721">
        <f>J69-L69</f>
        <v>0</v>
      </c>
      <c r="L69" s="721">
        <f>J69*H69</f>
        <v>0</v>
      </c>
      <c r="M69" s="722">
        <f>L69*30/70</f>
        <v>0</v>
      </c>
    </row>
    <row r="70" spans="1:13">
      <c r="A70" s="13" t="s">
        <v>1441</v>
      </c>
      <c r="B70" s="4073"/>
      <c r="C70" s="4073"/>
      <c r="D70" s="1642">
        <v>2</v>
      </c>
      <c r="E70" s="2142"/>
      <c r="F70" s="2143"/>
      <c r="G70" s="2144"/>
      <c r="H70" s="2145"/>
      <c r="I70" s="2146"/>
      <c r="J70" s="723">
        <f>E70*G70</f>
        <v>0</v>
      </c>
      <c r="K70" s="724">
        <f>J70-L70</f>
        <v>0</v>
      </c>
      <c r="L70" s="724">
        <f>J70*H70</f>
        <v>0</v>
      </c>
      <c r="M70" s="725">
        <f>L70*30/70</f>
        <v>0</v>
      </c>
    </row>
    <row r="71" spans="1:13">
      <c r="A71" s="27"/>
      <c r="B71" s="27"/>
      <c r="C71" s="27"/>
      <c r="D71" s="27"/>
      <c r="E71" s="27"/>
      <c r="F71" s="330"/>
      <c r="G71" s="27"/>
      <c r="H71" s="27"/>
      <c r="I71" s="726">
        <f>SUBTOTAL(9,I69:I70)</f>
        <v>0</v>
      </c>
      <c r="J71" s="727">
        <f>SUBTOTAL(9,J69:J70)</f>
        <v>0</v>
      </c>
      <c r="K71" s="728">
        <f>SUBTOTAL(9,K69:K70)</f>
        <v>0</v>
      </c>
      <c r="L71" s="728">
        <f>SUBTOTAL(9,L69:L70)</f>
        <v>0</v>
      </c>
      <c r="M71" s="729">
        <f>SUBTOTAL(9,M69:M70)</f>
        <v>0</v>
      </c>
    </row>
    <row r="72" spans="1:13">
      <c r="A72" s="27"/>
      <c r="B72" s="27"/>
      <c r="C72" s="27"/>
      <c r="D72" s="27"/>
      <c r="E72" s="27"/>
      <c r="F72" s="330"/>
      <c r="G72" s="27"/>
      <c r="H72" s="27"/>
      <c r="I72" s="730"/>
      <c r="J72" s="730"/>
      <c r="K72" s="730"/>
      <c r="L72" s="730"/>
      <c r="M72" s="730"/>
    </row>
    <row r="73" spans="1:13">
      <c r="A73" s="13" t="s">
        <v>1440</v>
      </c>
      <c r="B73" s="4072"/>
      <c r="C73" s="4072"/>
      <c r="D73" s="1662">
        <v>1</v>
      </c>
      <c r="E73" s="2137"/>
      <c r="F73" s="2138"/>
      <c r="G73" s="2139"/>
      <c r="H73" s="2140"/>
      <c r="I73" s="2141"/>
      <c r="J73" s="720">
        <f>E73*G73</f>
        <v>0</v>
      </c>
      <c r="K73" s="721">
        <f>J73-L73</f>
        <v>0</v>
      </c>
      <c r="L73" s="721">
        <f>J73*H73</f>
        <v>0</v>
      </c>
      <c r="M73" s="722">
        <f>L73*30/70</f>
        <v>0</v>
      </c>
    </row>
    <row r="74" spans="1:13">
      <c r="A74" s="13" t="s">
        <v>1441</v>
      </c>
      <c r="B74" s="4073"/>
      <c r="C74" s="4073"/>
      <c r="D74" s="1642">
        <v>2</v>
      </c>
      <c r="E74" s="2142"/>
      <c r="F74" s="2143"/>
      <c r="G74" s="2144"/>
      <c r="H74" s="2145"/>
      <c r="I74" s="2146"/>
      <c r="J74" s="723">
        <f>E74*G74</f>
        <v>0</v>
      </c>
      <c r="K74" s="724">
        <f>J74-L74</f>
        <v>0</v>
      </c>
      <c r="L74" s="724">
        <f>J74*H74</f>
        <v>0</v>
      </c>
      <c r="M74" s="725">
        <f>L74*30/70</f>
        <v>0</v>
      </c>
    </row>
    <row r="75" spans="1:13">
      <c r="A75" s="27"/>
      <c r="B75" s="27"/>
      <c r="C75" s="27"/>
      <c r="D75" s="27"/>
      <c r="E75" s="27"/>
      <c r="F75" s="330"/>
      <c r="G75" s="27"/>
      <c r="H75" s="27"/>
      <c r="I75" s="726">
        <f>SUBTOTAL(9,I73:I74)</f>
        <v>0</v>
      </c>
      <c r="J75" s="727">
        <f>SUBTOTAL(9,J73:J74)</f>
        <v>0</v>
      </c>
      <c r="K75" s="728">
        <f>SUBTOTAL(9,K73:K74)</f>
        <v>0</v>
      </c>
      <c r="L75" s="728">
        <f>SUBTOTAL(9,L73:L74)</f>
        <v>0</v>
      </c>
      <c r="M75" s="729">
        <f>SUBTOTAL(9,M73:M74)</f>
        <v>0</v>
      </c>
    </row>
    <row r="76" spans="1:13">
      <c r="A76" s="27"/>
      <c r="B76" s="27"/>
      <c r="C76" s="27"/>
      <c r="D76" s="27"/>
      <c r="E76" s="27"/>
      <c r="F76" s="330"/>
      <c r="G76" s="27"/>
      <c r="H76" s="27"/>
      <c r="I76" s="730"/>
      <c r="J76" s="730"/>
      <c r="K76" s="730"/>
      <c r="L76" s="730"/>
      <c r="M76" s="730"/>
    </row>
    <row r="77" spans="1:13">
      <c r="A77" s="13" t="s">
        <v>1440</v>
      </c>
      <c r="B77" s="4072"/>
      <c r="C77" s="4072"/>
      <c r="D77" s="1662">
        <v>1</v>
      </c>
      <c r="E77" s="2137"/>
      <c r="F77" s="2138"/>
      <c r="G77" s="2139"/>
      <c r="H77" s="2140"/>
      <c r="I77" s="2141"/>
      <c r="J77" s="720">
        <f>E77*G77</f>
        <v>0</v>
      </c>
      <c r="K77" s="721">
        <f>J77-L77</f>
        <v>0</v>
      </c>
      <c r="L77" s="721">
        <f>J77*H77</f>
        <v>0</v>
      </c>
      <c r="M77" s="722">
        <f>L77*30/70</f>
        <v>0</v>
      </c>
    </row>
    <row r="78" spans="1:13">
      <c r="A78" s="13" t="s">
        <v>1441</v>
      </c>
      <c r="B78" s="4073"/>
      <c r="C78" s="4073"/>
      <c r="D78" s="1642">
        <v>2</v>
      </c>
      <c r="E78" s="2142"/>
      <c r="F78" s="2143"/>
      <c r="G78" s="2144"/>
      <c r="H78" s="2145"/>
      <c r="I78" s="2146"/>
      <c r="J78" s="723">
        <f>E78*G78</f>
        <v>0</v>
      </c>
      <c r="K78" s="724">
        <f>J78-L78</f>
        <v>0</v>
      </c>
      <c r="L78" s="724">
        <f>J78*H78</f>
        <v>0</v>
      </c>
      <c r="M78" s="725">
        <f>L78*30/70</f>
        <v>0</v>
      </c>
    </row>
    <row r="79" spans="1:13">
      <c r="A79" s="27"/>
      <c r="B79" s="27"/>
      <c r="C79" s="27"/>
      <c r="D79" s="27"/>
      <c r="E79" s="27"/>
      <c r="F79" s="330"/>
      <c r="G79" s="27"/>
      <c r="H79" s="27"/>
      <c r="I79" s="726">
        <f>SUBTOTAL(9,I77:I78)</f>
        <v>0</v>
      </c>
      <c r="J79" s="727">
        <f>SUBTOTAL(9,J77:J78)</f>
        <v>0</v>
      </c>
      <c r="K79" s="728">
        <f>SUBTOTAL(9,K77:K78)</f>
        <v>0</v>
      </c>
      <c r="L79" s="728">
        <f>SUBTOTAL(9,L77:L78)</f>
        <v>0</v>
      </c>
      <c r="M79" s="729">
        <f>SUBTOTAL(9,M77:M78)</f>
        <v>0</v>
      </c>
    </row>
    <row r="80" spans="1:13">
      <c r="A80" s="27"/>
      <c r="B80" s="27"/>
      <c r="C80" s="27"/>
      <c r="D80" s="27"/>
      <c r="E80" s="27"/>
      <c r="F80" s="330"/>
      <c r="G80" s="27"/>
      <c r="H80" s="27"/>
      <c r="I80" s="730"/>
      <c r="J80" s="730"/>
      <c r="K80" s="730"/>
      <c r="L80" s="730"/>
      <c r="M80" s="730"/>
    </row>
    <row r="81" spans="1:13">
      <c r="A81" s="13" t="s">
        <v>1440</v>
      </c>
      <c r="B81" s="4072"/>
      <c r="C81" s="4072"/>
      <c r="D81" s="1662">
        <v>1</v>
      </c>
      <c r="E81" s="2137"/>
      <c r="F81" s="2138"/>
      <c r="G81" s="2139"/>
      <c r="H81" s="2140"/>
      <c r="I81" s="2141"/>
      <c r="J81" s="720">
        <f>E81*G81</f>
        <v>0</v>
      </c>
      <c r="K81" s="721">
        <f>J81-L81</f>
        <v>0</v>
      </c>
      <c r="L81" s="721">
        <f>J81*H81</f>
        <v>0</v>
      </c>
      <c r="M81" s="722">
        <f>L81*30/70</f>
        <v>0</v>
      </c>
    </row>
    <row r="82" spans="1:13">
      <c r="A82" s="13" t="s">
        <v>1441</v>
      </c>
      <c r="B82" s="4073"/>
      <c r="C82" s="4073"/>
      <c r="D82" s="1642">
        <v>2</v>
      </c>
      <c r="E82" s="2142"/>
      <c r="F82" s="2143"/>
      <c r="G82" s="2144"/>
      <c r="H82" s="2145"/>
      <c r="I82" s="2146"/>
      <c r="J82" s="723">
        <f>E82*G82</f>
        <v>0</v>
      </c>
      <c r="K82" s="724">
        <f>J82-L82</f>
        <v>0</v>
      </c>
      <c r="L82" s="724">
        <f>J82*H82</f>
        <v>0</v>
      </c>
      <c r="M82" s="725">
        <f>L82*30/70</f>
        <v>0</v>
      </c>
    </row>
    <row r="83" spans="1:13">
      <c r="A83" s="27"/>
      <c r="B83" s="27"/>
      <c r="C83" s="27"/>
      <c r="D83" s="27"/>
      <c r="E83" s="27"/>
      <c r="F83" s="330"/>
      <c r="G83" s="27"/>
      <c r="H83" s="27"/>
      <c r="I83" s="726">
        <f>SUBTOTAL(9,I81:I82)</f>
        <v>0</v>
      </c>
      <c r="J83" s="727">
        <f>SUBTOTAL(9,J81:J82)</f>
        <v>0</v>
      </c>
      <c r="K83" s="728">
        <f>SUBTOTAL(9,K81:K82)</f>
        <v>0</v>
      </c>
      <c r="L83" s="728">
        <f>SUBTOTAL(9,L81:L82)</f>
        <v>0</v>
      </c>
      <c r="M83" s="729">
        <f>SUBTOTAL(9,M81:M82)</f>
        <v>0</v>
      </c>
    </row>
    <row r="84" spans="1:13">
      <c r="A84" s="27"/>
      <c r="B84" s="27"/>
      <c r="C84" s="27"/>
      <c r="D84" s="27"/>
      <c r="E84" s="27"/>
      <c r="F84" s="330"/>
      <c r="G84" s="27"/>
      <c r="H84" s="27"/>
      <c r="I84" s="730"/>
      <c r="J84" s="730"/>
      <c r="K84" s="730"/>
      <c r="L84" s="730"/>
      <c r="M84" s="730"/>
    </row>
    <row r="85" spans="1:13">
      <c r="A85" s="13" t="s">
        <v>1440</v>
      </c>
      <c r="B85" s="4072"/>
      <c r="C85" s="4072"/>
      <c r="D85" s="1662">
        <v>1</v>
      </c>
      <c r="E85" s="2137"/>
      <c r="F85" s="2138"/>
      <c r="G85" s="2139"/>
      <c r="H85" s="2140"/>
      <c r="I85" s="2141"/>
      <c r="J85" s="720">
        <f>E85*G85</f>
        <v>0</v>
      </c>
      <c r="K85" s="721">
        <f>J85-L85</f>
        <v>0</v>
      </c>
      <c r="L85" s="721">
        <f>J85*H85</f>
        <v>0</v>
      </c>
      <c r="M85" s="722">
        <f>L85*30/70</f>
        <v>0</v>
      </c>
    </row>
    <row r="86" spans="1:13">
      <c r="A86" s="13" t="s">
        <v>1441</v>
      </c>
      <c r="B86" s="4073"/>
      <c r="C86" s="4073"/>
      <c r="D86" s="1642">
        <v>2</v>
      </c>
      <c r="E86" s="2142"/>
      <c r="F86" s="2143"/>
      <c r="G86" s="2144"/>
      <c r="H86" s="2145"/>
      <c r="I86" s="2146"/>
      <c r="J86" s="723">
        <f>E86*G86</f>
        <v>0</v>
      </c>
      <c r="K86" s="724">
        <f>J86-L86</f>
        <v>0</v>
      </c>
      <c r="L86" s="724">
        <f>J86*H86</f>
        <v>0</v>
      </c>
      <c r="M86" s="725">
        <f>L86*30/70</f>
        <v>0</v>
      </c>
    </row>
    <row r="87" spans="1:13">
      <c r="A87" s="27"/>
      <c r="B87" s="27"/>
      <c r="C87" s="27"/>
      <c r="D87" s="27"/>
      <c r="E87" s="27"/>
      <c r="F87" s="330"/>
      <c r="G87" s="27"/>
      <c r="H87" s="27"/>
      <c r="I87" s="726">
        <f>SUBTOTAL(9,I85:I86)</f>
        <v>0</v>
      </c>
      <c r="J87" s="727">
        <f>SUBTOTAL(9,J85:J86)</f>
        <v>0</v>
      </c>
      <c r="K87" s="728">
        <f>SUBTOTAL(9,K85:K86)</f>
        <v>0</v>
      </c>
      <c r="L87" s="728">
        <f>SUBTOTAL(9,L85:L86)</f>
        <v>0</v>
      </c>
      <c r="M87" s="729">
        <f>SUBTOTAL(9,M85:M86)</f>
        <v>0</v>
      </c>
    </row>
    <row r="88" spans="1:13">
      <c r="A88" s="27"/>
      <c r="B88" s="27"/>
      <c r="C88" s="27"/>
      <c r="D88" s="27"/>
      <c r="E88" s="27"/>
      <c r="F88" s="330"/>
      <c r="G88" s="27"/>
      <c r="H88" s="27"/>
      <c r="I88" s="730"/>
      <c r="J88" s="730"/>
      <c r="K88" s="730"/>
      <c r="L88" s="730"/>
      <c r="M88" s="730"/>
    </row>
    <row r="89" spans="1:13">
      <c r="A89" s="13" t="s">
        <v>1440</v>
      </c>
      <c r="B89" s="4072"/>
      <c r="C89" s="4072"/>
      <c r="D89" s="1662">
        <v>1</v>
      </c>
      <c r="E89" s="2137"/>
      <c r="F89" s="2138"/>
      <c r="G89" s="2139"/>
      <c r="H89" s="2140"/>
      <c r="I89" s="2141"/>
      <c r="J89" s="720">
        <f>E89*G89</f>
        <v>0</v>
      </c>
      <c r="K89" s="721">
        <f>J89-L89</f>
        <v>0</v>
      </c>
      <c r="L89" s="721">
        <f>J89*H89</f>
        <v>0</v>
      </c>
      <c r="M89" s="722">
        <f>L89*30/70</f>
        <v>0</v>
      </c>
    </row>
    <row r="90" spans="1:13">
      <c r="A90" s="13" t="s">
        <v>1441</v>
      </c>
      <c r="B90" s="4073"/>
      <c r="C90" s="4073"/>
      <c r="D90" s="1642">
        <v>2</v>
      </c>
      <c r="E90" s="2142"/>
      <c r="F90" s="2143"/>
      <c r="G90" s="2144"/>
      <c r="H90" s="2145"/>
      <c r="I90" s="2146"/>
      <c r="J90" s="723">
        <f>E90*G90</f>
        <v>0</v>
      </c>
      <c r="K90" s="724">
        <f>J90-L90</f>
        <v>0</v>
      </c>
      <c r="L90" s="724">
        <f>J90*H90</f>
        <v>0</v>
      </c>
      <c r="M90" s="725">
        <f>L90*30/70</f>
        <v>0</v>
      </c>
    </row>
    <row r="91" spans="1:13">
      <c r="A91" s="27"/>
      <c r="B91" s="27"/>
      <c r="C91" s="27"/>
      <c r="D91" s="27"/>
      <c r="E91" s="27"/>
      <c r="F91" s="330"/>
      <c r="G91" s="27"/>
      <c r="H91" s="27"/>
      <c r="I91" s="726">
        <f>SUBTOTAL(9,I89:I90)</f>
        <v>0</v>
      </c>
      <c r="J91" s="727">
        <f>SUBTOTAL(9,J89:J90)</f>
        <v>0</v>
      </c>
      <c r="K91" s="728">
        <f>SUBTOTAL(9,K89:K90)</f>
        <v>0</v>
      </c>
      <c r="L91" s="728">
        <f>SUBTOTAL(9,L89:L90)</f>
        <v>0</v>
      </c>
      <c r="M91" s="729">
        <f>SUBTOTAL(9,M89:M90)</f>
        <v>0</v>
      </c>
    </row>
    <row r="92" spans="1:13">
      <c r="A92" s="27"/>
      <c r="B92" s="27"/>
      <c r="C92" s="27"/>
      <c r="D92" s="27"/>
      <c r="E92" s="27"/>
      <c r="F92" s="330"/>
      <c r="G92" s="27"/>
      <c r="H92" s="27"/>
      <c r="I92" s="730"/>
      <c r="J92" s="730"/>
      <c r="K92" s="730"/>
      <c r="L92" s="730"/>
      <c r="M92" s="730"/>
    </row>
    <row r="93" spans="1:13">
      <c r="A93" s="13" t="s">
        <v>1440</v>
      </c>
      <c r="B93" s="4072"/>
      <c r="C93" s="4072"/>
      <c r="D93" s="1662">
        <v>1</v>
      </c>
      <c r="E93" s="2137"/>
      <c r="F93" s="2138"/>
      <c r="G93" s="2139"/>
      <c r="H93" s="2140"/>
      <c r="I93" s="2141"/>
      <c r="J93" s="720">
        <f>E93*G93</f>
        <v>0</v>
      </c>
      <c r="K93" s="721">
        <f>J93-L93</f>
        <v>0</v>
      </c>
      <c r="L93" s="721">
        <f>J93*H93</f>
        <v>0</v>
      </c>
      <c r="M93" s="722">
        <f>L93*30/70</f>
        <v>0</v>
      </c>
    </row>
    <row r="94" spans="1:13">
      <c r="A94" s="13" t="s">
        <v>1441</v>
      </c>
      <c r="B94" s="4073"/>
      <c r="C94" s="4073"/>
      <c r="D94" s="1642">
        <v>2</v>
      </c>
      <c r="E94" s="2142"/>
      <c r="F94" s="2143"/>
      <c r="G94" s="2144"/>
      <c r="H94" s="2145"/>
      <c r="I94" s="2146"/>
      <c r="J94" s="723">
        <f>E94*G94</f>
        <v>0</v>
      </c>
      <c r="K94" s="724">
        <f>J94-L94</f>
        <v>0</v>
      </c>
      <c r="L94" s="724">
        <f>J94*H94</f>
        <v>0</v>
      </c>
      <c r="M94" s="725">
        <f>L94*30/70</f>
        <v>0</v>
      </c>
    </row>
    <row r="95" spans="1:13">
      <c r="A95" s="27"/>
      <c r="B95" s="27"/>
      <c r="C95" s="27"/>
      <c r="D95" s="27"/>
      <c r="E95" s="27"/>
      <c r="F95" s="330"/>
      <c r="G95" s="27"/>
      <c r="H95" s="27"/>
      <c r="I95" s="726">
        <f>SUBTOTAL(9,I93:I94)</f>
        <v>0</v>
      </c>
      <c r="J95" s="727">
        <f>SUBTOTAL(9,J93:J94)</f>
        <v>0</v>
      </c>
      <c r="K95" s="728">
        <f>SUBTOTAL(9,K93:K94)</f>
        <v>0</v>
      </c>
      <c r="L95" s="728">
        <f>SUBTOTAL(9,L93:L94)</f>
        <v>0</v>
      </c>
      <c r="M95" s="729">
        <f>SUBTOTAL(9,M93:M94)</f>
        <v>0</v>
      </c>
    </row>
    <row r="96" spans="1:13">
      <c r="A96" s="27"/>
      <c r="B96" s="27"/>
      <c r="C96" s="27"/>
      <c r="D96" s="27"/>
      <c r="E96" s="27"/>
      <c r="F96" s="330"/>
      <c r="G96" s="27"/>
      <c r="H96" s="27"/>
      <c r="I96" s="730"/>
      <c r="J96" s="730"/>
      <c r="K96" s="730"/>
      <c r="L96" s="730"/>
      <c r="M96" s="730"/>
    </row>
    <row r="97" spans="1:13">
      <c r="A97" s="13" t="s">
        <v>1440</v>
      </c>
      <c r="B97" s="4072"/>
      <c r="C97" s="4072"/>
      <c r="D97" s="1662">
        <v>1</v>
      </c>
      <c r="E97" s="2137"/>
      <c r="F97" s="2138"/>
      <c r="G97" s="2139"/>
      <c r="H97" s="2140"/>
      <c r="I97" s="2141"/>
      <c r="J97" s="720">
        <f>E97*G97</f>
        <v>0</v>
      </c>
      <c r="K97" s="721">
        <f>J97-L97</f>
        <v>0</v>
      </c>
      <c r="L97" s="721">
        <f>J97*H97</f>
        <v>0</v>
      </c>
      <c r="M97" s="722">
        <f>L97*30/70</f>
        <v>0</v>
      </c>
    </row>
    <row r="98" spans="1:13">
      <c r="A98" s="13" t="s">
        <v>1441</v>
      </c>
      <c r="B98" s="4073"/>
      <c r="C98" s="4073"/>
      <c r="D98" s="1642">
        <v>2</v>
      </c>
      <c r="E98" s="2142"/>
      <c r="F98" s="2143"/>
      <c r="G98" s="2144"/>
      <c r="H98" s="2145"/>
      <c r="I98" s="2146"/>
      <c r="J98" s="723">
        <f>E98*G98</f>
        <v>0</v>
      </c>
      <c r="K98" s="724">
        <f>J98-L98</f>
        <v>0</v>
      </c>
      <c r="L98" s="724">
        <f>J98*H98</f>
        <v>0</v>
      </c>
      <c r="M98" s="725">
        <f>L98*30/70</f>
        <v>0</v>
      </c>
    </row>
    <row r="99" spans="1:13">
      <c r="A99" s="27"/>
      <c r="B99" s="27"/>
      <c r="C99" s="27"/>
      <c r="D99" s="27"/>
      <c r="E99" s="1663"/>
      <c r="F99" s="1664"/>
      <c r="G99" s="1663"/>
      <c r="H99" s="1663"/>
      <c r="I99" s="1665">
        <f>SUBTOTAL(9,I97:I98)</f>
        <v>0</v>
      </c>
      <c r="J99" s="727">
        <f>SUBTOTAL(9,J97:J98)</f>
        <v>0</v>
      </c>
      <c r="K99" s="728">
        <f>SUBTOTAL(9,K97:K98)</f>
        <v>0</v>
      </c>
      <c r="L99" s="728">
        <f>SUBTOTAL(9,L97:L98)</f>
        <v>0</v>
      </c>
      <c r="M99" s="729">
        <f>SUBTOTAL(9,M97:M98)</f>
        <v>0</v>
      </c>
    </row>
    <row r="100" spans="1:13">
      <c r="A100" s="27"/>
      <c r="B100" s="27"/>
      <c r="C100" s="27"/>
      <c r="D100" s="27"/>
      <c r="E100" s="27"/>
      <c r="F100" s="330"/>
      <c r="G100" s="27"/>
      <c r="H100" s="27"/>
      <c r="I100" s="730"/>
      <c r="J100" s="730"/>
      <c r="K100" s="730"/>
      <c r="L100" s="730"/>
      <c r="M100" s="730"/>
    </row>
    <row r="101" spans="1:13">
      <c r="A101" s="13" t="s">
        <v>1440</v>
      </c>
      <c r="B101" s="4072"/>
      <c r="C101" s="4072"/>
      <c r="D101" s="1662">
        <v>1</v>
      </c>
      <c r="E101" s="2137"/>
      <c r="F101" s="2138"/>
      <c r="G101" s="2139"/>
      <c r="H101" s="2140"/>
      <c r="I101" s="2141"/>
      <c r="J101" s="720">
        <f>E101*G101</f>
        <v>0</v>
      </c>
      <c r="K101" s="721">
        <f>J101-L101</f>
        <v>0</v>
      </c>
      <c r="L101" s="721">
        <f>J101*H101</f>
        <v>0</v>
      </c>
      <c r="M101" s="722">
        <f>L101*30/70</f>
        <v>0</v>
      </c>
    </row>
    <row r="102" spans="1:13">
      <c r="A102" s="13" t="s">
        <v>1441</v>
      </c>
      <c r="B102" s="4073"/>
      <c r="C102" s="4073"/>
      <c r="D102" s="1642">
        <v>2</v>
      </c>
      <c r="E102" s="2142"/>
      <c r="F102" s="2143"/>
      <c r="G102" s="2144"/>
      <c r="H102" s="2145"/>
      <c r="I102" s="2146"/>
      <c r="J102" s="723">
        <f>E102*G102</f>
        <v>0</v>
      </c>
      <c r="K102" s="724">
        <f>J102-L102</f>
        <v>0</v>
      </c>
      <c r="L102" s="724">
        <f>J102*H102</f>
        <v>0</v>
      </c>
      <c r="M102" s="725">
        <f>L102*30/70</f>
        <v>0</v>
      </c>
    </row>
    <row r="103" spans="1:13">
      <c r="A103" s="27"/>
      <c r="B103" s="27"/>
      <c r="C103" s="27"/>
      <c r="D103" s="27"/>
      <c r="E103" s="27"/>
      <c r="F103" s="330"/>
      <c r="G103" s="27"/>
      <c r="H103" s="27"/>
      <c r="I103" s="2147">
        <f>SUBTOTAL(9,I101:I102)</f>
        <v>0</v>
      </c>
      <c r="J103" s="727">
        <f>SUBTOTAL(9,J101:J102)</f>
        <v>0</v>
      </c>
      <c r="K103" s="728">
        <f>SUBTOTAL(9,K101:K102)</f>
        <v>0</v>
      </c>
      <c r="L103" s="728">
        <f>SUBTOTAL(9,L101:L102)</f>
        <v>0</v>
      </c>
      <c r="M103" s="729">
        <f>SUBTOTAL(9,M101:M102)</f>
        <v>0</v>
      </c>
    </row>
    <row r="104" spans="1:13">
      <c r="A104" s="27"/>
      <c r="B104" s="27"/>
      <c r="C104" s="27"/>
      <c r="D104" s="27"/>
      <c r="E104" s="27"/>
      <c r="F104" s="330"/>
      <c r="G104" s="27"/>
      <c r="H104" s="27"/>
      <c r="I104" s="730"/>
      <c r="J104" s="730"/>
      <c r="K104" s="730"/>
      <c r="L104" s="730"/>
      <c r="M104" s="730"/>
    </row>
    <row r="105" spans="1:13">
      <c r="A105" s="13" t="s">
        <v>1440</v>
      </c>
      <c r="B105" s="4072"/>
      <c r="C105" s="4072"/>
      <c r="D105" s="1662">
        <v>1</v>
      </c>
      <c r="E105" s="2137"/>
      <c r="F105" s="2138"/>
      <c r="G105" s="2139"/>
      <c r="H105" s="2140"/>
      <c r="I105" s="2141"/>
      <c r="J105" s="720">
        <f>E105*G105</f>
        <v>0</v>
      </c>
      <c r="K105" s="721">
        <f>J105-L105</f>
        <v>0</v>
      </c>
      <c r="L105" s="721">
        <f>J105*H105</f>
        <v>0</v>
      </c>
      <c r="M105" s="722">
        <f>L105*30/70</f>
        <v>0</v>
      </c>
    </row>
    <row r="106" spans="1:13">
      <c r="A106" s="13" t="s">
        <v>1441</v>
      </c>
      <c r="B106" s="4073"/>
      <c r="C106" s="4073"/>
      <c r="D106" s="1642">
        <v>2</v>
      </c>
      <c r="E106" s="2142"/>
      <c r="F106" s="2143"/>
      <c r="G106" s="2144"/>
      <c r="H106" s="2145"/>
      <c r="I106" s="2146"/>
      <c r="J106" s="723">
        <f>E106*G106</f>
        <v>0</v>
      </c>
      <c r="K106" s="724">
        <f>J106-L106</f>
        <v>0</v>
      </c>
      <c r="L106" s="724">
        <f>J106*H106</f>
        <v>0</v>
      </c>
      <c r="M106" s="725">
        <f>L106*30/70</f>
        <v>0</v>
      </c>
    </row>
    <row r="107" spans="1:13">
      <c r="A107" s="27"/>
      <c r="B107" s="27"/>
      <c r="C107" s="27"/>
      <c r="D107" s="27"/>
      <c r="E107" s="27"/>
      <c r="F107" s="330"/>
      <c r="G107" s="27"/>
      <c r="H107" s="27"/>
      <c r="I107" s="726">
        <f>SUBTOTAL(9,I105:I106)</f>
        <v>0</v>
      </c>
      <c r="J107" s="727">
        <f>SUBTOTAL(9,J105:J106)</f>
        <v>0</v>
      </c>
      <c r="K107" s="728">
        <f>SUBTOTAL(9,K105:K106)</f>
        <v>0</v>
      </c>
      <c r="L107" s="728">
        <f>SUBTOTAL(9,L105:L106)</f>
        <v>0</v>
      </c>
      <c r="M107" s="729">
        <f>SUBTOTAL(9,M105:M106)</f>
        <v>0</v>
      </c>
    </row>
    <row r="108" spans="1:13">
      <c r="A108" s="27"/>
      <c r="B108" s="27"/>
      <c r="C108" s="27"/>
      <c r="D108" s="27"/>
      <c r="E108" s="27"/>
      <c r="F108" s="330"/>
      <c r="G108" s="27"/>
      <c r="H108" s="27"/>
      <c r="I108" s="730"/>
      <c r="J108" s="730"/>
      <c r="K108" s="730"/>
      <c r="L108" s="730"/>
      <c r="M108" s="730"/>
    </row>
    <row r="109" spans="1:13">
      <c r="A109" s="13" t="s">
        <v>1440</v>
      </c>
      <c r="B109" s="4072"/>
      <c r="C109" s="4072"/>
      <c r="D109" s="1790">
        <v>1</v>
      </c>
      <c r="E109" s="2137"/>
      <c r="F109" s="2138"/>
      <c r="G109" s="2139"/>
      <c r="H109" s="2140"/>
      <c r="I109" s="2141"/>
      <c r="J109" s="720">
        <f>E109*G109</f>
        <v>0</v>
      </c>
      <c r="K109" s="721">
        <f>J109-L109</f>
        <v>0</v>
      </c>
      <c r="L109" s="721">
        <f>J109*H109</f>
        <v>0</v>
      </c>
      <c r="M109" s="722">
        <f>L109*30/70</f>
        <v>0</v>
      </c>
    </row>
    <row r="110" spans="1:13">
      <c r="A110" s="13" t="s">
        <v>1441</v>
      </c>
      <c r="B110" s="4073"/>
      <c r="C110" s="4073"/>
      <c r="D110" s="1642">
        <v>2</v>
      </c>
      <c r="E110" s="2142"/>
      <c r="F110" s="2143"/>
      <c r="G110" s="2144"/>
      <c r="H110" s="2145"/>
      <c r="I110" s="2146"/>
      <c r="J110" s="723">
        <f>E110*G110</f>
        <v>0</v>
      </c>
      <c r="K110" s="724">
        <f>J110-L110</f>
        <v>0</v>
      </c>
      <c r="L110" s="724">
        <f>J110*H110</f>
        <v>0</v>
      </c>
      <c r="M110" s="725">
        <f>L110*30/70</f>
        <v>0</v>
      </c>
    </row>
    <row r="111" spans="1:13">
      <c r="A111" s="27"/>
      <c r="B111" s="27"/>
      <c r="C111" s="27"/>
      <c r="D111" s="27"/>
      <c r="E111" s="27"/>
      <c r="F111" s="330"/>
      <c r="G111" s="27"/>
      <c r="H111" s="27"/>
      <c r="I111" s="726">
        <f>SUBTOTAL(9,I109:I110)</f>
        <v>0</v>
      </c>
      <c r="J111" s="727">
        <f>SUBTOTAL(9,J109:J110)</f>
        <v>0</v>
      </c>
      <c r="K111" s="728">
        <f>SUBTOTAL(9,K109:K110)</f>
        <v>0</v>
      </c>
      <c r="L111" s="728">
        <f>SUBTOTAL(9,L109:L110)</f>
        <v>0</v>
      </c>
      <c r="M111" s="729">
        <f>SUBTOTAL(9,M109:M110)</f>
        <v>0</v>
      </c>
    </row>
    <row r="112" spans="1:13">
      <c r="A112" s="27"/>
      <c r="B112" s="27"/>
      <c r="C112" s="27"/>
      <c r="D112" s="27"/>
      <c r="E112" s="27"/>
      <c r="F112" s="330"/>
      <c r="G112" s="27"/>
      <c r="H112" s="27"/>
      <c r="I112" s="730"/>
      <c r="J112" s="730"/>
      <c r="K112" s="730"/>
      <c r="L112" s="730"/>
      <c r="M112" s="730"/>
    </row>
    <row r="113" spans="1:13">
      <c r="A113" s="13" t="s">
        <v>1440</v>
      </c>
      <c r="B113" s="4072"/>
      <c r="C113" s="4072"/>
      <c r="D113" s="1662">
        <v>1</v>
      </c>
      <c r="E113" s="2137"/>
      <c r="F113" s="2138"/>
      <c r="G113" s="2139"/>
      <c r="H113" s="2140"/>
      <c r="I113" s="2141"/>
      <c r="J113" s="720">
        <f>E113*G113</f>
        <v>0</v>
      </c>
      <c r="K113" s="721">
        <f>J113-L113</f>
        <v>0</v>
      </c>
      <c r="L113" s="721">
        <f>J113*H113</f>
        <v>0</v>
      </c>
      <c r="M113" s="722">
        <f>L113*30/70</f>
        <v>0</v>
      </c>
    </row>
    <row r="114" spans="1:13">
      <c r="A114" s="13" t="s">
        <v>1441</v>
      </c>
      <c r="B114" s="4073"/>
      <c r="C114" s="4073"/>
      <c r="D114" s="1642">
        <v>2</v>
      </c>
      <c r="E114" s="2142"/>
      <c r="F114" s="2143"/>
      <c r="G114" s="2144"/>
      <c r="H114" s="2145"/>
      <c r="I114" s="2146"/>
      <c r="J114" s="723">
        <f>E114*G114</f>
        <v>0</v>
      </c>
      <c r="K114" s="724">
        <f>J114-L114</f>
        <v>0</v>
      </c>
      <c r="L114" s="724">
        <f>J114*H114</f>
        <v>0</v>
      </c>
      <c r="M114" s="725">
        <f>L114*30/70</f>
        <v>0</v>
      </c>
    </row>
    <row r="115" spans="1:13">
      <c r="A115" s="27"/>
      <c r="B115" s="27"/>
      <c r="C115" s="27"/>
      <c r="D115" s="27"/>
      <c r="E115" s="27"/>
      <c r="F115" s="330"/>
      <c r="G115" s="27"/>
      <c r="H115" s="27"/>
      <c r="I115" s="726">
        <f>SUBTOTAL(9,I113:I114)</f>
        <v>0</v>
      </c>
      <c r="J115" s="727">
        <f>SUBTOTAL(9,J113:J114)</f>
        <v>0</v>
      </c>
      <c r="K115" s="728">
        <f>SUBTOTAL(9,K113:K114)</f>
        <v>0</v>
      </c>
      <c r="L115" s="728">
        <f>SUBTOTAL(9,L113:L114)</f>
        <v>0</v>
      </c>
      <c r="M115" s="729">
        <f>SUBTOTAL(9,M113:M114)</f>
        <v>0</v>
      </c>
    </row>
    <row r="116" spans="1:13">
      <c r="A116" s="27"/>
      <c r="B116" s="27"/>
      <c r="C116" s="27"/>
      <c r="D116" s="27"/>
      <c r="E116" s="27"/>
      <c r="F116" s="330"/>
      <c r="G116" s="27"/>
      <c r="H116" s="27"/>
      <c r="I116" s="730"/>
      <c r="J116" s="730"/>
      <c r="K116" s="730"/>
      <c r="L116" s="730"/>
      <c r="M116" s="730"/>
    </row>
    <row r="117" spans="1:13">
      <c r="A117" s="13" t="s">
        <v>1440</v>
      </c>
      <c r="B117" s="4072"/>
      <c r="C117" s="4072"/>
      <c r="D117" s="1662">
        <v>1</v>
      </c>
      <c r="E117" s="2137"/>
      <c r="F117" s="2138"/>
      <c r="G117" s="2139"/>
      <c r="H117" s="2140"/>
      <c r="I117" s="2141"/>
      <c r="J117" s="720">
        <f>E117*G117</f>
        <v>0</v>
      </c>
      <c r="K117" s="721">
        <f>J117-L117</f>
        <v>0</v>
      </c>
      <c r="L117" s="721">
        <f>J117*H117</f>
        <v>0</v>
      </c>
      <c r="M117" s="722">
        <f>L117*30/70</f>
        <v>0</v>
      </c>
    </row>
    <row r="118" spans="1:13">
      <c r="A118" s="13" t="s">
        <v>1441</v>
      </c>
      <c r="B118" s="4073"/>
      <c r="C118" s="4073"/>
      <c r="D118" s="1642">
        <v>2</v>
      </c>
      <c r="E118" s="2142"/>
      <c r="F118" s="2143"/>
      <c r="G118" s="2144"/>
      <c r="H118" s="2145"/>
      <c r="I118" s="2146"/>
      <c r="J118" s="723">
        <f>E118*G118</f>
        <v>0</v>
      </c>
      <c r="K118" s="724">
        <f>J118-L118</f>
        <v>0</v>
      </c>
      <c r="L118" s="724">
        <f>J118*H118</f>
        <v>0</v>
      </c>
      <c r="M118" s="725">
        <f>L118*30/70</f>
        <v>0</v>
      </c>
    </row>
    <row r="119" spans="1:13">
      <c r="A119" s="27"/>
      <c r="B119" s="27"/>
      <c r="C119" s="27"/>
      <c r="D119" s="27"/>
      <c r="E119" s="27"/>
      <c r="F119" s="330"/>
      <c r="G119" s="27"/>
      <c r="H119" s="27"/>
      <c r="I119" s="726">
        <f>SUBTOTAL(9,I117:I118)</f>
        <v>0</v>
      </c>
      <c r="J119" s="727">
        <f>SUBTOTAL(9,J117:J118)</f>
        <v>0</v>
      </c>
      <c r="K119" s="728">
        <f>SUBTOTAL(9,K117:K118)</f>
        <v>0</v>
      </c>
      <c r="L119" s="728">
        <f>SUBTOTAL(9,L117:L118)</f>
        <v>0</v>
      </c>
      <c r="M119" s="729">
        <f>SUBTOTAL(9,M117:M118)</f>
        <v>0</v>
      </c>
    </row>
    <row r="120" spans="1:13">
      <c r="A120" s="27"/>
      <c r="B120" s="27"/>
      <c r="C120" s="27"/>
      <c r="D120" s="27"/>
      <c r="E120" s="27"/>
      <c r="F120" s="330"/>
      <c r="G120" s="27"/>
      <c r="H120" s="27"/>
      <c r="I120" s="730"/>
      <c r="J120" s="730"/>
      <c r="K120" s="730"/>
      <c r="L120" s="730"/>
      <c r="M120" s="730"/>
    </row>
    <row r="121" spans="1:13">
      <c r="A121" s="13" t="s">
        <v>1440</v>
      </c>
      <c r="B121" s="4072"/>
      <c r="C121" s="4072"/>
      <c r="D121" s="1662">
        <v>1</v>
      </c>
      <c r="E121" s="2137"/>
      <c r="F121" s="2138"/>
      <c r="G121" s="2139"/>
      <c r="H121" s="2140"/>
      <c r="I121" s="2141"/>
      <c r="J121" s="720">
        <f>E121*G121</f>
        <v>0</v>
      </c>
      <c r="K121" s="721">
        <f>J121-L121</f>
        <v>0</v>
      </c>
      <c r="L121" s="721">
        <f>J121*H121</f>
        <v>0</v>
      </c>
      <c r="M121" s="722">
        <f>L121*30/70</f>
        <v>0</v>
      </c>
    </row>
    <row r="122" spans="1:13">
      <c r="A122" s="13" t="s">
        <v>1441</v>
      </c>
      <c r="B122" s="4073"/>
      <c r="C122" s="4073"/>
      <c r="D122" s="1642">
        <v>2</v>
      </c>
      <c r="E122" s="2142"/>
      <c r="F122" s="2143"/>
      <c r="G122" s="2144"/>
      <c r="H122" s="2145"/>
      <c r="I122" s="2146"/>
      <c r="J122" s="723">
        <f>E122*G122</f>
        <v>0</v>
      </c>
      <c r="K122" s="724">
        <f>J122-L122</f>
        <v>0</v>
      </c>
      <c r="L122" s="724">
        <f>J122*H122</f>
        <v>0</v>
      </c>
      <c r="M122" s="725">
        <f>L122*30/70</f>
        <v>0</v>
      </c>
    </row>
    <row r="123" spans="1:13">
      <c r="A123" s="27"/>
      <c r="B123" s="27"/>
      <c r="C123" s="27"/>
      <c r="D123" s="27"/>
      <c r="E123" s="27"/>
      <c r="F123" s="330"/>
      <c r="G123" s="27"/>
      <c r="H123" s="27"/>
      <c r="I123" s="726">
        <f>SUBTOTAL(9,I121:I122)</f>
        <v>0</v>
      </c>
      <c r="J123" s="727">
        <f>SUBTOTAL(9,J121:J122)</f>
        <v>0</v>
      </c>
      <c r="K123" s="728">
        <f>SUBTOTAL(9,K121:K122)</f>
        <v>0</v>
      </c>
      <c r="L123" s="728">
        <f>SUBTOTAL(9,L121:L122)</f>
        <v>0</v>
      </c>
      <c r="M123" s="729">
        <f>SUBTOTAL(9,M121:M122)</f>
        <v>0</v>
      </c>
    </row>
    <row r="124" spans="1:13">
      <c r="A124" s="27"/>
      <c r="B124" s="27"/>
      <c r="C124" s="27"/>
      <c r="D124" s="27"/>
      <c r="E124" s="27"/>
      <c r="F124" s="330"/>
      <c r="G124" s="27"/>
      <c r="H124" s="27"/>
      <c r="I124" s="730"/>
      <c r="J124" s="730"/>
      <c r="K124" s="730"/>
      <c r="L124" s="730"/>
      <c r="M124" s="730"/>
    </row>
    <row r="125" spans="1:13">
      <c r="A125" s="13" t="s">
        <v>1440</v>
      </c>
      <c r="B125" s="4072"/>
      <c r="C125" s="4072"/>
      <c r="D125" s="1662">
        <v>1</v>
      </c>
      <c r="E125" s="2137"/>
      <c r="F125" s="2138"/>
      <c r="G125" s="2139"/>
      <c r="H125" s="2140"/>
      <c r="I125" s="2141"/>
      <c r="J125" s="720">
        <f>E125*G125</f>
        <v>0</v>
      </c>
      <c r="K125" s="721">
        <f>J125-L125</f>
        <v>0</v>
      </c>
      <c r="L125" s="721">
        <f>J125*H125</f>
        <v>0</v>
      </c>
      <c r="M125" s="722">
        <f>L125*30/70</f>
        <v>0</v>
      </c>
    </row>
    <row r="126" spans="1:13">
      <c r="A126" s="13" t="s">
        <v>1441</v>
      </c>
      <c r="B126" s="4073"/>
      <c r="C126" s="4073"/>
      <c r="D126" s="1642">
        <v>2</v>
      </c>
      <c r="E126" s="2142"/>
      <c r="F126" s="2143"/>
      <c r="G126" s="2144"/>
      <c r="H126" s="2145"/>
      <c r="I126" s="2146"/>
      <c r="J126" s="723">
        <f>E126*G126</f>
        <v>0</v>
      </c>
      <c r="K126" s="724">
        <f>J126-L126</f>
        <v>0</v>
      </c>
      <c r="L126" s="724">
        <f>J126*H126</f>
        <v>0</v>
      </c>
      <c r="M126" s="725">
        <f>L126*30/70</f>
        <v>0</v>
      </c>
    </row>
    <row r="127" spans="1:13">
      <c r="A127" s="27"/>
      <c r="B127" s="27"/>
      <c r="C127" s="27"/>
      <c r="D127" s="27"/>
      <c r="E127" s="27"/>
      <c r="F127" s="330"/>
      <c r="G127" s="27"/>
      <c r="H127" s="27"/>
      <c r="I127" s="726">
        <f>SUBTOTAL(9,I125:I126)</f>
        <v>0</v>
      </c>
      <c r="J127" s="727">
        <f>SUBTOTAL(9,J125:J126)</f>
        <v>0</v>
      </c>
      <c r="K127" s="728">
        <f>SUBTOTAL(9,K125:K126)</f>
        <v>0</v>
      </c>
      <c r="L127" s="728">
        <f>SUBTOTAL(9,L125:L126)</f>
        <v>0</v>
      </c>
      <c r="M127" s="729">
        <f>SUBTOTAL(9,M125:M126)</f>
        <v>0</v>
      </c>
    </row>
    <row r="128" spans="1:13">
      <c r="A128" s="27"/>
      <c r="B128" s="27"/>
      <c r="C128" s="27"/>
      <c r="D128" s="27"/>
      <c r="E128" s="27"/>
      <c r="F128" s="330"/>
      <c r="G128" s="27"/>
      <c r="H128" s="27"/>
      <c r="I128" s="730"/>
      <c r="J128" s="730"/>
      <c r="K128" s="730"/>
      <c r="L128" s="730"/>
      <c r="M128" s="730"/>
    </row>
    <row r="129" spans="1:13">
      <c r="A129" s="13" t="s">
        <v>1440</v>
      </c>
      <c r="B129" s="4072"/>
      <c r="C129" s="4072"/>
      <c r="D129" s="1662">
        <v>1</v>
      </c>
      <c r="E129" s="2137"/>
      <c r="F129" s="2138"/>
      <c r="G129" s="2139"/>
      <c r="H129" s="2140"/>
      <c r="I129" s="2141"/>
      <c r="J129" s="720">
        <f>E129*G129</f>
        <v>0</v>
      </c>
      <c r="K129" s="721">
        <f>J129-L129</f>
        <v>0</v>
      </c>
      <c r="L129" s="721">
        <f>J129*H129</f>
        <v>0</v>
      </c>
      <c r="M129" s="722">
        <f>L129*30/70</f>
        <v>0</v>
      </c>
    </row>
    <row r="130" spans="1:13">
      <c r="A130" s="13" t="s">
        <v>1441</v>
      </c>
      <c r="B130" s="4073"/>
      <c r="C130" s="4073"/>
      <c r="D130" s="1642">
        <v>2</v>
      </c>
      <c r="E130" s="2142"/>
      <c r="F130" s="2143"/>
      <c r="G130" s="2144"/>
      <c r="H130" s="2145"/>
      <c r="I130" s="2146"/>
      <c r="J130" s="723">
        <f>E130*G130</f>
        <v>0</v>
      </c>
      <c r="K130" s="724">
        <f>J130-L130</f>
        <v>0</v>
      </c>
      <c r="L130" s="724">
        <f>J130*H130</f>
        <v>0</v>
      </c>
      <c r="M130" s="725">
        <f>L130*30/70</f>
        <v>0</v>
      </c>
    </row>
    <row r="131" spans="1:13">
      <c r="A131" s="27"/>
      <c r="B131" s="27"/>
      <c r="C131" s="27"/>
      <c r="D131" s="27"/>
      <c r="E131" s="27"/>
      <c r="F131" s="330"/>
      <c r="G131" s="27"/>
      <c r="H131" s="27"/>
      <c r="I131" s="726">
        <f>SUBTOTAL(9,I129:I130)</f>
        <v>0</v>
      </c>
      <c r="J131" s="727">
        <f>SUBTOTAL(9,J129:J130)</f>
        <v>0</v>
      </c>
      <c r="K131" s="728">
        <f>SUBTOTAL(9,K129:K130)</f>
        <v>0</v>
      </c>
      <c r="L131" s="728">
        <f>SUBTOTAL(9,L129:L130)</f>
        <v>0</v>
      </c>
      <c r="M131" s="729">
        <f>SUBTOTAL(9,M129:M130)</f>
        <v>0</v>
      </c>
    </row>
    <row r="132" spans="1:13">
      <c r="A132" s="27"/>
      <c r="B132" s="27"/>
      <c r="C132" s="27"/>
      <c r="D132" s="27"/>
      <c r="E132" s="27"/>
      <c r="F132" s="330"/>
      <c r="G132" s="27"/>
      <c r="H132" s="27"/>
      <c r="I132" s="730"/>
      <c r="J132" s="730"/>
      <c r="K132" s="730"/>
      <c r="L132" s="730"/>
      <c r="M132" s="730"/>
    </row>
    <row r="133" spans="1:13">
      <c r="A133" s="13" t="s">
        <v>1440</v>
      </c>
      <c r="B133" s="4072"/>
      <c r="C133" s="4072"/>
      <c r="D133" s="1662">
        <v>1</v>
      </c>
      <c r="E133" s="2137"/>
      <c r="F133" s="2138"/>
      <c r="G133" s="2139"/>
      <c r="H133" s="2140"/>
      <c r="I133" s="2141"/>
      <c r="J133" s="720">
        <f>E133*G133</f>
        <v>0</v>
      </c>
      <c r="K133" s="721">
        <f>J133-L133</f>
        <v>0</v>
      </c>
      <c r="L133" s="721">
        <f>J133*H133</f>
        <v>0</v>
      </c>
      <c r="M133" s="722">
        <f>L133*30/70</f>
        <v>0</v>
      </c>
    </row>
    <row r="134" spans="1:13">
      <c r="A134" s="13" t="s">
        <v>1441</v>
      </c>
      <c r="B134" s="4073"/>
      <c r="C134" s="4073"/>
      <c r="D134" s="1642">
        <v>2</v>
      </c>
      <c r="E134" s="2142"/>
      <c r="F134" s="2143"/>
      <c r="G134" s="2144"/>
      <c r="H134" s="2145"/>
      <c r="I134" s="2146"/>
      <c r="J134" s="723">
        <f>E134*G134</f>
        <v>0</v>
      </c>
      <c r="K134" s="724">
        <f>J134-L134</f>
        <v>0</v>
      </c>
      <c r="L134" s="724">
        <f>J134*H134</f>
        <v>0</v>
      </c>
      <c r="M134" s="725">
        <f>L134*30/70</f>
        <v>0</v>
      </c>
    </row>
    <row r="135" spans="1:13">
      <c r="A135" s="27"/>
      <c r="B135" s="27"/>
      <c r="C135" s="27"/>
      <c r="D135" s="27"/>
      <c r="E135" s="27"/>
      <c r="F135" s="330"/>
      <c r="G135" s="27"/>
      <c r="H135" s="27"/>
      <c r="I135" s="726">
        <f>SUBTOTAL(9,I133:I134)</f>
        <v>0</v>
      </c>
      <c r="J135" s="727">
        <f>SUBTOTAL(9,J133:J134)</f>
        <v>0</v>
      </c>
      <c r="K135" s="728">
        <f>SUBTOTAL(9,K133:K134)</f>
        <v>0</v>
      </c>
      <c r="L135" s="728">
        <f>SUBTOTAL(9,L133:L134)</f>
        <v>0</v>
      </c>
      <c r="M135" s="729">
        <f>SUBTOTAL(9,M133:M134)</f>
        <v>0</v>
      </c>
    </row>
    <row r="136" spans="1:13">
      <c r="A136" s="27"/>
      <c r="B136" s="27"/>
      <c r="C136" s="27"/>
      <c r="D136" s="27"/>
      <c r="E136" s="27"/>
      <c r="F136" s="330"/>
      <c r="G136" s="27"/>
      <c r="H136" s="27"/>
      <c r="I136" s="730"/>
      <c r="J136" s="730"/>
      <c r="K136" s="730"/>
      <c r="L136" s="730"/>
      <c r="M136" s="730"/>
    </row>
    <row r="137" spans="1:13">
      <c r="A137" s="13" t="s">
        <v>1440</v>
      </c>
      <c r="B137" s="4071"/>
      <c r="C137" s="4071"/>
      <c r="D137" s="1662">
        <v>1</v>
      </c>
      <c r="E137" s="2117"/>
      <c r="F137" s="2118"/>
      <c r="G137" s="2119"/>
      <c r="H137" s="2120"/>
      <c r="I137" s="2121"/>
      <c r="J137" s="720">
        <f>E137*G137</f>
        <v>0</v>
      </c>
      <c r="K137" s="721">
        <f>J137-L137</f>
        <v>0</v>
      </c>
      <c r="L137" s="721">
        <f>J137*H137</f>
        <v>0</v>
      </c>
      <c r="M137" s="722">
        <f>L137*30/70</f>
        <v>0</v>
      </c>
    </row>
    <row r="138" spans="1:13">
      <c r="A138" s="13" t="s">
        <v>1441</v>
      </c>
      <c r="B138" s="4070"/>
      <c r="C138" s="4070"/>
      <c r="D138" s="1641">
        <v>2</v>
      </c>
      <c r="E138" s="2122"/>
      <c r="F138" s="2123"/>
      <c r="G138" s="2124"/>
      <c r="H138" s="2125"/>
      <c r="I138" s="2126"/>
      <c r="J138" s="731">
        <f>E138*G138</f>
        <v>0</v>
      </c>
      <c r="K138" s="732">
        <f>J138-L138</f>
        <v>0</v>
      </c>
      <c r="L138" s="732">
        <f>J138*H138</f>
        <v>0</v>
      </c>
      <c r="M138" s="733">
        <f>L138*30/70</f>
        <v>0</v>
      </c>
    </row>
    <row r="139" spans="1:13">
      <c r="A139" s="13"/>
      <c r="B139" s="27"/>
      <c r="C139" s="27"/>
      <c r="D139" s="671">
        <v>3</v>
      </c>
      <c r="E139" s="2127"/>
      <c r="F139" s="2128"/>
      <c r="G139" s="2129"/>
      <c r="H139" s="2130"/>
      <c r="I139" s="2131"/>
      <c r="J139" s="723">
        <f>E139*G139</f>
        <v>0</v>
      </c>
      <c r="K139" s="724">
        <f>J139-L139</f>
        <v>0</v>
      </c>
      <c r="L139" s="724">
        <f>J139*H139</f>
        <v>0</v>
      </c>
      <c r="M139" s="725">
        <f>L139*30/70</f>
        <v>0</v>
      </c>
    </row>
    <row r="140" spans="1:13">
      <c r="A140" s="27"/>
      <c r="B140" s="27"/>
      <c r="C140" s="27"/>
      <c r="D140" s="27"/>
      <c r="E140" s="27"/>
      <c r="F140" s="27"/>
      <c r="G140" s="27"/>
      <c r="H140" s="27"/>
      <c r="I140" s="730"/>
      <c r="J140" s="727">
        <f>SUBTOTAL(9,J137:J139)</f>
        <v>0</v>
      </c>
      <c r="K140" s="728">
        <f>SUBTOTAL(9,K137:K139)</f>
        <v>0</v>
      </c>
      <c r="L140" s="728">
        <f>SUBTOTAL(9,L137:L139)</f>
        <v>0</v>
      </c>
      <c r="M140" s="729">
        <f>SUBTOTAL(9,M137:M139)</f>
        <v>0</v>
      </c>
    </row>
    <row r="141" spans="1:13">
      <c r="A141" s="27"/>
      <c r="B141" s="27"/>
      <c r="C141" s="27"/>
      <c r="D141" s="27"/>
      <c r="E141" s="27"/>
      <c r="F141" s="27"/>
      <c r="G141" s="27"/>
      <c r="H141" s="27"/>
      <c r="I141" s="730"/>
      <c r="J141" s="730"/>
      <c r="K141" s="730"/>
      <c r="L141" s="730"/>
      <c r="M141" s="730"/>
    </row>
    <row r="142" spans="1:13">
      <c r="A142" s="4"/>
      <c r="G142" s="140"/>
      <c r="H142" s="152"/>
      <c r="I142" s="734"/>
      <c r="J142" s="732"/>
      <c r="K142" s="732"/>
      <c r="L142" s="732"/>
      <c r="M142" s="732"/>
    </row>
    <row r="143" spans="1:13" ht="13.5" thickBot="1">
      <c r="A143" s="140"/>
      <c r="G143" s="140"/>
      <c r="H143" s="153" t="s">
        <v>1140</v>
      </c>
      <c r="I143" s="735">
        <f>SUBTOTAL(9,I17:I142)</f>
        <v>0</v>
      </c>
      <c r="J143" s="735">
        <f>SUBTOTAL(9,J17:J142)</f>
        <v>0</v>
      </c>
      <c r="K143" s="735">
        <f>SUBTOTAL(9,K17:K142)</f>
        <v>0</v>
      </c>
      <c r="L143" s="735">
        <f>SUBTOTAL(9,L17:L142)</f>
        <v>0</v>
      </c>
      <c r="M143" s="735">
        <f>SUBTOTAL(9,M17:M142)</f>
        <v>0</v>
      </c>
    </row>
    <row r="144" spans="1:13" ht="13.5" thickTop="1"/>
    <row r="145" spans="1:13">
      <c r="A145" s="3" t="s">
        <v>172</v>
      </c>
    </row>
    <row r="146" spans="1:13" ht="44.25" customHeight="1">
      <c r="A146" s="4074"/>
      <c r="B146" s="4075"/>
      <c r="C146" s="4075"/>
      <c r="D146" s="4075"/>
      <c r="E146" s="4075"/>
      <c r="F146" s="4075"/>
      <c r="G146" s="4075"/>
      <c r="H146" s="4075"/>
      <c r="I146" s="4075"/>
      <c r="J146" s="4075"/>
      <c r="K146" s="4075"/>
      <c r="L146" s="4075"/>
      <c r="M146" s="4076"/>
    </row>
  </sheetData>
  <customSheetViews>
    <customSheetView guid="{BCBE45D4-3C45-4659-992E-5C5D3E9FD81C}" showPageBreaks="1" fitToPage="1" hiddenRows="1" hiddenColumns="1">
      <selection activeCell="F142" sqref="F142"/>
      <pageMargins left="0.59055118110236227" right="0.43307086614173229" top="0.6692913385826772" bottom="0.94488188976377963" header="0.51181102362204722" footer="0.39370078740157483"/>
      <printOptions horizontalCentered="1"/>
      <pageSetup paperSize="9" scale="64"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fitToPage="1" hiddenRows="1" hiddenColumns="1">
      <selection activeCell="F142" sqref="F142"/>
      <pageMargins left="0.59055118110236227" right="0.43307086614173229" top="0.6692913385826772" bottom="0.94488188976377963" header="0.51181102362204722" footer="0.39370078740157483"/>
      <printOptions horizontalCentered="1"/>
      <pageSetup paperSize="9" scale="64" fitToHeight="999" orientation="portrait" blackAndWhite="1" r:id="rId2"/>
      <headerFooter alignWithMargins="0">
        <oddFooter>&amp;L&amp;8Copyright Crowe Horwath (Aust) Pty Ltd 2016.  All rights reserved.
&amp;Z&amp;F[&amp;A]&amp;R&amp;8&amp;P/&amp;N</oddFooter>
      </headerFooter>
    </customSheetView>
  </customSheetViews>
  <mergeCells count="65">
    <mergeCell ref="B126:C126"/>
    <mergeCell ref="B129:C129"/>
    <mergeCell ref="B130:C130"/>
    <mergeCell ref="A146:M146"/>
    <mergeCell ref="B138:C138"/>
    <mergeCell ref="B137:C137"/>
    <mergeCell ref="B134:C134"/>
    <mergeCell ref="B89:C89"/>
    <mergeCell ref="B90:C90"/>
    <mergeCell ref="B122:C122"/>
    <mergeCell ref="B102:C102"/>
    <mergeCell ref="B133:C133"/>
    <mergeCell ref="B97:C97"/>
    <mergeCell ref="B121:C121"/>
    <mergeCell ref="B118:C118"/>
    <mergeCell ref="B101:C101"/>
    <mergeCell ref="B98:C98"/>
    <mergeCell ref="B105:C105"/>
    <mergeCell ref="B125:C125"/>
    <mergeCell ref="B117:C117"/>
    <mergeCell ref="B93:C93"/>
    <mergeCell ref="B110:C110"/>
    <mergeCell ref="B114:C114"/>
    <mergeCell ref="B74:C74"/>
    <mergeCell ref="B82:C82"/>
    <mergeCell ref="B81:C81"/>
    <mergeCell ref="B85:C85"/>
    <mergeCell ref="B86:C86"/>
    <mergeCell ref="B78:C78"/>
    <mergeCell ref="B77:C77"/>
    <mergeCell ref="B113:C113"/>
    <mergeCell ref="B50:C50"/>
    <mergeCell ref="B49:C49"/>
    <mergeCell ref="B46:C46"/>
    <mergeCell ref="B54:C54"/>
    <mergeCell ref="B73:C73"/>
    <mergeCell ref="B65:C65"/>
    <mergeCell ref="B57:C57"/>
    <mergeCell ref="B94:C94"/>
    <mergeCell ref="B70:C70"/>
    <mergeCell ref="B69:C69"/>
    <mergeCell ref="B62:C62"/>
    <mergeCell ref="B66:C66"/>
    <mergeCell ref="B109:C109"/>
    <mergeCell ref="B106:C106"/>
    <mergeCell ref="B61:C61"/>
    <mergeCell ref="A6:M6"/>
    <mergeCell ref="B17:C17"/>
    <mergeCell ref="B18:C18"/>
    <mergeCell ref="L7:M7"/>
    <mergeCell ref="B21:C21"/>
    <mergeCell ref="B58:C58"/>
    <mergeCell ref="B33:C33"/>
    <mergeCell ref="B41:C41"/>
    <mergeCell ref="B22:C22"/>
    <mergeCell ref="B25:C25"/>
    <mergeCell ref="B53:C53"/>
    <mergeCell ref="B34:C34"/>
    <mergeCell ref="B30:C30"/>
    <mergeCell ref="B45:C45"/>
    <mergeCell ref="B26:C26"/>
    <mergeCell ref="B29:C29"/>
    <mergeCell ref="B42:C42"/>
    <mergeCell ref="B37:C37"/>
    <mergeCell ref="B38:C38"/>
  </mergeCells>
  <phoneticPr fontId="26" type="noConversion"/>
  <conditionalFormatting sqref="O152">
    <cfRule type="expression" dxfId="16" priority="1" stopIfTrue="1">
      <formula>SUM($152:$152)=0</formula>
    </cfRule>
  </conditionalFormatting>
  <hyperlinks>
    <hyperlink ref="L7" location="WP_Dividend_Summary" display="Back to Workpaper Index" xr:uid="{00000000-0004-0000-2E00-000000000000}"/>
  </hyperlinks>
  <printOptions horizontalCentered="1"/>
  <pageMargins left="0.59055118110236227" right="0.43307086614173229" top="0.6692913385826772" bottom="0.94488188976377963" header="0.51181102362204722" footer="0.39370078740157483"/>
  <pageSetup paperSize="9" scale="65" fitToHeight="999" orientation="portrait" blackAndWhite="1" r:id="rId3"/>
  <headerFooter alignWithMargins="0">
    <oddFooter>&amp;L&amp;8Copyright Crowe Horwath (Aust) Pty Ltd 2016.  All rights reserved.
&amp;Z&amp;F[&amp;A]&amp;R&amp;8&amp;P/&amp;N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2470" r:id="rId6" name="Drop Down 6">
              <controlPr defaultSize="0" autoLine="0" autoPict="0" macro="[0]!Dividend_Summary">
                <anchor moveWithCells="1">
                  <from>
                    <xdr:col>3</xdr:col>
                    <xdr:colOff>0</xdr:colOff>
                    <xdr:row>9</xdr:row>
                    <xdr:rowOff>152400</xdr:rowOff>
                  </from>
                  <to>
                    <xdr:col>4</xdr:col>
                    <xdr:colOff>514350</xdr:colOff>
                    <xdr:row>11</xdr:row>
                    <xdr:rowOff>28575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Rental_Sheet">
    <pageSetUpPr fitToPage="1"/>
  </sheetPr>
  <dimension ref="A1:P50"/>
  <sheetViews>
    <sheetView workbookViewId="0">
      <selection activeCell="M56" sqref="M56"/>
    </sheetView>
  </sheetViews>
  <sheetFormatPr defaultColWidth="9.140625" defaultRowHeight="12.75"/>
  <cols>
    <col min="1" max="2" width="11.5703125" style="1" customWidth="1"/>
    <col min="3" max="4" width="8.5703125" style="1" customWidth="1"/>
    <col min="5" max="5" width="8.5703125" style="14" customWidth="1"/>
    <col min="6" max="6" width="8.5703125" style="1" customWidth="1"/>
    <col min="7" max="14" width="8.5703125" style="14" customWidth="1"/>
    <col min="15" max="15" width="12.140625" style="14" customWidth="1"/>
    <col min="16" max="16" width="8.28515625" style="1" hidden="1" customWidth="1"/>
    <col min="17" max="16384" width="9.140625" style="1"/>
  </cols>
  <sheetData>
    <row r="1" spans="1:15" ht="15.75">
      <c r="A1" s="740"/>
      <c r="B1" s="740"/>
      <c r="C1" s="40"/>
      <c r="D1" s="40"/>
      <c r="E1" s="40"/>
      <c r="F1" s="40"/>
      <c r="G1" s="40"/>
      <c r="H1" s="40"/>
      <c r="I1" s="40"/>
      <c r="J1" s="40"/>
      <c r="K1" s="40"/>
      <c r="L1" s="40"/>
      <c r="M1" s="40"/>
      <c r="N1" s="40"/>
      <c r="O1" s="1847"/>
    </row>
    <row r="2" spans="1:15" s="32" customFormat="1">
      <c r="A2" s="206"/>
      <c r="M2" s="11"/>
      <c r="N2" s="11" t="s">
        <v>331</v>
      </c>
      <c r="O2" s="709" t="s">
        <v>1262</v>
      </c>
    </row>
    <row r="3" spans="1:15" s="32" customFormat="1" ht="17.25" customHeight="1">
      <c r="A3" s="206"/>
      <c r="M3" s="71" t="s">
        <v>332</v>
      </c>
      <c r="N3" s="1845" t="str">
        <f>IF(PreparedBy="","",PreparedBy)</f>
        <v/>
      </c>
      <c r="O3" s="1846" t="str">
        <f>IF(DatePrepared="","",DatePrepared)</f>
        <v/>
      </c>
    </row>
    <row r="4" spans="1:15" s="32" customFormat="1" ht="17.25" customHeight="1">
      <c r="A4" s="206"/>
      <c r="M4" s="71" t="s">
        <v>333</v>
      </c>
      <c r="N4" s="1848"/>
      <c r="O4" s="1849"/>
    </row>
    <row r="5" spans="1:15" s="32" customFormat="1" ht="3.95" customHeight="1">
      <c r="A5" s="206"/>
      <c r="B5" s="43"/>
      <c r="C5" s="43"/>
      <c r="D5" s="43"/>
      <c r="E5" s="43"/>
    </row>
    <row r="6" spans="1:15" ht="15.75">
      <c r="A6" s="3704" t="str">
        <f>WP_Rental_Property_Summary</f>
        <v>Rental Property Summary</v>
      </c>
      <c r="B6" s="3705"/>
      <c r="C6" s="3705"/>
      <c r="D6" s="3705"/>
      <c r="E6" s="3705"/>
      <c r="F6" s="3705"/>
      <c r="G6" s="3705"/>
      <c r="H6" s="3705"/>
      <c r="I6" s="3705"/>
      <c r="J6" s="3705"/>
      <c r="K6" s="3705"/>
      <c r="L6" s="3705"/>
      <c r="M6" s="3705"/>
      <c r="N6" s="3705"/>
      <c r="O6" s="3706"/>
    </row>
    <row r="7" spans="1:15">
      <c r="M7" s="3832" t="s">
        <v>1039</v>
      </c>
      <c r="N7" s="3832"/>
      <c r="O7" s="3832"/>
    </row>
    <row r="8" spans="1:15" ht="15.75">
      <c r="A8" s="222" t="str">
        <f>"CLIENT NAME:   "&amp;'WP Index'!E3</f>
        <v>CLIENT NAME:   Example Trust</v>
      </c>
      <c r="N8" s="47" t="s">
        <v>951</v>
      </c>
      <c r="O8" s="47">
        <f>'WP Index'!G5</f>
        <v>45473</v>
      </c>
    </row>
    <row r="9" spans="1:15">
      <c r="A9" s="9" t="str">
        <f>"CLIENT CODE:   "&amp;'WP Index'!E4</f>
        <v>CLIENT CODE:   99999</v>
      </c>
    </row>
    <row r="11" spans="1:15">
      <c r="A11" s="3" t="s">
        <v>1116</v>
      </c>
      <c r="C11" s="4083"/>
      <c r="D11" s="4084"/>
      <c r="E11" s="4084"/>
      <c r="F11" s="4084"/>
      <c r="G11" s="4084"/>
      <c r="H11" s="4084"/>
      <c r="I11" s="4084"/>
      <c r="J11" s="4084"/>
      <c r="K11" s="4084"/>
      <c r="L11" s="4084"/>
      <c r="M11" s="4084"/>
      <c r="N11" s="4084"/>
      <c r="O11" s="4085"/>
    </row>
    <row r="12" spans="1:15">
      <c r="A12" s="1" t="s">
        <v>1117</v>
      </c>
      <c r="C12" s="4086"/>
      <c r="D12" s="4087"/>
      <c r="E12" s="4087"/>
      <c r="F12" s="4087"/>
      <c r="G12" s="4087"/>
      <c r="H12" s="4087"/>
      <c r="I12" s="4087"/>
      <c r="J12" s="4087"/>
      <c r="K12" s="4087"/>
      <c r="L12" s="4087"/>
      <c r="M12" s="4087"/>
      <c r="N12" s="4087"/>
      <c r="O12" s="4088"/>
    </row>
    <row r="15" spans="1:15">
      <c r="A15" s="3823" t="s">
        <v>1287</v>
      </c>
      <c r="B15" s="3824"/>
      <c r="C15" s="3824"/>
      <c r="D15" s="3824"/>
      <c r="E15" s="3824"/>
      <c r="F15" s="3824"/>
      <c r="G15" s="3824"/>
      <c r="H15" s="3824"/>
      <c r="I15" s="3824"/>
      <c r="J15" s="3824"/>
      <c r="K15" s="3824"/>
      <c r="L15" s="3824"/>
      <c r="M15" s="3824"/>
      <c r="N15" s="3824"/>
      <c r="O15" s="3825"/>
    </row>
    <row r="16" spans="1:15">
      <c r="A16" s="11"/>
      <c r="B16" s="11"/>
      <c r="C16" s="11"/>
      <c r="D16" s="11"/>
      <c r="E16" s="11"/>
      <c r="F16" s="11"/>
      <c r="G16" s="11"/>
      <c r="H16" s="11"/>
      <c r="I16" s="11"/>
      <c r="J16" s="11"/>
      <c r="K16" s="11"/>
      <c r="L16" s="11"/>
      <c r="M16" s="11"/>
      <c r="N16" s="11"/>
      <c r="O16" s="11"/>
    </row>
    <row r="17" spans="1:16" s="932" customFormat="1">
      <c r="C17" s="1522" t="s">
        <v>1105</v>
      </c>
      <c r="D17" s="1522" t="s">
        <v>973</v>
      </c>
      <c r="E17" s="1522" t="s">
        <v>974</v>
      </c>
      <c r="F17" s="1522" t="s">
        <v>1106</v>
      </c>
      <c r="G17" s="1522" t="s">
        <v>975</v>
      </c>
      <c r="H17" s="1522" t="s">
        <v>1279</v>
      </c>
      <c r="I17" s="1522" t="s">
        <v>1108</v>
      </c>
      <c r="J17" s="1522" t="s">
        <v>1280</v>
      </c>
      <c r="K17" s="1522" t="s">
        <v>1281</v>
      </c>
      <c r="L17" s="1522" t="s">
        <v>1107</v>
      </c>
      <c r="M17" s="1522" t="s">
        <v>967</v>
      </c>
      <c r="N17" s="1522" t="s">
        <v>1282</v>
      </c>
      <c r="O17" s="1522" t="s">
        <v>1129</v>
      </c>
      <c r="P17" s="931" t="s">
        <v>1286</v>
      </c>
    </row>
    <row r="18" spans="1:16">
      <c r="C18" s="20"/>
      <c r="D18" s="20"/>
      <c r="E18" s="20"/>
      <c r="F18" s="20"/>
      <c r="G18" s="20"/>
      <c r="H18" s="20"/>
      <c r="I18" s="20"/>
      <c r="J18" s="20"/>
      <c r="K18" s="20"/>
      <c r="L18" s="20"/>
      <c r="M18" s="20"/>
      <c r="N18" s="20"/>
    </row>
    <row r="19" spans="1:16">
      <c r="A19" s="1" t="s">
        <v>1114</v>
      </c>
      <c r="C19" s="1850"/>
      <c r="D19" s="1850"/>
      <c r="E19" s="1850"/>
      <c r="F19" s="1850"/>
      <c r="G19" s="1850"/>
      <c r="H19" s="1850"/>
      <c r="I19" s="1850"/>
      <c r="J19" s="1850"/>
      <c r="K19" s="1850"/>
      <c r="L19" s="1850"/>
      <c r="M19" s="1850"/>
      <c r="N19" s="1850"/>
      <c r="O19" s="716">
        <f>SUM(C19:N19)</f>
        <v>0</v>
      </c>
    </row>
    <row r="20" spans="1:16">
      <c r="A20" s="1" t="s">
        <v>968</v>
      </c>
      <c r="C20" s="1851"/>
      <c r="D20" s="1851"/>
      <c r="E20" s="1851"/>
      <c r="F20" s="1851"/>
      <c r="G20" s="1851"/>
      <c r="H20" s="1851"/>
      <c r="I20" s="1851"/>
      <c r="J20" s="1851"/>
      <c r="K20" s="1851"/>
      <c r="L20" s="1851"/>
      <c r="M20" s="1851"/>
      <c r="N20" s="1851"/>
      <c r="O20" s="716">
        <f>SUM(C20:N20)</f>
        <v>0</v>
      </c>
    </row>
    <row r="21" spans="1:16">
      <c r="A21" s="3" t="s">
        <v>1173</v>
      </c>
      <c r="C21" s="717">
        <f>SUM(C19:C20)</f>
        <v>0</v>
      </c>
      <c r="D21" s="717">
        <f t="shared" ref="D21:O21" si="0">SUM(D19:D20)</f>
        <v>0</v>
      </c>
      <c r="E21" s="717">
        <f t="shared" si="0"/>
        <v>0</v>
      </c>
      <c r="F21" s="717">
        <f t="shared" si="0"/>
        <v>0</v>
      </c>
      <c r="G21" s="717">
        <f t="shared" si="0"/>
        <v>0</v>
      </c>
      <c r="H21" s="717">
        <f t="shared" si="0"/>
        <v>0</v>
      </c>
      <c r="I21" s="717">
        <f t="shared" si="0"/>
        <v>0</v>
      </c>
      <c r="J21" s="717">
        <f t="shared" si="0"/>
        <v>0</v>
      </c>
      <c r="K21" s="717">
        <f t="shared" si="0"/>
        <v>0</v>
      </c>
      <c r="L21" s="717">
        <f t="shared" si="0"/>
        <v>0</v>
      </c>
      <c r="M21" s="717">
        <f t="shared" si="0"/>
        <v>0</v>
      </c>
      <c r="N21" s="717">
        <f t="shared" si="0"/>
        <v>0</v>
      </c>
      <c r="O21" s="717">
        <f t="shared" si="0"/>
        <v>0</v>
      </c>
    </row>
    <row r="22" spans="1:16">
      <c r="C22" s="716"/>
      <c r="D22" s="716"/>
      <c r="E22" s="716"/>
      <c r="F22" s="716"/>
      <c r="G22" s="716"/>
      <c r="H22" s="716"/>
      <c r="I22" s="716"/>
      <c r="J22" s="716"/>
      <c r="K22" s="716"/>
      <c r="L22" s="716"/>
      <c r="M22" s="716"/>
      <c r="N22" s="716"/>
      <c r="O22" s="716"/>
    </row>
    <row r="23" spans="1:16">
      <c r="A23" s="1" t="s">
        <v>1059</v>
      </c>
      <c r="C23" s="1850"/>
      <c r="D23" s="1850"/>
      <c r="E23" s="1850"/>
      <c r="F23" s="1850"/>
      <c r="G23" s="1850"/>
      <c r="H23" s="1850"/>
      <c r="I23" s="1850"/>
      <c r="J23" s="1850"/>
      <c r="K23" s="1850"/>
      <c r="L23" s="1850"/>
      <c r="M23" s="1850"/>
      <c r="N23" s="1850"/>
      <c r="O23" s="716">
        <f t="shared" ref="O23:O28" si="1">SUM(C23:N23)</f>
        <v>0</v>
      </c>
    </row>
    <row r="24" spans="1:16">
      <c r="A24" s="1" t="s">
        <v>978</v>
      </c>
      <c r="C24" s="1852"/>
      <c r="D24" s="1852"/>
      <c r="E24" s="1852"/>
      <c r="F24" s="1852"/>
      <c r="G24" s="1852"/>
      <c r="H24" s="1852"/>
      <c r="I24" s="1852"/>
      <c r="J24" s="1852"/>
      <c r="K24" s="1852"/>
      <c r="L24" s="1852"/>
      <c r="M24" s="1852"/>
      <c r="N24" s="1852"/>
      <c r="O24" s="716">
        <f t="shared" si="1"/>
        <v>0</v>
      </c>
    </row>
    <row r="25" spans="1:16">
      <c r="A25" s="1" t="s">
        <v>335</v>
      </c>
      <c r="C25" s="1852"/>
      <c r="D25" s="1852"/>
      <c r="E25" s="1852"/>
      <c r="F25" s="1852"/>
      <c r="G25" s="1852"/>
      <c r="H25" s="1852"/>
      <c r="I25" s="1852"/>
      <c r="J25" s="1852"/>
      <c r="K25" s="1852"/>
      <c r="L25" s="1852"/>
      <c r="M25" s="1852"/>
      <c r="N25" s="1852"/>
      <c r="O25" s="716">
        <f t="shared" si="1"/>
        <v>0</v>
      </c>
    </row>
    <row r="26" spans="1:16">
      <c r="A26" s="1" t="s">
        <v>336</v>
      </c>
      <c r="C26" s="1852"/>
      <c r="D26" s="1852"/>
      <c r="E26" s="1852"/>
      <c r="F26" s="1852"/>
      <c r="G26" s="1852"/>
      <c r="H26" s="1852"/>
      <c r="I26" s="1852"/>
      <c r="J26" s="1852"/>
      <c r="K26" s="1852"/>
      <c r="L26" s="1852"/>
      <c r="M26" s="1852"/>
      <c r="N26" s="1852"/>
      <c r="O26" s="716">
        <f t="shared" si="1"/>
        <v>0</v>
      </c>
    </row>
    <row r="27" spans="1:16">
      <c r="A27" s="1" t="s">
        <v>970</v>
      </c>
      <c r="C27" s="1852"/>
      <c r="D27" s="1852"/>
      <c r="E27" s="1852"/>
      <c r="F27" s="1852"/>
      <c r="G27" s="1852"/>
      <c r="H27" s="1852"/>
      <c r="I27" s="1852"/>
      <c r="J27" s="1852"/>
      <c r="K27" s="1852"/>
      <c r="L27" s="1852"/>
      <c r="M27" s="1852"/>
      <c r="N27" s="1852"/>
      <c r="O27" s="716">
        <f t="shared" si="1"/>
        <v>0</v>
      </c>
    </row>
    <row r="28" spans="1:16">
      <c r="A28" s="1" t="s">
        <v>337</v>
      </c>
      <c r="C28" s="1852"/>
      <c r="D28" s="1852"/>
      <c r="E28" s="1852"/>
      <c r="F28" s="1852"/>
      <c r="G28" s="1852"/>
      <c r="H28" s="1852"/>
      <c r="I28" s="1852"/>
      <c r="J28" s="1852"/>
      <c r="K28" s="1852"/>
      <c r="L28" s="1852"/>
      <c r="M28" s="1852"/>
      <c r="N28" s="1852"/>
      <c r="O28" s="716">
        <f t="shared" si="1"/>
        <v>0</v>
      </c>
    </row>
    <row r="29" spans="1:16">
      <c r="A29" s="1" t="s">
        <v>338</v>
      </c>
      <c r="C29" s="1852"/>
      <c r="D29" s="1852"/>
      <c r="E29" s="1852"/>
      <c r="F29" s="1852"/>
      <c r="G29" s="1852"/>
      <c r="H29" s="1852"/>
      <c r="I29" s="1852"/>
      <c r="J29" s="1852"/>
      <c r="K29" s="1852"/>
      <c r="L29" s="1852"/>
      <c r="M29" s="1852"/>
      <c r="N29" s="1852"/>
      <c r="O29" s="716">
        <f t="shared" ref="O29:O43" si="2">SUM(C29:N29)</f>
        <v>0</v>
      </c>
    </row>
    <row r="30" spans="1:16">
      <c r="A30" s="1" t="s">
        <v>1270</v>
      </c>
      <c r="C30" s="1852"/>
      <c r="D30" s="1852"/>
      <c r="E30" s="1852"/>
      <c r="F30" s="1852"/>
      <c r="G30" s="1852"/>
      <c r="H30" s="1852"/>
      <c r="I30" s="1852"/>
      <c r="J30" s="1852"/>
      <c r="K30" s="1852"/>
      <c r="L30" s="1852"/>
      <c r="M30" s="1852"/>
      <c r="N30" s="1852"/>
      <c r="O30" s="716">
        <f t="shared" si="2"/>
        <v>0</v>
      </c>
    </row>
    <row r="31" spans="1:16">
      <c r="A31" s="1" t="s">
        <v>1156</v>
      </c>
      <c r="C31" s="1852"/>
      <c r="D31" s="1852"/>
      <c r="E31" s="1852"/>
      <c r="F31" s="1852"/>
      <c r="G31" s="1852"/>
      <c r="H31" s="1852"/>
      <c r="I31" s="1852"/>
      <c r="J31" s="1852"/>
      <c r="K31" s="1852"/>
      <c r="L31" s="1852"/>
      <c r="M31" s="1852"/>
      <c r="N31" s="1852"/>
      <c r="O31" s="716">
        <f t="shared" si="2"/>
        <v>0</v>
      </c>
    </row>
    <row r="32" spans="1:16">
      <c r="A32" s="1" t="s">
        <v>339</v>
      </c>
      <c r="C32" s="1852"/>
      <c r="D32" s="1852"/>
      <c r="E32" s="1852"/>
      <c r="F32" s="1852"/>
      <c r="G32" s="1852"/>
      <c r="H32" s="1852"/>
      <c r="I32" s="1852"/>
      <c r="J32" s="1852"/>
      <c r="K32" s="1852"/>
      <c r="L32" s="1852"/>
      <c r="M32" s="1852"/>
      <c r="N32" s="1852"/>
      <c r="O32" s="716">
        <f t="shared" si="2"/>
        <v>0</v>
      </c>
    </row>
    <row r="33" spans="1:15">
      <c r="A33" s="1" t="s">
        <v>340</v>
      </c>
      <c r="C33" s="1852"/>
      <c r="D33" s="1852"/>
      <c r="E33" s="1852"/>
      <c r="F33" s="1852"/>
      <c r="G33" s="1852"/>
      <c r="H33" s="1852"/>
      <c r="I33" s="1852"/>
      <c r="J33" s="1852"/>
      <c r="K33" s="1852"/>
      <c r="L33" s="1852"/>
      <c r="M33" s="1852"/>
      <c r="N33" s="1852"/>
      <c r="O33" s="716">
        <f>SUM(C33:N33)</f>
        <v>0</v>
      </c>
    </row>
    <row r="34" spans="1:15">
      <c r="A34" s="1" t="s">
        <v>969</v>
      </c>
      <c r="C34" s="1852"/>
      <c r="D34" s="1852"/>
      <c r="E34" s="1852"/>
      <c r="F34" s="1852"/>
      <c r="G34" s="1852"/>
      <c r="H34" s="1852"/>
      <c r="I34" s="1852"/>
      <c r="J34" s="1852"/>
      <c r="K34" s="1852"/>
      <c r="L34" s="1852"/>
      <c r="M34" s="1852"/>
      <c r="N34" s="1852"/>
      <c r="O34" s="716">
        <f t="shared" si="2"/>
        <v>0</v>
      </c>
    </row>
    <row r="35" spans="1:15">
      <c r="A35" s="1" t="s">
        <v>341</v>
      </c>
      <c r="C35" s="1852"/>
      <c r="D35" s="1852"/>
      <c r="E35" s="1852"/>
      <c r="F35" s="1852"/>
      <c r="G35" s="1852"/>
      <c r="H35" s="1852"/>
      <c r="I35" s="1852"/>
      <c r="J35" s="1852"/>
      <c r="K35" s="1852"/>
      <c r="L35" s="1852"/>
      <c r="M35" s="1852"/>
      <c r="N35" s="1852"/>
      <c r="O35" s="716">
        <f t="shared" si="2"/>
        <v>0</v>
      </c>
    </row>
    <row r="36" spans="1:15">
      <c r="A36" s="1" t="s">
        <v>1118</v>
      </c>
      <c r="C36" s="1852"/>
      <c r="D36" s="1852"/>
      <c r="E36" s="1852"/>
      <c r="F36" s="1852"/>
      <c r="G36" s="1852"/>
      <c r="H36" s="1852"/>
      <c r="I36" s="1852"/>
      <c r="J36" s="1852"/>
      <c r="K36" s="1852"/>
      <c r="L36" s="1852"/>
      <c r="M36" s="1852"/>
      <c r="N36" s="1852"/>
      <c r="O36" s="716">
        <f t="shared" si="2"/>
        <v>0</v>
      </c>
    </row>
    <row r="37" spans="1:15">
      <c r="A37" s="1" t="s">
        <v>342</v>
      </c>
      <c r="C37" s="1852"/>
      <c r="D37" s="1852"/>
      <c r="E37" s="1852"/>
      <c r="F37" s="1852"/>
      <c r="G37" s="1852"/>
      <c r="H37" s="1852"/>
      <c r="I37" s="1852"/>
      <c r="J37" s="1852"/>
      <c r="K37" s="1852"/>
      <c r="L37" s="1852"/>
      <c r="M37" s="1852"/>
      <c r="N37" s="1852"/>
      <c r="O37" s="716">
        <f t="shared" si="2"/>
        <v>0</v>
      </c>
    </row>
    <row r="38" spans="1:15">
      <c r="A38" s="1479" t="s">
        <v>1977</v>
      </c>
      <c r="C38" s="1852"/>
      <c r="D38" s="1852"/>
      <c r="E38" s="1852"/>
      <c r="F38" s="1852"/>
      <c r="G38" s="1852"/>
      <c r="H38" s="1852"/>
      <c r="I38" s="1852"/>
      <c r="J38" s="1852"/>
      <c r="K38" s="1852"/>
      <c r="L38" s="1852"/>
      <c r="M38" s="1852"/>
      <c r="N38" s="1852"/>
      <c r="O38" s="716">
        <f t="shared" si="2"/>
        <v>0</v>
      </c>
    </row>
    <row r="39" spans="1:15">
      <c r="A39" s="1" t="s">
        <v>343</v>
      </c>
      <c r="C39" s="1852"/>
      <c r="D39" s="1852"/>
      <c r="E39" s="1852"/>
      <c r="F39" s="1852"/>
      <c r="G39" s="1852"/>
      <c r="H39" s="1852"/>
      <c r="I39" s="1852"/>
      <c r="J39" s="1852"/>
      <c r="K39" s="1852"/>
      <c r="L39" s="1852"/>
      <c r="M39" s="1852"/>
      <c r="N39" s="1852"/>
      <c r="O39" s="716">
        <f t="shared" si="2"/>
        <v>0</v>
      </c>
    </row>
    <row r="40" spans="1:15">
      <c r="A40" s="1" t="s">
        <v>971</v>
      </c>
      <c r="C40" s="1852"/>
      <c r="D40" s="1852"/>
      <c r="E40" s="1852"/>
      <c r="F40" s="1852"/>
      <c r="G40" s="1852"/>
      <c r="H40" s="1852"/>
      <c r="I40" s="1852"/>
      <c r="J40" s="1852"/>
      <c r="K40" s="1852"/>
      <c r="L40" s="1852"/>
      <c r="M40" s="1852"/>
      <c r="N40" s="1852"/>
      <c r="O40" s="716">
        <f t="shared" si="2"/>
        <v>0</v>
      </c>
    </row>
    <row r="41" spans="1:15">
      <c r="A41" s="1" t="s">
        <v>344</v>
      </c>
      <c r="C41" s="1852"/>
      <c r="D41" s="1852"/>
      <c r="E41" s="1852"/>
      <c r="F41" s="1852"/>
      <c r="G41" s="1852"/>
      <c r="H41" s="1852"/>
      <c r="I41" s="1852"/>
      <c r="J41" s="1852"/>
      <c r="K41" s="1852"/>
      <c r="L41" s="1852"/>
      <c r="M41" s="1852"/>
      <c r="N41" s="1852"/>
      <c r="O41" s="716">
        <f t="shared" si="2"/>
        <v>0</v>
      </c>
    </row>
    <row r="42" spans="1:15">
      <c r="A42" s="4080" t="s">
        <v>345</v>
      </c>
      <c r="B42" s="4080"/>
      <c r="C42" s="1852"/>
      <c r="D42" s="1852"/>
      <c r="E42" s="1852"/>
      <c r="F42" s="1852"/>
      <c r="G42" s="1852"/>
      <c r="H42" s="1852"/>
      <c r="I42" s="1852"/>
      <c r="J42" s="1852"/>
      <c r="K42" s="1852"/>
      <c r="L42" s="1852"/>
      <c r="M42" s="1852"/>
      <c r="N42" s="1852"/>
      <c r="O42" s="716">
        <f t="shared" si="2"/>
        <v>0</v>
      </c>
    </row>
    <row r="43" spans="1:15">
      <c r="A43" s="4081" t="s">
        <v>346</v>
      </c>
      <c r="B43" s="4081"/>
      <c r="C43" s="1852"/>
      <c r="D43" s="1852"/>
      <c r="E43" s="1852"/>
      <c r="F43" s="1852"/>
      <c r="G43" s="1852"/>
      <c r="H43" s="1852"/>
      <c r="I43" s="1852"/>
      <c r="J43" s="1852"/>
      <c r="K43" s="1852"/>
      <c r="L43" s="1852"/>
      <c r="M43" s="1852"/>
      <c r="N43" s="1852"/>
      <c r="O43" s="716">
        <f t="shared" si="2"/>
        <v>0</v>
      </c>
    </row>
    <row r="44" spans="1:15">
      <c r="A44" s="4082" t="s">
        <v>347</v>
      </c>
      <c r="B44" s="4082"/>
      <c r="C44" s="1853"/>
      <c r="D44" s="1853"/>
      <c r="E44" s="1853"/>
      <c r="F44" s="1853"/>
      <c r="G44" s="1853"/>
      <c r="H44" s="1853"/>
      <c r="I44" s="1853"/>
      <c r="J44" s="1853"/>
      <c r="K44" s="1853"/>
      <c r="L44" s="1853"/>
      <c r="M44" s="1853"/>
      <c r="N44" s="1853"/>
      <c r="O44" s="716">
        <f>SUM(C44:N44)</f>
        <v>0</v>
      </c>
    </row>
    <row r="45" spans="1:15">
      <c r="A45" s="1666" t="s">
        <v>542</v>
      </c>
      <c r="B45" s="1637"/>
      <c r="C45" s="717">
        <f>SUM(C23:C44)</f>
        <v>0</v>
      </c>
      <c r="D45" s="717">
        <f t="shared" ref="D45:O45" si="3">SUM(D23:D44)</f>
        <v>0</v>
      </c>
      <c r="E45" s="717">
        <f t="shared" si="3"/>
        <v>0</v>
      </c>
      <c r="F45" s="717">
        <f t="shared" si="3"/>
        <v>0</v>
      </c>
      <c r="G45" s="717">
        <f t="shared" si="3"/>
        <v>0</v>
      </c>
      <c r="H45" s="717">
        <f t="shared" si="3"/>
        <v>0</v>
      </c>
      <c r="I45" s="717">
        <f t="shared" si="3"/>
        <v>0</v>
      </c>
      <c r="J45" s="717">
        <f t="shared" si="3"/>
        <v>0</v>
      </c>
      <c r="K45" s="717">
        <f t="shared" si="3"/>
        <v>0</v>
      </c>
      <c r="L45" s="717">
        <f t="shared" si="3"/>
        <v>0</v>
      </c>
      <c r="M45" s="717">
        <f t="shared" si="3"/>
        <v>0</v>
      </c>
      <c r="N45" s="717">
        <f t="shared" si="3"/>
        <v>0</v>
      </c>
      <c r="O45" s="717">
        <f t="shared" si="3"/>
        <v>0</v>
      </c>
    </row>
    <row r="46" spans="1:15">
      <c r="C46" s="716"/>
      <c r="D46" s="716"/>
      <c r="E46" s="716"/>
      <c r="F46" s="716"/>
      <c r="G46" s="716"/>
      <c r="H46" s="716"/>
      <c r="I46" s="716"/>
      <c r="J46" s="716"/>
      <c r="K46" s="716"/>
      <c r="L46" s="716"/>
      <c r="M46" s="716"/>
      <c r="N46" s="716"/>
      <c r="O46" s="716"/>
    </row>
    <row r="47" spans="1:15" ht="13.5" thickBot="1">
      <c r="A47" s="3" t="s">
        <v>972</v>
      </c>
      <c r="C47" s="718">
        <f t="shared" ref="C47:O47" si="4">C21-C45</f>
        <v>0</v>
      </c>
      <c r="D47" s="718">
        <f t="shared" si="4"/>
        <v>0</v>
      </c>
      <c r="E47" s="718">
        <f t="shared" si="4"/>
        <v>0</v>
      </c>
      <c r="F47" s="718">
        <f t="shared" si="4"/>
        <v>0</v>
      </c>
      <c r="G47" s="718">
        <f t="shared" si="4"/>
        <v>0</v>
      </c>
      <c r="H47" s="718">
        <f t="shared" si="4"/>
        <v>0</v>
      </c>
      <c r="I47" s="718">
        <f t="shared" si="4"/>
        <v>0</v>
      </c>
      <c r="J47" s="718">
        <f t="shared" si="4"/>
        <v>0</v>
      </c>
      <c r="K47" s="718">
        <f t="shared" si="4"/>
        <v>0</v>
      </c>
      <c r="L47" s="718">
        <f t="shared" si="4"/>
        <v>0</v>
      </c>
      <c r="M47" s="718">
        <f t="shared" si="4"/>
        <v>0</v>
      </c>
      <c r="N47" s="718">
        <f t="shared" si="4"/>
        <v>0</v>
      </c>
      <c r="O47" s="718">
        <f t="shared" si="4"/>
        <v>0</v>
      </c>
    </row>
    <row r="48" spans="1:15" ht="13.5" thickTop="1"/>
    <row r="49" spans="1:15">
      <c r="A49" s="3" t="s">
        <v>172</v>
      </c>
    </row>
    <row r="50" spans="1:15" ht="50.25" customHeight="1">
      <c r="A50" s="4077"/>
      <c r="B50" s="4078"/>
      <c r="C50" s="4078"/>
      <c r="D50" s="4078"/>
      <c r="E50" s="4078"/>
      <c r="F50" s="4078"/>
      <c r="G50" s="4078"/>
      <c r="H50" s="4078"/>
      <c r="I50" s="4078"/>
      <c r="J50" s="4078"/>
      <c r="K50" s="4078"/>
      <c r="L50" s="4078"/>
      <c r="M50" s="4078"/>
      <c r="N50" s="4078"/>
      <c r="O50" s="4079"/>
    </row>
  </sheetData>
  <customSheetViews>
    <customSheetView guid="{BCBE45D4-3C45-4659-992E-5C5D3E9FD81C}" fitToPage="1" hiddenColumns="1" topLeftCell="A7">
      <selection activeCell="M56" sqref="M56"/>
      <rowBreaks count="1" manualBreakCount="1">
        <brk id="14" max="16383" man="1"/>
      </rowBreaks>
      <pageMargins left="0.59055118110236227" right="0.43307086614173229" top="0.6692913385826772" bottom="0.94488188976377963" header="0.51181102362204722" footer="0.39370078740157483"/>
      <printOptions horizontalCentered="1"/>
      <pageSetup paperSize="9" scale="56"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M56" sqref="M56"/>
      <rowBreaks count="1" manualBreakCount="1">
        <brk id="14" max="16383" man="1"/>
      </rowBreaks>
      <pageMargins left="0.59055118110236227" right="0.43307086614173229" top="0.6692913385826772" bottom="0.94488188976377963" header="0.51181102362204722" footer="0.39370078740157483"/>
      <printOptions horizontalCentered="1"/>
      <pageSetup paperSize="9" scale="56" fitToHeight="999" orientation="portrait" blackAndWhite="1" r:id="rId2"/>
      <headerFooter alignWithMargins="0">
        <oddFooter>&amp;L&amp;8Copyright Crowe Horwath (Aust) Pty Ltd 2016.  All rights reserved.
&amp;Z&amp;F[&amp;A]&amp;R&amp;8&amp;P/&amp;N</oddFooter>
      </headerFooter>
    </customSheetView>
  </customSheetViews>
  <mergeCells count="9">
    <mergeCell ref="A50:O50"/>
    <mergeCell ref="A42:B42"/>
    <mergeCell ref="A43:B43"/>
    <mergeCell ref="A44:B44"/>
    <mergeCell ref="A6:O6"/>
    <mergeCell ref="C11:O11"/>
    <mergeCell ref="C12:O12"/>
    <mergeCell ref="M7:O7"/>
    <mergeCell ref="A15:O15"/>
  </mergeCells>
  <phoneticPr fontId="26" type="noConversion"/>
  <conditionalFormatting sqref="P152">
    <cfRule type="expression" dxfId="15" priority="1" stopIfTrue="1">
      <formula>SUM($152:$152)=0</formula>
    </cfRule>
  </conditionalFormatting>
  <hyperlinks>
    <hyperlink ref="M7" location="'WP Index'!E73" display="Back to Workpaper Index" xr:uid="{00000000-0004-0000-2F00-000000000000}"/>
    <hyperlink ref="M7:O7" location="WP_Rental_Property_Summary" display="Back to Workpaper Index" xr:uid="{00000000-0004-0000-2F00-000001000000}"/>
  </hyperlinks>
  <printOptions horizontalCentered="1"/>
  <pageMargins left="0.59055118110236227" right="0.43307086614173229" top="0.6692913385826772" bottom="0.94488188976377963" header="0.51181102362204722" footer="0.39370078740157483"/>
  <pageSetup paperSize="9" scale="56" fitToHeight="999" orientation="portrait" blackAndWhite="1" r:id="rId3"/>
  <headerFooter alignWithMargins="0">
    <oddFooter>&amp;L&amp;8Copyright Crowe Horwath (Aust) Pty Ltd 2016.  All rights reserved.
&amp;Z&amp;F[&amp;A]&amp;R&amp;8&amp;P/&amp;N</oddFooter>
  </headerFooter>
  <rowBreaks count="1" manualBreakCount="1">
    <brk id="14" max="16383" man="1"/>
  </rowBreaks>
  <drawing r:id="rId4"/>
  <legacyDrawing r:id="rId5"/>
  <controls>
    <mc:AlternateContent xmlns:mc="http://schemas.openxmlformats.org/markup-compatibility/2006">
      <mc:Choice Requires="x14">
        <control shapeId="3326" r:id="rId6" name="TypeButton">
          <controlPr defaultSize="0" autoLine="0" r:id="rId7">
            <anchor moveWithCells="1">
              <from>
                <xdr:col>17</xdr:col>
                <xdr:colOff>0</xdr:colOff>
                <xdr:row>7</xdr:row>
                <xdr:rowOff>0</xdr:rowOff>
              </from>
              <to>
                <xdr:col>18</xdr:col>
                <xdr:colOff>238125</xdr:colOff>
                <xdr:row>9</xdr:row>
                <xdr:rowOff>0</xdr:rowOff>
              </to>
            </anchor>
          </controlPr>
        </control>
      </mc:Choice>
      <mc:Fallback>
        <control shapeId="3326" r:id="rId6" name="TypeButton"/>
      </mc:Fallback>
    </mc:AlternateContent>
  </control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rivate_Use_Sheet">
    <tabColor theme="8" tint="0.79998168889431442"/>
  </sheetPr>
  <dimension ref="A1:F73"/>
  <sheetViews>
    <sheetView zoomScaleNormal="100" workbookViewId="0">
      <selection sqref="A1:F1"/>
    </sheetView>
  </sheetViews>
  <sheetFormatPr defaultColWidth="9.140625" defaultRowHeight="12.75"/>
  <cols>
    <col min="1" max="1" width="15.85546875" style="1" customWidth="1"/>
    <col min="2" max="2" width="20.28515625" style="1" customWidth="1"/>
    <col min="3" max="3" width="14.140625" style="62" customWidth="1"/>
    <col min="4" max="4" width="10" style="1" customWidth="1"/>
    <col min="5" max="5" width="14.85546875" style="14" customWidth="1"/>
    <col min="6" max="6" width="8.28515625" style="1" hidden="1" customWidth="1"/>
    <col min="7" max="16384" width="9.140625" style="1"/>
  </cols>
  <sheetData>
    <row r="1" spans="1:6">
      <c r="D1" s="2613" t="s">
        <v>2425</v>
      </c>
      <c r="E1" s="3576" t="s">
        <v>2758</v>
      </c>
    </row>
    <row r="2" spans="1:6" ht="15.75">
      <c r="A2" s="740">
        <v>0</v>
      </c>
      <c r="B2" s="740"/>
      <c r="C2" s="40"/>
      <c r="D2" s="40"/>
      <c r="E2" s="1"/>
    </row>
    <row r="3" spans="1:6" s="32" customFormat="1">
      <c r="C3" s="11"/>
      <c r="D3" s="2795" t="s">
        <v>1163</v>
      </c>
      <c r="E3" s="709" t="s">
        <v>1262</v>
      </c>
    </row>
    <row r="4" spans="1:6" s="32" customFormat="1" ht="17.25" customHeight="1">
      <c r="C4" s="71" t="s">
        <v>332</v>
      </c>
      <c r="D4" s="2617" t="str">
        <f>IF(PreparedBy="","",PreparedBy)</f>
        <v/>
      </c>
      <c r="E4" s="2618" t="str">
        <f>IF(DatePrepared="","",DatePrepared)</f>
        <v/>
      </c>
    </row>
    <row r="5" spans="1:6" s="32" customFormat="1" ht="17.25" customHeight="1">
      <c r="C5" s="71" t="s">
        <v>333</v>
      </c>
      <c r="D5" s="2619"/>
      <c r="E5" s="2620"/>
    </row>
    <row r="6" spans="1:6" s="32" customFormat="1" ht="15.75">
      <c r="A6" s="206"/>
      <c r="B6" s="43"/>
      <c r="C6" s="43"/>
    </row>
    <row r="7" spans="1:6" ht="15.75">
      <c r="A7" s="3704" t="str">
        <f>WP_Private_Use_Adj</f>
        <v>Private Use Adjustments</v>
      </c>
      <c r="B7" s="3705"/>
      <c r="C7" s="3705"/>
      <c r="D7" s="3705"/>
      <c r="E7" s="3706"/>
    </row>
    <row r="8" spans="1:6">
      <c r="D8" s="3832" t="s">
        <v>2526</v>
      </c>
      <c r="E8" s="3832"/>
    </row>
    <row r="9" spans="1:6" ht="15.75">
      <c r="A9" s="222" t="str">
        <f>"CLIENT NAME:   "&amp;'WP Index'!E3</f>
        <v>CLIENT NAME:   Example Trust</v>
      </c>
    </row>
    <row r="10" spans="1:6">
      <c r="A10" s="9" t="str">
        <f>"CLIENT CODE:   "&amp;'WP Index'!E4</f>
        <v>CLIENT CODE:   99999</v>
      </c>
      <c r="D10" s="47" t="s">
        <v>951</v>
      </c>
      <c r="E10" s="47">
        <f>'WP Index'!G5</f>
        <v>45473</v>
      </c>
    </row>
    <row r="11" spans="1:6">
      <c r="F11" s="6" t="s">
        <v>1286</v>
      </c>
    </row>
    <row r="12" spans="1:6">
      <c r="A12" s="3" t="s">
        <v>1119</v>
      </c>
    </row>
    <row r="13" spans="1:6" ht="4.5" customHeight="1"/>
    <row r="14" spans="1:6">
      <c r="A14" s="1" t="s">
        <v>1397</v>
      </c>
      <c r="E14" s="2052"/>
    </row>
    <row r="15" spans="1:6" ht="4.5" customHeight="1">
      <c r="E15" s="362"/>
    </row>
    <row r="16" spans="1:6">
      <c r="A16" s="1" t="s">
        <v>489</v>
      </c>
      <c r="C16" s="2998"/>
      <c r="D16" s="1" t="str">
        <f>IF(C16="","%","")</f>
        <v>%</v>
      </c>
      <c r="E16" s="362">
        <f>C16*-E14</f>
        <v>0</v>
      </c>
    </row>
    <row r="17" spans="1:5" ht="4.5" customHeight="1">
      <c r="E17" s="362"/>
    </row>
    <row r="18" spans="1:5" ht="13.5" thickBot="1">
      <c r="A18" s="1" t="s">
        <v>490</v>
      </c>
      <c r="E18" s="358">
        <f>SUM(E14:E17)</f>
        <v>0</v>
      </c>
    </row>
    <row r="19" spans="1:5" ht="13.5" thickTop="1">
      <c r="E19" s="362"/>
    </row>
    <row r="20" spans="1:5">
      <c r="E20" s="362"/>
    </row>
    <row r="21" spans="1:5">
      <c r="A21" s="3" t="s">
        <v>468</v>
      </c>
      <c r="E21" s="362"/>
    </row>
    <row r="22" spans="1:5" ht="4.5" customHeight="1">
      <c r="E22" s="362"/>
    </row>
    <row r="23" spans="1:5">
      <c r="A23" s="1" t="s">
        <v>1132</v>
      </c>
      <c r="E23" s="2052"/>
    </row>
    <row r="24" spans="1:5" ht="4.5" customHeight="1">
      <c r="E24" s="362"/>
    </row>
    <row r="25" spans="1:5">
      <c r="A25" s="1" t="s">
        <v>489</v>
      </c>
      <c r="C25" s="2998"/>
      <c r="D25" s="1" t="str">
        <f>IF(C25="","%","")</f>
        <v>%</v>
      </c>
      <c r="E25" s="362">
        <f>C25*-E23</f>
        <v>0</v>
      </c>
    </row>
    <row r="26" spans="1:5" ht="4.5" customHeight="1">
      <c r="E26" s="362"/>
    </row>
    <row r="27" spans="1:5" ht="13.5" thickBot="1">
      <c r="A27" s="1" t="s">
        <v>490</v>
      </c>
      <c r="E27" s="358">
        <f>SUM(E23:E26)</f>
        <v>0</v>
      </c>
    </row>
    <row r="28" spans="1:5" ht="13.5" thickTop="1">
      <c r="E28" s="362"/>
    </row>
    <row r="29" spans="1:5">
      <c r="A29" s="3" t="s">
        <v>1288</v>
      </c>
      <c r="E29" s="362"/>
    </row>
    <row r="30" spans="1:5" ht="4.5" customHeight="1">
      <c r="E30" s="362"/>
    </row>
    <row r="31" spans="1:5">
      <c r="A31" s="1" t="s">
        <v>1132</v>
      </c>
      <c r="E31" s="2052"/>
    </row>
    <row r="32" spans="1:5" ht="4.5" customHeight="1">
      <c r="E32" s="362"/>
    </row>
    <row r="33" spans="1:5">
      <c r="A33" s="1" t="s">
        <v>489</v>
      </c>
      <c r="C33" s="2998"/>
      <c r="D33" s="1" t="str">
        <f>IF(C33="","%","")</f>
        <v>%</v>
      </c>
      <c r="E33" s="362">
        <f>C33*-E31</f>
        <v>0</v>
      </c>
    </row>
    <row r="34" spans="1:5" ht="4.5" customHeight="1">
      <c r="E34" s="362"/>
    </row>
    <row r="35" spans="1:5" ht="13.5" thickBot="1">
      <c r="A35" s="1" t="s">
        <v>490</v>
      </c>
      <c r="E35" s="358">
        <f>SUM(E31:E34)</f>
        <v>0</v>
      </c>
    </row>
    <row r="36" spans="1:5" ht="13.5" thickTop="1">
      <c r="E36" s="362"/>
    </row>
    <row r="37" spans="1:5">
      <c r="A37" s="3" t="s">
        <v>1270</v>
      </c>
      <c r="E37" s="362"/>
    </row>
    <row r="38" spans="1:5" ht="4.5" customHeight="1">
      <c r="E38" s="362"/>
    </row>
    <row r="39" spans="1:5">
      <c r="A39" s="1" t="s">
        <v>1132</v>
      </c>
      <c r="E39" s="2052"/>
    </row>
    <row r="40" spans="1:5" ht="4.5" customHeight="1">
      <c r="E40" s="362"/>
    </row>
    <row r="41" spans="1:5">
      <c r="A41" s="1" t="s">
        <v>489</v>
      </c>
      <c r="C41" s="2998"/>
      <c r="D41" s="1" t="str">
        <f>IF(C41="","%","")</f>
        <v>%</v>
      </c>
      <c r="E41" s="362">
        <f>C41*-E39</f>
        <v>0</v>
      </c>
    </row>
    <row r="42" spans="1:5" ht="4.5" customHeight="1">
      <c r="E42" s="362"/>
    </row>
    <row r="43" spans="1:5" ht="13.5" thickBot="1">
      <c r="A43" s="1" t="s">
        <v>490</v>
      </c>
      <c r="E43" s="358">
        <f>SUM(E39:E42)</f>
        <v>0</v>
      </c>
    </row>
    <row r="44" spans="1:5" ht="13.5" thickTop="1">
      <c r="E44" s="362"/>
    </row>
    <row r="45" spans="1:5">
      <c r="A45" s="3" t="s">
        <v>1514</v>
      </c>
      <c r="E45" s="362"/>
    </row>
    <row r="46" spans="1:5" ht="4.5" customHeight="1">
      <c r="E46" s="362"/>
    </row>
    <row r="47" spans="1:5">
      <c r="A47" s="1" t="s">
        <v>1132</v>
      </c>
      <c r="E47" s="2052"/>
    </row>
    <row r="48" spans="1:5" ht="4.5" customHeight="1">
      <c r="E48" s="362"/>
    </row>
    <row r="49" spans="1:5">
      <c r="A49" s="1" t="s">
        <v>489</v>
      </c>
      <c r="C49" s="2998"/>
      <c r="D49" s="1" t="str">
        <f>IF(C49="","%","")</f>
        <v>%</v>
      </c>
      <c r="E49" s="362">
        <f>C49*-E47</f>
        <v>0</v>
      </c>
    </row>
    <row r="50" spans="1:5" ht="4.5" customHeight="1">
      <c r="E50" s="362"/>
    </row>
    <row r="51" spans="1:5" ht="13.5" thickBot="1">
      <c r="A51" s="1" t="s">
        <v>490</v>
      </c>
      <c r="E51" s="358">
        <f>SUM(E47:E50)</f>
        <v>0</v>
      </c>
    </row>
    <row r="52" spans="1:5" ht="13.5" thickTop="1">
      <c r="E52" s="362"/>
    </row>
    <row r="53" spans="1:5">
      <c r="A53" s="3" t="s">
        <v>312</v>
      </c>
      <c r="E53" s="362"/>
    </row>
    <row r="54" spans="1:5" ht="4.5" customHeight="1">
      <c r="E54" s="362"/>
    </row>
    <row r="55" spans="1:5">
      <c r="A55" s="1" t="s">
        <v>1132</v>
      </c>
      <c r="E55" s="2052"/>
    </row>
    <row r="56" spans="1:5" ht="4.5" customHeight="1">
      <c r="E56" s="362"/>
    </row>
    <row r="57" spans="1:5">
      <c r="A57" s="1" t="s">
        <v>489</v>
      </c>
      <c r="C57" s="2998"/>
      <c r="D57" s="1" t="str">
        <f>IF(C57="","%","")</f>
        <v>%</v>
      </c>
      <c r="E57" s="362">
        <f>C57*-E55</f>
        <v>0</v>
      </c>
    </row>
    <row r="58" spans="1:5" ht="4.5" customHeight="1">
      <c r="E58" s="362"/>
    </row>
    <row r="59" spans="1:5" ht="13.5" thickBot="1">
      <c r="A59" s="1" t="s">
        <v>490</v>
      </c>
      <c r="E59" s="358">
        <f>SUM(E55:E58)</f>
        <v>0</v>
      </c>
    </row>
    <row r="60" spans="1:5" ht="13.5" thickTop="1">
      <c r="E60" s="357"/>
    </row>
    <row r="61" spans="1:5">
      <c r="A61" s="3" t="s">
        <v>959</v>
      </c>
      <c r="E61" s="362"/>
    </row>
    <row r="62" spans="1:5">
      <c r="A62" s="1" t="str">
        <f>A12</f>
        <v>Electricity</v>
      </c>
      <c r="E62" s="362">
        <f>E16*0.1</f>
        <v>0</v>
      </c>
    </row>
    <row r="63" spans="1:5">
      <c r="A63" s="1" t="str">
        <f>A21</f>
        <v>Telephone</v>
      </c>
      <c r="E63" s="362">
        <f>E25*0.1</f>
        <v>0</v>
      </c>
    </row>
    <row r="64" spans="1:5">
      <c r="A64" s="1479" t="str">
        <f>A29</f>
        <v>Rates</v>
      </c>
      <c r="E64" s="362">
        <f>E33*0.1</f>
        <v>0</v>
      </c>
    </row>
    <row r="65" spans="1:5">
      <c r="A65" s="1479" t="str">
        <f>A37</f>
        <v>Insurance</v>
      </c>
      <c r="E65" s="362">
        <f>E41*0.1</f>
        <v>0</v>
      </c>
    </row>
    <row r="66" spans="1:5">
      <c r="A66" s="1479" t="str">
        <f>A45</f>
        <v>Motor Vehicle</v>
      </c>
      <c r="E66" s="362">
        <f>E49*0.1</f>
        <v>0</v>
      </c>
    </row>
    <row r="67" spans="1:5">
      <c r="A67" s="1479" t="s">
        <v>312</v>
      </c>
      <c r="E67" s="362">
        <f>E57*0.1</f>
        <v>0</v>
      </c>
    </row>
    <row r="68" spans="1:5" ht="13.5" thickBot="1">
      <c r="A68" s="1" t="s">
        <v>1129</v>
      </c>
      <c r="E68" s="398">
        <f>SUM(E62:E66)</f>
        <v>0</v>
      </c>
    </row>
    <row r="69" spans="1:5" ht="13.5" thickTop="1">
      <c r="E69" s="362"/>
    </row>
    <row r="70" spans="1:5">
      <c r="A70" s="3" t="s">
        <v>1091</v>
      </c>
      <c r="E70" s="392">
        <f>E68+E33+E25+E41+E49+E16</f>
        <v>0</v>
      </c>
    </row>
    <row r="71" spans="1:5">
      <c r="E71" s="362"/>
    </row>
    <row r="72" spans="1:5">
      <c r="A72" s="3" t="s">
        <v>172</v>
      </c>
    </row>
    <row r="73" spans="1:5" ht="47.25" customHeight="1">
      <c r="A73" s="3742"/>
      <c r="B73" s="3743"/>
      <c r="C73" s="3743"/>
      <c r="D73" s="3743"/>
      <c r="E73" s="3744"/>
    </row>
  </sheetData>
  <customSheetViews>
    <customSheetView guid="{BCBE45D4-3C45-4659-992E-5C5D3E9FD81C}" fitToPage="1" hiddenColumns="1" topLeftCell="A31">
      <selection activeCell="G68" sqref="G68"/>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topLeftCell="A4">
      <selection activeCell="G68" sqref="G68"/>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3">
    <mergeCell ref="A7:E7"/>
    <mergeCell ref="D8:E8"/>
    <mergeCell ref="A73:E73"/>
  </mergeCells>
  <phoneticPr fontId="26" type="noConversion"/>
  <conditionalFormatting sqref="F181">
    <cfRule type="expression" dxfId="14" priority="1" stopIfTrue="1">
      <formula>SUM($181:$181)=0</formula>
    </cfRule>
  </conditionalFormatting>
  <hyperlinks>
    <hyperlink ref="D8" location="WP_Private_Use_Adj" display="Back to Workpaper Index" xr:uid="{00000000-0004-0000-3000-000000000000}"/>
    <hyperlink ref="D8:E8" location="WPIndex!A1" display="Back to WP Index" xr:uid="{BA665D4F-3DEB-459C-A682-23F0459D791B}"/>
  </hyperlinks>
  <printOptions horizontalCentered="1"/>
  <pageMargins left="0.59055118110236227" right="0.43307086614173229" top="0.6692913385826772" bottom="0.94488188976377963" header="0.51181102362204722" footer="0.39370078740157483"/>
  <pageSetup paperSize="9" scale="86" fitToHeight="999" orientation="portrait" r:id="rId3"/>
  <headerFooter alignWithMargins="0">
    <oddFooter>&amp;L&amp;8© Findex (Aust) Pty Ltd.  All rights reserved.&amp;R&amp;8&amp;P/&amp;N</oddFooter>
  </headerFooter>
  <drawing r:id="rId4"/>
  <legacyDrawing r:id="rId5"/>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Motor_Vec_WP_Sheet">
    <tabColor theme="8" tint="0.79998168889431442"/>
  </sheetPr>
  <dimension ref="A1:K50"/>
  <sheetViews>
    <sheetView zoomScaleNormal="100" workbookViewId="0">
      <selection sqref="A1:F1"/>
    </sheetView>
  </sheetViews>
  <sheetFormatPr defaultColWidth="9.140625" defaultRowHeight="12.75"/>
  <cols>
    <col min="1" max="1" width="12" style="1" customWidth="1"/>
    <col min="2" max="2" width="9.140625" style="1"/>
    <col min="3" max="3" width="11.28515625" style="1" bestFit="1" customWidth="1"/>
    <col min="4" max="4" width="12.5703125" style="1" customWidth="1"/>
    <col min="5" max="5" width="10.140625" style="1" customWidth="1"/>
    <col min="6" max="6" width="11.5703125" style="1" customWidth="1"/>
    <col min="7" max="7" width="9.140625" style="1"/>
    <col min="8" max="8" width="13" style="1" customWidth="1"/>
    <col min="9" max="9" width="10.42578125" style="1" customWidth="1"/>
    <col min="10" max="10" width="12.85546875" style="1" customWidth="1"/>
    <col min="11" max="11" width="8.28515625" style="1" hidden="1" customWidth="1"/>
    <col min="12" max="16384" width="9.140625" style="1"/>
  </cols>
  <sheetData>
    <row r="1" spans="1:11">
      <c r="I1" s="2613" t="s">
        <v>2425</v>
      </c>
      <c r="J1" s="3576" t="s">
        <v>2758</v>
      </c>
    </row>
    <row r="2" spans="1:11" ht="15.75">
      <c r="A2" s="740"/>
      <c r="B2" s="740"/>
      <c r="C2" s="740"/>
      <c r="D2" s="40"/>
      <c r="E2" s="40"/>
      <c r="F2" s="40"/>
      <c r="G2" s="40"/>
      <c r="H2" s="40"/>
      <c r="I2" s="71" t="s">
        <v>2426</v>
      </c>
      <c r="J2" s="2621"/>
    </row>
    <row r="3" spans="1:11" ht="15.75">
      <c r="A3" s="740"/>
      <c r="B3" s="740"/>
      <c r="C3" s="740"/>
      <c r="D3" s="40"/>
      <c r="E3" s="40"/>
      <c r="F3" s="40"/>
      <c r="G3" s="40"/>
      <c r="H3" s="40"/>
      <c r="I3" s="40"/>
    </row>
    <row r="4" spans="1:11" s="32" customFormat="1">
      <c r="A4" s="206"/>
      <c r="H4" s="11"/>
      <c r="I4" s="2795" t="s">
        <v>1163</v>
      </c>
      <c r="J4" s="709" t="s">
        <v>1262</v>
      </c>
    </row>
    <row r="5" spans="1:11" s="32" customFormat="1" ht="17.25" customHeight="1">
      <c r="A5" s="206"/>
      <c r="H5" s="71" t="s">
        <v>332</v>
      </c>
      <c r="I5" s="2617" t="str">
        <f>IF(PreparedBy="","",PreparedBy)</f>
        <v/>
      </c>
      <c r="J5" s="2618" t="str">
        <f>IF(DatePrepared="","",DatePrepared)</f>
        <v/>
      </c>
    </row>
    <row r="6" spans="1:11" s="32" customFormat="1" ht="17.25" customHeight="1">
      <c r="A6" s="206"/>
      <c r="H6" s="71" t="s">
        <v>333</v>
      </c>
      <c r="I6" s="2619"/>
      <c r="J6" s="2620"/>
    </row>
    <row r="7" spans="1:11" s="32" customFormat="1" ht="15.75">
      <c r="A7" s="206"/>
      <c r="B7" s="43"/>
      <c r="C7" s="43"/>
      <c r="D7" s="43"/>
      <c r="E7" s="43"/>
    </row>
    <row r="8" spans="1:11" ht="15.75">
      <c r="A8" s="3704" t="str">
        <f>WP_MV_Substantiation</f>
        <v>Motor Vehicle Substantiation Workpaper</v>
      </c>
      <c r="B8" s="3705"/>
      <c r="C8" s="3705"/>
      <c r="D8" s="3705"/>
      <c r="E8" s="3705"/>
      <c r="F8" s="3705"/>
      <c r="G8" s="3705"/>
      <c r="H8" s="3705"/>
      <c r="I8" s="3705"/>
      <c r="J8" s="3706"/>
    </row>
    <row r="9" spans="1:11">
      <c r="A9" s="8"/>
      <c r="B9" s="8"/>
      <c r="C9" s="8"/>
      <c r="D9" s="8"/>
      <c r="E9" s="8"/>
      <c r="F9" s="8"/>
      <c r="G9" s="8"/>
      <c r="H9" s="8"/>
      <c r="I9" s="3832" t="s">
        <v>2526</v>
      </c>
      <c r="J9" s="3832"/>
    </row>
    <row r="10" spans="1:11" ht="15.75">
      <c r="A10" s="222" t="str">
        <f>"CLIENT NAME:   "&amp;'WP Index'!E3</f>
        <v>CLIENT NAME:   Example Trust</v>
      </c>
      <c r="B10" s="8"/>
      <c r="C10" s="8"/>
      <c r="D10" s="8"/>
      <c r="E10" s="8"/>
      <c r="F10" s="8"/>
      <c r="G10" s="8"/>
      <c r="H10" s="8"/>
      <c r="I10" s="8"/>
      <c r="J10" s="8"/>
    </row>
    <row r="11" spans="1:11">
      <c r="A11" s="9" t="str">
        <f>"CLIENT CODE:   "&amp;'WP Index'!E4</f>
        <v>CLIENT CODE:   99999</v>
      </c>
      <c r="B11" s="8"/>
      <c r="C11" s="8"/>
      <c r="D11" s="8"/>
      <c r="E11" s="8"/>
      <c r="F11" s="8"/>
      <c r="G11" s="8"/>
      <c r="H11" s="8"/>
      <c r="I11" s="47" t="s">
        <v>951</v>
      </c>
      <c r="J11" s="47">
        <f>'WP Index'!G5</f>
        <v>45473</v>
      </c>
    </row>
    <row r="12" spans="1:11">
      <c r="A12" s="8"/>
      <c r="B12" s="8"/>
      <c r="C12" s="8"/>
      <c r="D12" s="8"/>
      <c r="E12" s="8"/>
      <c r="F12" s="8"/>
      <c r="G12" s="8"/>
      <c r="H12" s="8"/>
      <c r="I12" s="27"/>
      <c r="J12" s="8"/>
      <c r="K12" s="6" t="s">
        <v>1286</v>
      </c>
    </row>
    <row r="13" spans="1:11">
      <c r="A13" s="54" t="s">
        <v>1263</v>
      </c>
      <c r="B13" s="183"/>
      <c r="C13" s="4090"/>
      <c r="D13" s="4091"/>
      <c r="E13" s="4091"/>
      <c r="F13" s="4092"/>
      <c r="G13" s="54" t="s">
        <v>1307</v>
      </c>
      <c r="H13" s="8"/>
      <c r="I13" s="3000"/>
      <c r="J13" s="8"/>
    </row>
    <row r="14" spans="1:11">
      <c r="A14" s="54" t="s">
        <v>1294</v>
      </c>
      <c r="C14" s="155">
        <f>J11</f>
        <v>45473</v>
      </c>
      <c r="D14" s="8"/>
      <c r="E14" s="8"/>
      <c r="F14" s="8"/>
      <c r="G14" s="54" t="s">
        <v>1308</v>
      </c>
      <c r="H14" s="8"/>
      <c r="I14" s="3001"/>
      <c r="J14" s="8"/>
    </row>
    <row r="15" spans="1:11" ht="13.5" thickBot="1">
      <c r="A15" s="54" t="s">
        <v>1310</v>
      </c>
      <c r="B15" s="8"/>
      <c r="C15" s="214"/>
      <c r="E15" s="71" t="s">
        <v>1264</v>
      </c>
      <c r="F15" s="2999"/>
      <c r="G15" s="54" t="s">
        <v>1309</v>
      </c>
      <c r="H15" s="8"/>
      <c r="I15" s="181">
        <f>I14-I13</f>
        <v>0</v>
      </c>
      <c r="J15" s="8"/>
    </row>
    <row r="16" spans="1:11" ht="13.5" thickTop="1">
      <c r="A16" s="8"/>
      <c r="B16" s="8"/>
      <c r="C16" s="1667"/>
      <c r="D16" s="8"/>
      <c r="E16" s="8"/>
      <c r="F16" s="8"/>
      <c r="G16" s="8"/>
      <c r="H16" s="8"/>
      <c r="I16" s="8"/>
      <c r="J16" s="8"/>
    </row>
    <row r="17" spans="1:10">
      <c r="A17" s="54" t="s">
        <v>1265</v>
      </c>
      <c r="B17" s="8"/>
      <c r="C17" s="3002"/>
      <c r="E17" s="8"/>
      <c r="F17" s="8"/>
      <c r="G17" s="8"/>
      <c r="H17" s="8"/>
      <c r="I17" s="8"/>
      <c r="J17" s="8"/>
    </row>
    <row r="18" spans="1:10">
      <c r="A18" s="54" t="s">
        <v>1266</v>
      </c>
      <c r="B18" s="8"/>
      <c r="C18" s="3003"/>
      <c r="E18" s="8"/>
      <c r="F18" s="8"/>
      <c r="G18" s="8"/>
      <c r="H18" s="8"/>
      <c r="I18" s="8"/>
      <c r="J18" s="8"/>
    </row>
    <row r="19" spans="1:10">
      <c r="A19" s="54" t="s">
        <v>1295</v>
      </c>
      <c r="B19" s="8"/>
      <c r="C19" s="3004"/>
      <c r="E19" s="8"/>
      <c r="F19" s="8"/>
      <c r="G19" s="8"/>
      <c r="H19" s="63">
        <f>IF(C18&lt;(C14-365),365,IF(C18&gt;(C14-365),C14-C18,0))</f>
        <v>365</v>
      </c>
      <c r="I19" s="8"/>
      <c r="J19" s="8"/>
    </row>
    <row r="20" spans="1:10">
      <c r="A20" s="8"/>
      <c r="B20" s="8"/>
      <c r="C20" s="8"/>
      <c r="D20" s="8"/>
      <c r="E20" s="8"/>
      <c r="F20" s="8"/>
      <c r="G20" s="8"/>
      <c r="H20" s="63">
        <f>IF(C19&gt;0,C19-(C14-365),365)</f>
        <v>365</v>
      </c>
      <c r="I20" s="8"/>
      <c r="J20" s="8"/>
    </row>
    <row r="21" spans="1:10">
      <c r="A21" s="54" t="s">
        <v>1267</v>
      </c>
      <c r="B21" s="8"/>
      <c r="C21" s="8"/>
      <c r="D21" s="8"/>
      <c r="E21" s="8"/>
      <c r="F21" s="8"/>
      <c r="G21" s="8"/>
      <c r="H21" s="8"/>
      <c r="I21" s="8"/>
      <c r="J21" s="8"/>
    </row>
    <row r="22" spans="1:10">
      <c r="A22" s="8"/>
      <c r="B22" s="8"/>
      <c r="C22" s="8"/>
      <c r="D22" s="8"/>
      <c r="E22" s="8"/>
      <c r="F22" s="11" t="s">
        <v>976</v>
      </c>
      <c r="G22" s="8"/>
      <c r="H22" s="8"/>
      <c r="I22" s="8"/>
      <c r="J22" s="8"/>
    </row>
    <row r="23" spans="1:10">
      <c r="A23" s="54" t="s">
        <v>1268</v>
      </c>
      <c r="B23" s="8"/>
      <c r="C23" s="8"/>
      <c r="D23" s="8"/>
      <c r="E23" s="8"/>
      <c r="F23" s="3005"/>
      <c r="G23" s="8"/>
      <c r="H23" s="8"/>
      <c r="I23" s="8"/>
      <c r="J23" s="8"/>
    </row>
    <row r="24" spans="1:10">
      <c r="A24" s="54" t="s">
        <v>477</v>
      </c>
      <c r="B24" s="8"/>
      <c r="C24" s="8"/>
      <c r="D24" s="8"/>
      <c r="E24" s="8"/>
      <c r="F24" s="164">
        <f>I15/100*I24*I25</f>
        <v>0</v>
      </c>
      <c r="G24" s="8"/>
      <c r="H24" s="54" t="s">
        <v>1301</v>
      </c>
      <c r="I24" s="3006"/>
      <c r="J24" s="8"/>
    </row>
    <row r="25" spans="1:10">
      <c r="A25" s="54" t="s">
        <v>1311</v>
      </c>
      <c r="B25" s="8"/>
      <c r="C25" s="8"/>
      <c r="D25" s="8"/>
      <c r="E25" s="8"/>
      <c r="F25" s="2757"/>
      <c r="G25" s="8"/>
      <c r="H25" s="54" t="s">
        <v>1112</v>
      </c>
      <c r="I25" s="3007"/>
      <c r="J25" s="8"/>
    </row>
    <row r="26" spans="1:10">
      <c r="A26" s="54" t="s">
        <v>980</v>
      </c>
      <c r="B26" s="8"/>
      <c r="C26" s="8"/>
      <c r="D26" s="8"/>
      <c r="E26" s="8"/>
      <c r="F26" s="2759"/>
      <c r="G26" s="8"/>
      <c r="H26" s="8"/>
      <c r="I26" s="8"/>
      <c r="J26" s="8"/>
    </row>
    <row r="27" spans="1:10">
      <c r="A27" s="54" t="s">
        <v>1270</v>
      </c>
      <c r="B27" s="8"/>
      <c r="C27" s="8"/>
      <c r="D27" s="8"/>
      <c r="E27" s="8"/>
      <c r="F27" s="2759"/>
      <c r="G27" s="8"/>
      <c r="H27" s="8"/>
      <c r="I27" s="8"/>
      <c r="J27" s="8"/>
    </row>
    <row r="28" spans="1:10">
      <c r="A28" s="54" t="s">
        <v>1271</v>
      </c>
      <c r="B28" s="8"/>
      <c r="C28" s="8"/>
      <c r="D28" s="8"/>
      <c r="E28" s="8"/>
      <c r="F28" s="2759"/>
      <c r="G28" s="8"/>
      <c r="H28" s="54" t="s">
        <v>1130</v>
      </c>
      <c r="I28" s="8"/>
      <c r="J28" s="8"/>
    </row>
    <row r="29" spans="1:10">
      <c r="A29" s="54" t="s">
        <v>1272</v>
      </c>
      <c r="B29" s="8"/>
      <c r="C29" s="8"/>
      <c r="D29" s="8"/>
      <c r="E29" s="8"/>
      <c r="F29" s="2759"/>
      <c r="G29" s="8"/>
      <c r="H29" s="8"/>
      <c r="I29" s="8"/>
      <c r="J29" s="8"/>
    </row>
    <row r="30" spans="1:10">
      <c r="A30" s="54" t="s">
        <v>1273</v>
      </c>
      <c r="B30" s="8"/>
      <c r="C30" s="8"/>
      <c r="D30" s="8"/>
      <c r="E30" s="8"/>
      <c r="F30" s="2759"/>
      <c r="G30" s="8"/>
      <c r="H30" s="8" t="s">
        <v>1032</v>
      </c>
      <c r="I30" s="8"/>
      <c r="J30" s="356">
        <f>C17</f>
        <v>0</v>
      </c>
    </row>
    <row r="31" spans="1:10">
      <c r="A31" s="54" t="s">
        <v>1306</v>
      </c>
      <c r="B31" s="8"/>
      <c r="C31" s="8"/>
      <c r="D31" s="8"/>
      <c r="E31" s="8"/>
      <c r="F31" s="2759"/>
      <c r="G31" s="8"/>
      <c r="H31" s="8" t="s">
        <v>960</v>
      </c>
      <c r="I31" s="8"/>
      <c r="J31" s="64">
        <f>C18</f>
        <v>0</v>
      </c>
    </row>
    <row r="32" spans="1:10">
      <c r="A32" s="54" t="s">
        <v>1274</v>
      </c>
      <c r="B32" s="8"/>
      <c r="C32" s="8"/>
      <c r="D32" s="8"/>
      <c r="E32" s="8"/>
      <c r="F32" s="2761"/>
      <c r="G32" s="8"/>
      <c r="H32" s="8" t="s">
        <v>1033</v>
      </c>
      <c r="I32" s="8"/>
      <c r="J32" s="65">
        <f>IF(H19&lt;365, H19, IF(H20&lt;365, H20, 365))</f>
        <v>365</v>
      </c>
    </row>
    <row r="33" spans="1:10">
      <c r="A33" s="8"/>
      <c r="B33" s="8"/>
      <c r="C33" s="8"/>
      <c r="D33" s="8"/>
      <c r="E33" s="8"/>
      <c r="F33" s="164"/>
      <c r="G33" s="8"/>
      <c r="H33" s="8"/>
      <c r="I33" s="8"/>
      <c r="J33" s="65"/>
    </row>
    <row r="34" spans="1:10">
      <c r="A34" s="54" t="s">
        <v>1275</v>
      </c>
      <c r="B34" s="8"/>
      <c r="C34" s="8"/>
      <c r="D34" s="8"/>
      <c r="E34" s="8"/>
      <c r="F34" s="361">
        <f>SUM(F23:F33)</f>
        <v>0</v>
      </c>
      <c r="G34" s="8"/>
      <c r="H34" s="8" t="s">
        <v>1302</v>
      </c>
      <c r="I34" s="8"/>
      <c r="J34" s="2757"/>
    </row>
    <row r="35" spans="1:10">
      <c r="A35" s="8"/>
      <c r="B35" s="8"/>
      <c r="C35" s="8"/>
      <c r="D35" s="8"/>
      <c r="E35" s="8"/>
      <c r="F35" s="164"/>
      <c r="G35" s="8"/>
      <c r="H35" s="8" t="s">
        <v>1035</v>
      </c>
      <c r="I35" s="8"/>
      <c r="J35" s="3008"/>
    </row>
    <row r="36" spans="1:10">
      <c r="A36" s="8" t="s">
        <v>1092</v>
      </c>
      <c r="B36" s="8"/>
      <c r="C36" s="8"/>
      <c r="D36" s="182">
        <f>1-F15</f>
        <v>1</v>
      </c>
      <c r="E36" s="8"/>
      <c r="F36" s="356">
        <f>F34*D36</f>
        <v>0</v>
      </c>
      <c r="G36" s="8"/>
      <c r="H36" s="8" t="s">
        <v>1034</v>
      </c>
      <c r="I36" s="8"/>
      <c r="J36" s="356">
        <f>J34*J35*J32/365</f>
        <v>0</v>
      </c>
    </row>
    <row r="37" spans="1:10">
      <c r="A37" s="54"/>
      <c r="B37" s="8"/>
      <c r="C37" s="8"/>
      <c r="D37" s="8"/>
      <c r="E37" s="8"/>
      <c r="F37" s="356"/>
      <c r="G37" s="8"/>
      <c r="H37" s="8"/>
      <c r="I37" s="8"/>
      <c r="J37" s="164"/>
    </row>
    <row r="38" spans="1:10">
      <c r="A38" s="8" t="s">
        <v>1276</v>
      </c>
      <c r="B38" s="8"/>
      <c r="C38" s="8"/>
      <c r="D38" s="8"/>
      <c r="E38" s="8"/>
      <c r="F38" s="356">
        <f>F34-F36</f>
        <v>0</v>
      </c>
      <c r="G38" s="8"/>
      <c r="H38" s="8" t="s">
        <v>1303</v>
      </c>
      <c r="I38" s="8"/>
      <c r="J38" s="356">
        <f>J34-J36</f>
        <v>0</v>
      </c>
    </row>
    <row r="39" spans="1:10">
      <c r="A39" s="8" t="s">
        <v>1277</v>
      </c>
      <c r="B39" s="8"/>
      <c r="C39" s="8"/>
      <c r="D39" s="66"/>
      <c r="E39" s="8"/>
      <c r="F39" s="356">
        <f>J36*F15</f>
        <v>0</v>
      </c>
      <c r="G39" s="8"/>
      <c r="H39" s="8"/>
      <c r="I39" s="8"/>
      <c r="J39" s="8"/>
    </row>
    <row r="40" spans="1:10" ht="13.5" thickBot="1">
      <c r="A40" s="8" t="s">
        <v>1278</v>
      </c>
      <c r="B40" s="8"/>
      <c r="C40" s="8"/>
      <c r="D40" s="8"/>
      <c r="E40" s="8"/>
      <c r="F40" s="358">
        <f>F38+F39</f>
        <v>0</v>
      </c>
      <c r="G40" s="8"/>
      <c r="H40" s="4089" t="s">
        <v>1290</v>
      </c>
      <c r="I40" s="4089"/>
      <c r="J40" s="4089"/>
    </row>
    <row r="41" spans="1:10" ht="13.5" thickTop="1">
      <c r="A41" s="8"/>
      <c r="B41" s="8"/>
      <c r="C41" s="8"/>
      <c r="D41" s="8"/>
      <c r="E41" s="8"/>
      <c r="F41" s="356"/>
      <c r="G41" s="8"/>
      <c r="H41" s="59"/>
      <c r="I41" s="154" t="s">
        <v>1099</v>
      </c>
      <c r="J41" s="154" t="s">
        <v>1291</v>
      </c>
    </row>
    <row r="42" spans="1:10">
      <c r="A42" s="54"/>
      <c r="B42" s="8"/>
      <c r="C42" s="8"/>
      <c r="D42" s="160"/>
      <c r="E42" s="8"/>
      <c r="F42" s="356"/>
      <c r="G42" s="8"/>
      <c r="H42" s="8" t="s">
        <v>1292</v>
      </c>
      <c r="I42" s="356">
        <f>IF(F23&gt;0,F23/10,F24/10)</f>
        <v>0</v>
      </c>
      <c r="J42" s="356">
        <f>I42*$D$36</f>
        <v>0</v>
      </c>
    </row>
    <row r="43" spans="1:10">
      <c r="A43" s="8"/>
      <c r="B43" s="8"/>
      <c r="C43" s="8"/>
      <c r="D43" s="160"/>
      <c r="E43" s="8"/>
      <c r="F43" s="357"/>
      <c r="G43" s="8"/>
      <c r="H43" s="8" t="s">
        <v>1270</v>
      </c>
      <c r="I43" s="356">
        <f>F27/10</f>
        <v>0</v>
      </c>
      <c r="J43" s="356">
        <f>I43*$D$36</f>
        <v>0</v>
      </c>
    </row>
    <row r="44" spans="1:10">
      <c r="A44" s="8"/>
      <c r="B44" s="8"/>
      <c r="C44" s="8"/>
      <c r="D44" s="8"/>
      <c r="E44" s="8"/>
      <c r="F44" s="356"/>
      <c r="G44" s="8"/>
      <c r="H44" s="8" t="s">
        <v>1271</v>
      </c>
      <c r="I44" s="356">
        <f>F28/10</f>
        <v>0</v>
      </c>
      <c r="J44" s="356">
        <f>I44*$D$36</f>
        <v>0</v>
      </c>
    </row>
    <row r="45" spans="1:10">
      <c r="A45" s="54" t="s">
        <v>1304</v>
      </c>
      <c r="B45" s="8"/>
      <c r="C45" s="70" t="s">
        <v>981</v>
      </c>
      <c r="D45" s="3010"/>
      <c r="E45" s="8"/>
      <c r="F45" s="356"/>
      <c r="G45" s="8"/>
      <c r="H45" s="8" t="s">
        <v>1273</v>
      </c>
      <c r="I45" s="356">
        <f>F30/10</f>
        <v>0</v>
      </c>
      <c r="J45" s="356">
        <f>I45*$D$36</f>
        <v>0</v>
      </c>
    </row>
    <row r="46" spans="1:10">
      <c r="A46" s="8" t="s">
        <v>449</v>
      </c>
      <c r="B46" s="8"/>
      <c r="C46" s="8"/>
      <c r="D46" s="160">
        <v>5000</v>
      </c>
      <c r="E46" s="8"/>
      <c r="F46" s="356"/>
      <c r="G46" s="8"/>
      <c r="H46" s="8" t="s">
        <v>1293</v>
      </c>
      <c r="I46" s="356">
        <f>(F31+F32)/10</f>
        <v>0</v>
      </c>
      <c r="J46" s="356">
        <f>I46*$D$36</f>
        <v>0</v>
      </c>
    </row>
    <row r="47" spans="1:10" ht="13.5" thickBot="1">
      <c r="A47" s="8" t="s">
        <v>1305</v>
      </c>
      <c r="B47" s="8"/>
      <c r="C47" s="8"/>
      <c r="D47" s="3009">
        <f>'Standard Thresholds'!B184</f>
        <v>1705000</v>
      </c>
      <c r="E47" s="8"/>
      <c r="F47" s="357">
        <f>IF(D45&gt;D46,D46*D47,D45*D47)</f>
        <v>0</v>
      </c>
      <c r="G47" s="8"/>
      <c r="H47" s="54" t="s">
        <v>1129</v>
      </c>
      <c r="I47" s="356"/>
      <c r="J47" s="358">
        <f>SUM(J42:J46)</f>
        <v>0</v>
      </c>
    </row>
    <row r="48" spans="1:10" ht="13.5" thickTop="1">
      <c r="A48" s="8"/>
      <c r="B48" s="8"/>
      <c r="C48" s="8"/>
      <c r="D48" s="8"/>
      <c r="E48" s="8"/>
      <c r="F48" s="357"/>
      <c r="G48" s="8"/>
      <c r="H48" s="8"/>
      <c r="I48" s="8"/>
      <c r="J48" s="8"/>
    </row>
    <row r="49" spans="1:10">
      <c r="A49" s="3" t="s">
        <v>172</v>
      </c>
    </row>
    <row r="50" spans="1:10" ht="49.5" customHeight="1">
      <c r="A50" s="3742"/>
      <c r="B50" s="3743"/>
      <c r="C50" s="3743"/>
      <c r="D50" s="3743"/>
      <c r="E50" s="3743"/>
      <c r="F50" s="3743"/>
      <c r="G50" s="3743"/>
      <c r="H50" s="3743"/>
      <c r="I50" s="3743"/>
      <c r="J50" s="3744"/>
    </row>
  </sheetData>
  <customSheetViews>
    <customSheetView guid="{BCBE45D4-3C45-4659-992E-5C5D3E9FD81C}" fitToPage="1" hiddenColumns="1">
      <selection activeCell="A14" sqref="A14"/>
      <pageMargins left="0.59055118110236227" right="0.43307086614173229" top="0.6692913385826772" bottom="0.94488188976377963" header="0.51181102362204722" footer="0.39370078740157483"/>
      <printOptions horizontalCentered="1"/>
      <pageSetup paperSize="9" scale="86"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topLeftCell="A4">
      <selection activeCell="D45" sqref="D45"/>
      <pageMargins left="0.59055118110236227" right="0.43307086614173229" top="0.6692913385826772" bottom="0.94488188976377963" header="0.51181102362204722" footer="0.39370078740157483"/>
      <printOptions horizontalCentered="1"/>
      <pageSetup paperSize="9" scale="86" fitToHeight="999" orientation="portrait" blackAndWhite="1" r:id="rId2"/>
      <headerFooter alignWithMargins="0">
        <oddFooter>&amp;L&amp;8Copyright Crowe Horwath (Aust) Pty Ltd 2016.  All rights reserved.
&amp;Z&amp;F[&amp;A]&amp;R&amp;8&amp;P/&amp;N</oddFooter>
      </headerFooter>
    </customSheetView>
  </customSheetViews>
  <mergeCells count="5">
    <mergeCell ref="I9:J9"/>
    <mergeCell ref="A50:J50"/>
    <mergeCell ref="H40:J40"/>
    <mergeCell ref="A8:J8"/>
    <mergeCell ref="C13:F13"/>
  </mergeCells>
  <phoneticPr fontId="26" type="noConversion"/>
  <conditionalFormatting sqref="K154">
    <cfRule type="expression" dxfId="13" priority="1" stopIfTrue="1">
      <formula>SUM($154:$154)=0</formula>
    </cfRule>
  </conditionalFormatting>
  <hyperlinks>
    <hyperlink ref="I9" location="WP_MV_Substantiation" display="Back to Workpaper Index" xr:uid="{00000000-0004-0000-3100-000000000000}"/>
    <hyperlink ref="I9:J9" location="WPIndex!A1" display="Back to WP Index" xr:uid="{F46B6F7A-71C3-4AB4-9A3E-E82215CD3FB2}"/>
  </hyperlinks>
  <printOptions horizontalCentered="1"/>
  <pageMargins left="0.59055118110236227" right="0.43307086614173229" top="0.6692913385826772" bottom="0.94488188976377963" header="0.51181102362204722" footer="0.39370078740157483"/>
  <pageSetup paperSize="9" scale="83" fitToHeight="999"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9699" r:id="rId6" name="Check Box 3">
              <controlPr defaultSize="0" autoFill="0" autoLine="0" autoPict="0">
                <anchor moveWithCells="1">
                  <from>
                    <xdr:col>1</xdr:col>
                    <xdr:colOff>561975</xdr:colOff>
                    <xdr:row>13</xdr:row>
                    <xdr:rowOff>133350</xdr:rowOff>
                  </from>
                  <to>
                    <xdr:col>2</xdr:col>
                    <xdr:colOff>342900</xdr:colOff>
                    <xdr:row>15</xdr:row>
                    <xdr:rowOff>19050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from>
                    <xdr:col>2</xdr:col>
                    <xdr:colOff>361950</xdr:colOff>
                    <xdr:row>13</xdr:row>
                    <xdr:rowOff>133350</xdr:rowOff>
                  </from>
                  <to>
                    <xdr:col>3</xdr:col>
                    <xdr:colOff>0</xdr:colOff>
                    <xdr:row>15</xdr:row>
                    <xdr:rowOff>19050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Car_FBT_Sheet">
    <tabColor theme="8" tint="0.79998168889431442"/>
  </sheetPr>
  <dimension ref="A1:T104"/>
  <sheetViews>
    <sheetView showGridLines="0" zoomScaleNormal="100" workbookViewId="0">
      <selection sqref="A1:F1"/>
    </sheetView>
  </sheetViews>
  <sheetFormatPr defaultColWidth="9.140625" defaultRowHeight="12.75"/>
  <cols>
    <col min="1" max="1" width="4.140625" style="737" customWidth="1"/>
    <col min="2" max="2" width="10.5703125" style="737" customWidth="1"/>
    <col min="3" max="4" width="18.5703125" style="737" customWidth="1"/>
    <col min="5" max="5" width="16.85546875" style="737" customWidth="1"/>
    <col min="6" max="6" width="16.28515625" style="737" customWidth="1"/>
    <col min="7" max="7" width="4.42578125" style="737" customWidth="1"/>
    <col min="8" max="8" width="11.28515625" style="737" customWidth="1"/>
    <col min="9" max="9" width="1.140625" style="737" customWidth="1"/>
    <col min="10" max="10" width="18.5703125" style="738" customWidth="1"/>
    <col min="11" max="11" width="14.85546875" style="737" customWidth="1"/>
    <col min="12" max="12" width="8.28515625" style="1" hidden="1" customWidth="1"/>
    <col min="13" max="13" width="9.140625" style="737"/>
    <col min="14" max="14" width="8.42578125" style="737" bestFit="1" customWidth="1"/>
    <col min="15" max="15" width="9.85546875" style="737" bestFit="1" customWidth="1"/>
    <col min="16" max="16" width="9.85546875" style="737" customWidth="1"/>
    <col min="17" max="19" width="9.85546875" style="737" bestFit="1" customWidth="1"/>
    <col min="20" max="16384" width="9.140625" style="737"/>
  </cols>
  <sheetData>
    <row r="1" spans="1:20">
      <c r="J1" s="2613" t="s">
        <v>2425</v>
      </c>
      <c r="K1" s="3576" t="s">
        <v>2758</v>
      </c>
    </row>
    <row r="2" spans="1:20" ht="15.75" customHeight="1">
      <c r="A2" s="740"/>
      <c r="B2" s="740"/>
      <c r="C2" s="739"/>
      <c r="D2" s="739"/>
      <c r="E2" s="1"/>
      <c r="F2" s="1"/>
      <c r="G2" s="1"/>
      <c r="H2" s="40"/>
      <c r="I2" s="40"/>
      <c r="J2" s="71" t="s">
        <v>2426</v>
      </c>
      <c r="K2" s="2621"/>
    </row>
    <row r="3" spans="1:20" ht="15.75" customHeight="1">
      <c r="A3" s="740"/>
      <c r="B3" s="740"/>
      <c r="C3" s="739"/>
      <c r="D3" s="739"/>
      <c r="E3" s="1"/>
      <c r="F3" s="1"/>
      <c r="G3" s="1"/>
      <c r="H3" s="40"/>
      <c r="I3" s="40"/>
      <c r="J3" s="40"/>
      <c r="K3" s="1"/>
    </row>
    <row r="4" spans="1:20" ht="12.75" customHeight="1">
      <c r="A4" s="206"/>
      <c r="B4" s="32"/>
      <c r="C4" s="32"/>
      <c r="D4" s="32"/>
      <c r="E4" s="32"/>
      <c r="F4" s="32"/>
      <c r="G4" s="32"/>
      <c r="H4" s="11"/>
      <c r="I4" s="32"/>
      <c r="J4" s="2795" t="s">
        <v>1163</v>
      </c>
      <c r="K4" s="709" t="s">
        <v>1262</v>
      </c>
      <c r="L4" s="32"/>
    </row>
    <row r="5" spans="1:20" ht="17.25" customHeight="1">
      <c r="A5" s="206"/>
      <c r="B5" s="32"/>
      <c r="C5" s="32"/>
      <c r="D5" s="32"/>
      <c r="E5" s="32"/>
      <c r="F5" s="32"/>
      <c r="G5" s="32"/>
      <c r="H5" s="71" t="s">
        <v>332</v>
      </c>
      <c r="I5" s="32"/>
      <c r="J5" s="2617" t="str">
        <f>IF(PreparedBy="","",PreparedBy)</f>
        <v/>
      </c>
      <c r="K5" s="2618" t="str">
        <f>IF(DatePrepared="","",DatePrepared)</f>
        <v/>
      </c>
      <c r="L5" s="32"/>
    </row>
    <row r="6" spans="1:20" ht="17.25" customHeight="1">
      <c r="A6" s="206"/>
      <c r="B6" s="32"/>
      <c r="C6" s="32"/>
      <c r="D6" s="32"/>
      <c r="E6" s="32"/>
      <c r="F6" s="32"/>
      <c r="G6" s="32"/>
      <c r="H6" s="71" t="s">
        <v>333</v>
      </c>
      <c r="I6" s="32"/>
      <c r="J6" s="2619"/>
      <c r="K6" s="2620"/>
      <c r="L6" s="32"/>
    </row>
    <row r="7" spans="1:20" ht="3.95" customHeight="1">
      <c r="A7" s="206"/>
      <c r="B7" s="43"/>
      <c r="C7" s="43"/>
      <c r="D7" s="43"/>
      <c r="E7" s="43"/>
      <c r="F7" s="43"/>
      <c r="G7" s="32"/>
      <c r="H7" s="32"/>
      <c r="I7" s="32"/>
      <c r="J7" s="32"/>
      <c r="K7" s="32"/>
      <c r="L7" s="32"/>
    </row>
    <row r="8" spans="1:20" ht="17.25" customHeight="1">
      <c r="A8" s="4030" t="str">
        <f>WP_Car_FBT</f>
        <v>Car FBT Calculation</v>
      </c>
      <c r="B8" s="4031"/>
      <c r="C8" s="4031"/>
      <c r="D8" s="4031"/>
      <c r="E8" s="4031"/>
      <c r="F8" s="4031"/>
      <c r="G8" s="4031"/>
      <c r="H8" s="4031"/>
      <c r="I8" s="4031"/>
      <c r="J8" s="4031"/>
      <c r="K8" s="4100"/>
    </row>
    <row r="9" spans="1:20" ht="12.75" customHeight="1">
      <c r="A9" s="11"/>
      <c r="B9" s="11"/>
      <c r="C9" s="11"/>
      <c r="D9" s="11"/>
      <c r="E9" s="11"/>
      <c r="F9" s="1"/>
      <c r="G9" s="1"/>
      <c r="H9" s="1"/>
      <c r="I9" s="1"/>
      <c r="J9" s="3991" t="s">
        <v>2526</v>
      </c>
      <c r="K9" s="3991"/>
      <c r="N9" s="4093" t="s">
        <v>1747</v>
      </c>
      <c r="O9" s="1505" t="s">
        <v>1742</v>
      </c>
      <c r="P9" s="1485"/>
      <c r="Q9" s="1485"/>
      <c r="R9" s="1485"/>
      <c r="S9" s="1486"/>
    </row>
    <row r="10" spans="1:20" ht="15.75" customHeight="1">
      <c r="A10" s="222" t="str">
        <f>"CLIENT NAME:   "&amp;'WP Index'!E3</f>
        <v>CLIENT NAME:   Example Trust</v>
      </c>
      <c r="B10" s="11"/>
      <c r="C10" s="11"/>
      <c r="D10" s="11"/>
      <c r="E10" s="11"/>
      <c r="F10" s="11"/>
      <c r="G10" s="11"/>
      <c r="H10" s="1"/>
      <c r="I10" s="1"/>
      <c r="J10" s="737"/>
      <c r="N10" s="4094"/>
      <c r="O10" s="1507" t="s">
        <v>1745</v>
      </c>
      <c r="P10" s="1506" t="s">
        <v>1746</v>
      </c>
      <c r="Q10" s="1489"/>
      <c r="R10" s="1489"/>
      <c r="S10" s="1490"/>
    </row>
    <row r="11" spans="1:20" ht="12.75" customHeight="1">
      <c r="A11" s="9" t="str">
        <f>"CLIENT CODE:   "&amp;'WP Index'!E4</f>
        <v>CLIENT CODE:   99999</v>
      </c>
      <c r="B11" s="11"/>
      <c r="C11" s="11"/>
      <c r="D11" s="11"/>
      <c r="E11" s="11"/>
      <c r="F11" s="1"/>
      <c r="G11" s="1"/>
      <c r="H11" s="1"/>
      <c r="I11" s="1"/>
      <c r="J11" s="47" t="s">
        <v>951</v>
      </c>
      <c r="K11" s="47">
        <f>+Period_End</f>
        <v>45473</v>
      </c>
      <c r="N11" s="4095"/>
      <c r="O11" s="1508">
        <v>1</v>
      </c>
      <c r="P11" s="1509">
        <v>40673</v>
      </c>
      <c r="Q11" s="1510">
        <v>41000</v>
      </c>
      <c r="R11" s="1510">
        <v>41365</v>
      </c>
      <c r="S11" s="1511">
        <v>41730</v>
      </c>
    </row>
    <row r="12" spans="1:20" ht="12.75" customHeight="1">
      <c r="A12" s="12"/>
      <c r="B12" s="11"/>
      <c r="C12" s="11"/>
      <c r="D12" s="11"/>
      <c r="E12" s="11"/>
      <c r="F12" s="11"/>
      <c r="G12" s="11"/>
      <c r="H12" s="1"/>
      <c r="I12" s="1"/>
      <c r="J12" s="1"/>
      <c r="K12" s="1"/>
      <c r="L12" s="6" t="s">
        <v>1286</v>
      </c>
      <c r="N12" s="1491">
        <v>0</v>
      </c>
      <c r="O12" s="1492">
        <v>0.26</v>
      </c>
      <c r="P12" s="1497">
        <v>0.2</v>
      </c>
      <c r="Q12" s="1498">
        <v>0.2</v>
      </c>
      <c r="R12" s="1498">
        <v>0.2</v>
      </c>
      <c r="S12" s="1791">
        <v>0.2</v>
      </c>
    </row>
    <row r="13" spans="1:20" ht="12.75" customHeight="1">
      <c r="A13" s="12" t="s">
        <v>398</v>
      </c>
      <c r="B13" s="12"/>
      <c r="C13" s="1"/>
      <c r="D13" s="1"/>
      <c r="E13" s="11" t="s">
        <v>545</v>
      </c>
      <c r="F13" s="69">
        <f>'WP Index'!E5-91</f>
        <v>45017</v>
      </c>
      <c r="G13" s="8"/>
      <c r="H13" s="69"/>
      <c r="I13" s="1"/>
      <c r="J13" s="5" t="s">
        <v>2455</v>
      </c>
      <c r="K13" s="3113">
        <f>IF(MONTH(F14)&gt;3,DATE(YEAR(F14)+1,3,31),DATE(YEAR(F14),3,31))</f>
        <v>45382</v>
      </c>
      <c r="N13" s="1493">
        <v>15000</v>
      </c>
      <c r="O13" s="1494">
        <v>0.2</v>
      </c>
      <c r="P13" s="1499">
        <v>0.2</v>
      </c>
      <c r="Q13" s="1500">
        <v>0.2</v>
      </c>
      <c r="R13" s="1500">
        <v>0.2</v>
      </c>
      <c r="S13" s="1501">
        <v>0.2</v>
      </c>
    </row>
    <row r="14" spans="1:20" ht="12.75" customHeight="1">
      <c r="A14" s="54"/>
      <c r="B14" s="54"/>
      <c r="C14" s="1"/>
      <c r="D14" s="1"/>
      <c r="E14" s="11" t="s">
        <v>546</v>
      </c>
      <c r="F14" s="3011">
        <f>DATE(YEAR(F13)+1,MONTH(F13),DAY(F13)-1)</f>
        <v>45382</v>
      </c>
      <c r="G14" s="8"/>
      <c r="H14" s="69"/>
      <c r="I14" s="1"/>
      <c r="J14" s="1"/>
      <c r="K14" s="1"/>
      <c r="N14" s="1493">
        <v>25000</v>
      </c>
      <c r="O14" s="1494">
        <v>0.11</v>
      </c>
      <c r="P14" s="1499">
        <v>0.14000000000000001</v>
      </c>
      <c r="Q14" s="1500">
        <v>0.17</v>
      </c>
      <c r="R14" s="1500">
        <v>0.2</v>
      </c>
      <c r="S14" s="1501">
        <v>0.2</v>
      </c>
    </row>
    <row r="15" spans="1:20" ht="12.75" customHeight="1">
      <c r="A15" s="54"/>
      <c r="B15" s="54"/>
      <c r="C15" s="1"/>
      <c r="D15" s="1"/>
      <c r="E15" s="11"/>
      <c r="F15" s="69"/>
      <c r="G15" s="8"/>
      <c r="H15" s="69"/>
      <c r="I15" s="1"/>
      <c r="J15" s="1"/>
      <c r="K15" s="1"/>
      <c r="N15" s="1495">
        <v>40000</v>
      </c>
      <c r="O15" s="1496">
        <v>7.0000000000000007E-2</v>
      </c>
      <c r="P15" s="1502">
        <v>0.1</v>
      </c>
      <c r="Q15" s="1503">
        <v>0.13</v>
      </c>
      <c r="R15" s="1503">
        <v>0.17</v>
      </c>
      <c r="S15" s="1504">
        <v>0.2</v>
      </c>
    </row>
    <row r="16" spans="1:20" ht="12.75" customHeight="1">
      <c r="A16" s="746" t="s">
        <v>352</v>
      </c>
      <c r="B16" s="747"/>
      <c r="C16" s="746"/>
      <c r="D16" s="746"/>
      <c r="E16" s="746"/>
      <c r="F16" s="4101"/>
      <c r="G16" s="3794"/>
      <c r="H16" s="3794"/>
      <c r="I16" s="3794"/>
      <c r="J16" s="3794"/>
      <c r="K16" s="3990"/>
      <c r="N16" s="1221"/>
      <c r="T16" s="737" t="s">
        <v>1468</v>
      </c>
    </row>
    <row r="17" spans="1:16" ht="12.75" customHeight="1">
      <c r="A17" s="746" t="s">
        <v>353</v>
      </c>
      <c r="B17" s="747"/>
      <c r="C17" s="746"/>
      <c r="D17" s="746"/>
      <c r="E17" s="746"/>
      <c r="F17" s="3011"/>
      <c r="G17" s="746"/>
      <c r="H17" s="1484" t="s">
        <v>1743</v>
      </c>
      <c r="I17" s="746"/>
      <c r="J17" s="1487"/>
      <c r="K17" s="3013"/>
    </row>
    <row r="18" spans="1:16" ht="12.75" customHeight="1">
      <c r="A18" s="746" t="s">
        <v>1853</v>
      </c>
      <c r="B18" s="747"/>
      <c r="C18" s="746"/>
      <c r="D18" s="746"/>
      <c r="E18" s="746"/>
      <c r="F18" s="3012"/>
      <c r="G18" s="746"/>
      <c r="H18" s="1484"/>
      <c r="I18" s="746"/>
      <c r="J18" s="1487"/>
      <c r="K18" s="1669"/>
    </row>
    <row r="19" spans="1:16" ht="12.75" customHeight="1">
      <c r="A19" s="746" t="s">
        <v>360</v>
      </c>
      <c r="B19" s="747"/>
      <c r="C19" s="746"/>
      <c r="D19" s="746"/>
      <c r="E19" s="746"/>
      <c r="F19" s="745">
        <f>IF(F18="",IF(F17&lt;F13,F14-F13+1,F14-F17+1),IF(F17&lt;F13,F18-F13+1,F18-F17+1))</f>
        <v>366</v>
      </c>
      <c r="G19" s="746"/>
      <c r="H19" s="746"/>
      <c r="I19" s="746"/>
      <c r="J19" s="1488" t="s">
        <v>1744</v>
      </c>
      <c r="K19" s="3014"/>
      <c r="N19" s="4102" t="str">
        <f>IFERROR(INDEX(CarFBTRates,MATCH(K39,CarFBTRateKms,1),IF(MATCH($K$17,CarFBTRateDate,1)=1,1,MATCH($F$14,CarFBTRateDate,1)+IF(OR($K$19="",$K$17&lt;=$F$13),0,IF(AND(MATCH($K$19,CarFBTRateDate,1)&lt;MATCH($K$17,CarFBTRateDate,1),$K$17&gt;INDEX(CarFBTRateDate,,MATCH($K$17,CarFBTRateDate,1)-1)),-1,0)))),"input current date")</f>
        <v>input current date</v>
      </c>
      <c r="O19" s="4102"/>
      <c r="P19" s="737" t="s">
        <v>1748</v>
      </c>
    </row>
    <row r="20" spans="1:16" ht="12.75" customHeight="1">
      <c r="A20" s="746" t="s">
        <v>436</v>
      </c>
      <c r="B20" s="747"/>
      <c r="C20" s="746"/>
      <c r="D20" s="746"/>
      <c r="E20" s="746"/>
      <c r="F20" s="3015"/>
      <c r="G20" s="746"/>
      <c r="H20" s="746"/>
      <c r="I20" s="746"/>
      <c r="J20" s="749" t="s">
        <v>405</v>
      </c>
      <c r="K20" s="1668">
        <f>IF(F17="",F20,IF(F17&gt;DATE(YEAR(F14)-5,4,1),F20,F20*(1-'Standard Thresholds'!D20)))</f>
        <v>0</v>
      </c>
      <c r="N20" s="4103" t="str">
        <f>IFERROR(INDEX(CarFBTRates,MATCH(K39,CarFBTRateKms,1),MATCH(IF($K$17&lt;$P$11,$K$17,$F$14+1),CarFBTRateDate,1)),"input current date")</f>
        <v>input current date</v>
      </c>
      <c r="O20" s="4103"/>
      <c r="P20" s="737" t="str">
        <f>"Rate from " &amp; TEXT(DATE(YEAR(Period_End),4,1),"d mmm yyyy")</f>
        <v>Rate from 1 Apr 2024</v>
      </c>
    </row>
    <row r="21" spans="1:16" ht="12.75" customHeight="1">
      <c r="A21" s="796" t="s">
        <v>404</v>
      </c>
      <c r="B21" s="747"/>
      <c r="C21" s="746"/>
      <c r="D21" s="746"/>
      <c r="E21" s="746"/>
      <c r="F21" s="741"/>
      <c r="G21" s="746"/>
      <c r="H21" s="746"/>
      <c r="I21" s="746"/>
      <c r="J21" s="748"/>
      <c r="K21" s="919"/>
    </row>
    <row r="22" spans="1:16" ht="6" customHeight="1">
      <c r="A22" s="750"/>
      <c r="B22" s="747"/>
      <c r="C22" s="746"/>
      <c r="D22" s="746"/>
      <c r="E22" s="746"/>
      <c r="F22" s="741"/>
      <c r="G22" s="746"/>
      <c r="H22" s="746"/>
      <c r="I22" s="746"/>
      <c r="J22" s="748"/>
    </row>
    <row r="23" spans="1:16" ht="12.75" customHeight="1">
      <c r="A23" s="746" t="s">
        <v>406</v>
      </c>
      <c r="B23" s="747"/>
      <c r="C23" s="746"/>
      <c r="D23" s="746"/>
      <c r="E23" s="746"/>
      <c r="F23" s="3015"/>
      <c r="G23" s="746"/>
      <c r="H23" s="746"/>
      <c r="I23" s="746"/>
      <c r="J23" s="746"/>
      <c r="K23" s="919"/>
    </row>
    <row r="24" spans="1:16" ht="24.75" customHeight="1">
      <c r="A24" s="4096" t="s">
        <v>1229</v>
      </c>
      <c r="B24" s="4096"/>
      <c r="C24" s="4096"/>
      <c r="D24" s="4096"/>
      <c r="E24" s="4096"/>
      <c r="F24" s="4096"/>
      <c r="G24" s="4096"/>
      <c r="H24" s="4096"/>
      <c r="I24" s="4096"/>
      <c r="J24" s="4096"/>
      <c r="K24" s="4096"/>
    </row>
    <row r="25" spans="1:16" ht="5.0999999999999996" customHeight="1">
      <c r="A25" s="751"/>
      <c r="B25" s="751"/>
      <c r="C25" s="751"/>
      <c r="D25" s="751"/>
      <c r="E25" s="751"/>
      <c r="F25" s="751"/>
      <c r="G25" s="751"/>
      <c r="H25" s="751"/>
      <c r="I25" s="751"/>
      <c r="J25" s="751"/>
      <c r="K25" s="751"/>
    </row>
    <row r="26" spans="1:16" ht="12.75" customHeight="1">
      <c r="A26" s="746" t="s">
        <v>407</v>
      </c>
      <c r="B26" s="747"/>
      <c r="C26" s="746"/>
      <c r="D26" s="746"/>
      <c r="E26" s="746" t="s">
        <v>1454</v>
      </c>
      <c r="F26" s="3015"/>
      <c r="G26" s="746"/>
      <c r="H26" s="746"/>
      <c r="I26" s="746"/>
      <c r="J26" s="746"/>
      <c r="K26" s="746"/>
    </row>
    <row r="27" spans="1:16" ht="12.75" customHeight="1">
      <c r="A27" s="746"/>
      <c r="B27" s="747"/>
      <c r="C27" s="746"/>
      <c r="D27" s="746"/>
      <c r="E27" s="746" t="s">
        <v>1311</v>
      </c>
      <c r="F27" s="3015"/>
      <c r="G27" s="746"/>
      <c r="H27" s="746"/>
      <c r="I27" s="746"/>
      <c r="J27" s="746"/>
      <c r="K27" s="752"/>
    </row>
    <row r="28" spans="1:16" ht="12.75" customHeight="1">
      <c r="A28" s="746"/>
      <c r="B28" s="747"/>
      <c r="C28" s="746"/>
      <c r="D28" s="746"/>
      <c r="E28" s="746" t="s">
        <v>1270</v>
      </c>
      <c r="F28" s="3015"/>
      <c r="G28" s="746"/>
      <c r="H28" s="746"/>
      <c r="I28" s="746"/>
      <c r="J28" s="746"/>
      <c r="K28" s="752"/>
    </row>
    <row r="29" spans="1:16" ht="12.75" customHeight="1">
      <c r="A29" s="746"/>
      <c r="B29" s="747"/>
      <c r="C29" s="746"/>
      <c r="D29" s="746"/>
      <c r="E29" s="746" t="s">
        <v>1269</v>
      </c>
      <c r="F29" s="3015"/>
      <c r="G29" s="746"/>
      <c r="H29" s="746"/>
      <c r="I29" s="746"/>
      <c r="J29" s="746"/>
      <c r="K29" s="752"/>
    </row>
    <row r="30" spans="1:16" ht="12.75" customHeight="1">
      <c r="A30" s="746"/>
      <c r="B30" s="747"/>
      <c r="C30" s="746"/>
      <c r="D30" s="746"/>
      <c r="E30" s="746" t="s">
        <v>1271</v>
      </c>
      <c r="F30" s="3015"/>
      <c r="G30" s="746"/>
      <c r="H30" s="746"/>
      <c r="I30" s="746"/>
      <c r="J30" s="746"/>
      <c r="K30" s="752"/>
    </row>
    <row r="31" spans="1:16" ht="12.75" customHeight="1">
      <c r="A31" s="746"/>
      <c r="B31" s="747"/>
      <c r="C31" s="746"/>
      <c r="D31" s="746"/>
      <c r="E31" s="746" t="s">
        <v>1274</v>
      </c>
      <c r="F31" s="3015"/>
      <c r="G31" s="746"/>
      <c r="H31" s="746"/>
      <c r="I31" s="746"/>
      <c r="J31" s="746"/>
      <c r="K31" s="918">
        <f>SUM(F26:F31)</f>
        <v>0</v>
      </c>
    </row>
    <row r="32" spans="1:16" ht="5.25" customHeight="1">
      <c r="A32" s="746"/>
      <c r="B32" s="747"/>
      <c r="C32" s="746"/>
      <c r="D32" s="746"/>
      <c r="E32" s="746"/>
      <c r="F32" s="741"/>
      <c r="G32" s="747"/>
      <c r="H32" s="747"/>
      <c r="I32" s="747"/>
      <c r="J32" s="747"/>
      <c r="K32" s="919"/>
    </row>
    <row r="33" spans="1:13" ht="12.75" customHeight="1">
      <c r="A33" s="746" t="s">
        <v>438</v>
      </c>
      <c r="B33" s="747"/>
      <c r="C33" s="746"/>
      <c r="D33" s="746"/>
      <c r="E33" s="746"/>
      <c r="F33" s="3015"/>
      <c r="G33" s="747"/>
      <c r="H33" s="747"/>
      <c r="I33" s="747"/>
      <c r="J33" s="747"/>
      <c r="K33" s="918">
        <f>F33</f>
        <v>0</v>
      </c>
    </row>
    <row r="34" spans="1:13" ht="5.25" customHeight="1">
      <c r="A34" s="746"/>
      <c r="B34" s="747"/>
      <c r="C34" s="746"/>
      <c r="D34" s="746"/>
      <c r="E34" s="746"/>
      <c r="F34" s="747"/>
      <c r="G34" s="747"/>
      <c r="H34" s="747"/>
      <c r="I34" s="747"/>
      <c r="J34" s="747"/>
      <c r="K34" s="919"/>
    </row>
    <row r="35" spans="1:13" ht="12.75" customHeight="1">
      <c r="A35" s="753" t="s">
        <v>354</v>
      </c>
      <c r="B35" s="747"/>
      <c r="C35" s="747"/>
      <c r="D35" s="747"/>
      <c r="E35" s="747"/>
      <c r="F35" s="3015"/>
      <c r="G35" s="747"/>
      <c r="H35" s="747"/>
      <c r="I35" s="747"/>
      <c r="J35" s="747"/>
      <c r="K35" s="747"/>
    </row>
    <row r="36" spans="1:13" ht="12.75" customHeight="1">
      <c r="A36" s="753" t="s">
        <v>355</v>
      </c>
      <c r="B36" s="747"/>
      <c r="C36" s="747"/>
      <c r="D36" s="747"/>
      <c r="E36" s="747"/>
      <c r="F36" s="3015">
        <v>0</v>
      </c>
      <c r="G36" s="747"/>
      <c r="H36" s="747"/>
      <c r="I36" s="747"/>
      <c r="J36" s="747" t="s">
        <v>437</v>
      </c>
      <c r="K36" s="918">
        <f>F35-F36</f>
        <v>0</v>
      </c>
    </row>
    <row r="37" spans="1:13" ht="5.25" customHeight="1">
      <c r="A37" s="746"/>
      <c r="B37" s="747"/>
      <c r="C37" s="746"/>
      <c r="D37" s="746"/>
      <c r="E37" s="746"/>
      <c r="F37" s="741"/>
      <c r="G37" s="747"/>
      <c r="H37" s="747"/>
      <c r="I37" s="747"/>
      <c r="J37" s="747"/>
      <c r="K37" s="919"/>
    </row>
    <row r="38" spans="1:13" ht="12.75" customHeight="1">
      <c r="A38" s="746" t="s">
        <v>408</v>
      </c>
      <c r="B38" s="747"/>
      <c r="C38" s="746"/>
      <c r="D38" s="746"/>
      <c r="E38" s="746" t="s">
        <v>409</v>
      </c>
      <c r="F38" s="3016"/>
      <c r="G38" s="747"/>
      <c r="H38" s="747"/>
      <c r="I38" s="747"/>
      <c r="J38" s="747"/>
      <c r="K38" s="919"/>
    </row>
    <row r="39" spans="1:13" ht="12.75" customHeight="1">
      <c r="A39" s="747"/>
      <c r="B39" s="747"/>
      <c r="C39" s="747"/>
      <c r="D39" s="747"/>
      <c r="E39" s="746" t="s">
        <v>1453</v>
      </c>
      <c r="F39" s="3016"/>
      <c r="G39" s="746"/>
      <c r="H39" s="746"/>
      <c r="I39" s="746"/>
      <c r="J39" s="747" t="s">
        <v>410</v>
      </c>
      <c r="K39" s="920">
        <f>IFERROR((F39-F38)/F19*Period_Days,0)</f>
        <v>0</v>
      </c>
    </row>
    <row r="40" spans="1:13" ht="12.75" customHeight="1">
      <c r="A40" s="746"/>
      <c r="B40" s="747"/>
      <c r="C40" s="746"/>
      <c r="D40" s="746"/>
      <c r="E40" s="746"/>
      <c r="F40" s="741"/>
      <c r="G40" s="747"/>
      <c r="H40" s="747"/>
      <c r="I40" s="747"/>
      <c r="J40" s="747" t="s">
        <v>435</v>
      </c>
      <c r="K40" s="742">
        <f>K39*K42</f>
        <v>0</v>
      </c>
    </row>
    <row r="41" spans="1:13" ht="5.0999999999999996" customHeight="1">
      <c r="A41" s="746"/>
      <c r="B41" s="747"/>
      <c r="C41" s="746"/>
      <c r="D41" s="746"/>
      <c r="E41" s="746"/>
      <c r="F41" s="746"/>
      <c r="G41" s="746"/>
      <c r="H41" s="746"/>
      <c r="I41" s="746"/>
      <c r="J41" s="748"/>
      <c r="K41" s="746"/>
    </row>
    <row r="42" spans="1:13" ht="12.75" customHeight="1">
      <c r="A42" s="746" t="s">
        <v>358</v>
      </c>
      <c r="B42" s="747"/>
      <c r="C42" s="746"/>
      <c r="D42" s="746"/>
      <c r="E42" s="746"/>
      <c r="F42" s="746"/>
      <c r="G42" s="746"/>
      <c r="H42" s="746"/>
      <c r="I42" s="746"/>
      <c r="J42" s="746"/>
      <c r="K42" s="3017"/>
    </row>
    <row r="43" spans="1:13" ht="12.75" customHeight="1">
      <c r="A43" s="746" t="s">
        <v>359</v>
      </c>
      <c r="B43" s="747"/>
      <c r="C43" s="746"/>
      <c r="D43" s="746"/>
      <c r="E43" s="746"/>
      <c r="F43" s="746"/>
      <c r="G43" s="746"/>
      <c r="H43" s="746"/>
      <c r="I43" s="746"/>
      <c r="J43" s="746"/>
      <c r="K43" s="1670">
        <f>-K42+1</f>
        <v>1</v>
      </c>
    </row>
    <row r="44" spans="1:13" ht="12.75" customHeight="1">
      <c r="A44" s="746" t="s">
        <v>356</v>
      </c>
      <c r="B44" s="747"/>
      <c r="C44" s="746"/>
      <c r="D44" s="746"/>
      <c r="E44" s="746"/>
      <c r="F44" s="746"/>
      <c r="G44" s="746"/>
      <c r="H44" s="746"/>
      <c r="I44" s="746"/>
      <c r="J44" s="746"/>
      <c r="K44" s="3016">
        <f>F19</f>
        <v>366</v>
      </c>
    </row>
    <row r="45" spans="1:13" ht="12.75" customHeight="1">
      <c r="A45" s="746" t="s">
        <v>361</v>
      </c>
      <c r="B45" s="747"/>
      <c r="C45" s="746"/>
      <c r="D45" s="746"/>
      <c r="E45" s="746"/>
      <c r="F45" s="746"/>
      <c r="G45" s="746"/>
      <c r="H45" s="746"/>
      <c r="I45" s="746"/>
      <c r="J45" s="746"/>
      <c r="K45" s="754">
        <f>IF('Input Info'!GST_Entity="Yes",INDEX(FBT_GROSSUP_GST,1,MATCH($K$13,FBT_RATE_YEAR,0),1),INDEX(FBT_GROSSUP_NOTGST,1,MATCH($K$13,FBT_RATE_YEAR,0),1))</f>
        <v>2.0802</v>
      </c>
      <c r="M45" s="1611"/>
    </row>
    <row r="46" spans="1:13" ht="12.75" customHeight="1">
      <c r="A46" s="755" t="s">
        <v>362</v>
      </c>
      <c r="B46" s="747"/>
      <c r="C46" s="746"/>
      <c r="D46" s="746"/>
      <c r="E46" s="746"/>
      <c r="F46" s="746"/>
      <c r="G46" s="746"/>
      <c r="H46" s="746"/>
      <c r="I46" s="746"/>
      <c r="J46" s="746"/>
      <c r="K46" s="1610">
        <f>INDEX(FBT_RATE,1, MATCH($K$13, FBT_RATE_YEAR,0), 1)</f>
        <v>0.47</v>
      </c>
    </row>
    <row r="47" spans="1:13" ht="12.75" customHeight="1">
      <c r="A47" s="746" t="s">
        <v>363</v>
      </c>
      <c r="B47" s="747"/>
      <c r="C47" s="746"/>
      <c r="D47" s="746"/>
      <c r="E47" s="746"/>
      <c r="F47" s="746"/>
      <c r="G47" s="746"/>
      <c r="H47" s="746"/>
      <c r="I47" s="746"/>
      <c r="J47" s="746"/>
      <c r="K47" s="743">
        <f>INDEX(FBT_TABLE,MATCH(K13,FBT_DATES,0),2)</f>
        <v>7.7700000000000005E-2</v>
      </c>
    </row>
    <row r="48" spans="1:13" ht="12.75" customHeight="1">
      <c r="A48" s="746" t="s">
        <v>364</v>
      </c>
      <c r="B48" s="747"/>
      <c r="C48" s="746"/>
      <c r="D48" s="746"/>
      <c r="E48" s="756">
        <v>38847</v>
      </c>
      <c r="F48" s="757" t="s">
        <v>365</v>
      </c>
      <c r="G48" s="746"/>
      <c r="H48" s="746"/>
      <c r="I48" s="746"/>
      <c r="J48" s="746"/>
      <c r="K48" s="3423" t="str">
        <f>IF(F17="","Req Purchase date",IF(YEAR(F14)&lt;=2008,LOOKUP(F17,D50:D53,E50:E53),LOOKUP(F17,D50:D53,F50:F53)))</f>
        <v>Req Purchase date</v>
      </c>
    </row>
    <row r="49" spans="1:11" ht="22.5" customHeight="1">
      <c r="A49" s="808"/>
      <c r="B49" s="808"/>
      <c r="C49" s="811" t="s">
        <v>212</v>
      </c>
      <c r="D49" s="811"/>
      <c r="E49" s="812" t="s">
        <v>200</v>
      </c>
      <c r="F49" s="811" t="s">
        <v>201</v>
      </c>
      <c r="H49" s="808"/>
      <c r="I49" s="808"/>
      <c r="J49" s="808"/>
      <c r="K49" s="808"/>
    </row>
    <row r="50" spans="1:11" ht="12.75" customHeight="1">
      <c r="A50" s="808"/>
      <c r="B50" s="808"/>
      <c r="C50" s="810" t="s">
        <v>198</v>
      </c>
      <c r="D50" s="813">
        <v>1</v>
      </c>
      <c r="E50" s="809">
        <v>0.22500000000000001</v>
      </c>
      <c r="F50" s="814">
        <v>0.22500000000000001</v>
      </c>
      <c r="H50" s="808"/>
      <c r="I50" s="808"/>
      <c r="J50" s="808"/>
      <c r="K50" s="808"/>
    </row>
    <row r="51" spans="1:11" ht="12.75" customHeight="1">
      <c r="A51" s="807"/>
      <c r="B51" s="807"/>
      <c r="C51" s="810" t="s">
        <v>213</v>
      </c>
      <c r="D51" s="813">
        <v>37438</v>
      </c>
      <c r="E51" s="809">
        <v>0.1875</v>
      </c>
      <c r="F51" s="814">
        <v>0.1875</v>
      </c>
      <c r="H51" s="807"/>
      <c r="I51" s="807"/>
      <c r="J51" s="807"/>
      <c r="K51" s="807"/>
    </row>
    <row r="52" spans="1:11" ht="12.75" customHeight="1">
      <c r="A52" s="807"/>
      <c r="B52" s="807"/>
      <c r="C52" s="810" t="s">
        <v>199</v>
      </c>
      <c r="D52" s="813">
        <v>38847</v>
      </c>
      <c r="E52" s="809">
        <v>0.1875</v>
      </c>
      <c r="F52" s="814">
        <v>0.25</v>
      </c>
      <c r="H52" s="807"/>
      <c r="I52" s="807"/>
      <c r="J52" s="807"/>
      <c r="K52" s="807"/>
    </row>
    <row r="53" spans="1:11" hidden="1">
      <c r="A53" s="807"/>
      <c r="B53" s="807"/>
      <c r="C53" s="815">
        <f>F14</f>
        <v>45382</v>
      </c>
      <c r="D53" s="815"/>
      <c r="E53" s="816">
        <v>0.1875</v>
      </c>
      <c r="F53" s="817">
        <v>0.25</v>
      </c>
      <c r="H53" s="807"/>
      <c r="I53" s="807"/>
      <c r="J53" s="807"/>
      <c r="K53" s="807"/>
    </row>
    <row r="54" spans="1:11" ht="12.75" customHeight="1">
      <c r="A54" s="746" t="s">
        <v>366</v>
      </c>
      <c r="B54" s="747"/>
      <c r="C54" s="746"/>
      <c r="D54" s="746"/>
      <c r="E54" s="746"/>
      <c r="F54" s="746"/>
      <c r="G54" s="746"/>
      <c r="H54" s="746"/>
      <c r="I54" s="746"/>
      <c r="J54" s="746"/>
      <c r="K54" s="743">
        <f>'Standard Thresholds'!B151</f>
        <v>0.1</v>
      </c>
    </row>
    <row r="55" spans="1:11" ht="5.0999999999999996" customHeight="1">
      <c r="A55" s="747"/>
      <c r="B55" s="747"/>
      <c r="C55" s="746"/>
      <c r="D55" s="746"/>
      <c r="E55" s="746"/>
      <c r="F55" s="746"/>
      <c r="G55" s="758"/>
      <c r="H55" s="746"/>
      <c r="I55" s="746"/>
      <c r="J55" s="758"/>
      <c r="K55" s="755"/>
    </row>
    <row r="56" spans="1:11" ht="12.75" customHeight="1">
      <c r="A56" s="747"/>
      <c r="B56" s="759" t="s">
        <v>367</v>
      </c>
      <c r="C56" s="760"/>
      <c r="D56" s="760"/>
      <c r="E56" s="760"/>
      <c r="F56" s="760"/>
      <c r="G56" s="761"/>
      <c r="H56" s="760"/>
      <c r="I56" s="760"/>
      <c r="J56" s="761"/>
      <c r="K56" s="762"/>
    </row>
    <row r="57" spans="1:11" ht="12.75" customHeight="1">
      <c r="A57" s="747"/>
      <c r="B57" s="763"/>
      <c r="C57" s="764" t="s">
        <v>368</v>
      </c>
      <c r="D57" s="764"/>
      <c r="E57" s="765"/>
      <c r="F57" s="766"/>
      <c r="G57" s="764"/>
      <c r="H57" s="764"/>
      <c r="I57" s="764"/>
      <c r="J57" s="764"/>
      <c r="K57" s="921">
        <f>F83</f>
        <v>0</v>
      </c>
    </row>
    <row r="58" spans="1:11" ht="12.75" customHeight="1">
      <c r="A58" s="747"/>
      <c r="B58" s="763"/>
      <c r="C58" s="764"/>
      <c r="D58" s="764"/>
      <c r="E58" s="764"/>
      <c r="F58" s="767"/>
      <c r="G58" s="764"/>
      <c r="H58" s="764"/>
      <c r="I58" s="764"/>
      <c r="J58" s="764"/>
      <c r="K58" s="768"/>
    </row>
    <row r="59" spans="1:11" ht="12.75" customHeight="1">
      <c r="A59" s="747"/>
      <c r="B59" s="769"/>
      <c r="C59" s="770" t="s">
        <v>369</v>
      </c>
      <c r="D59" s="770"/>
      <c r="E59" s="771"/>
      <c r="F59" s="772"/>
      <c r="G59" s="770"/>
      <c r="H59" s="770"/>
      <c r="I59" s="770"/>
      <c r="J59" s="770"/>
      <c r="K59" s="922">
        <f>K83</f>
        <v>0</v>
      </c>
    </row>
    <row r="60" spans="1:11" ht="5.0999999999999996" customHeight="1">
      <c r="A60" s="747"/>
      <c r="B60" s="747"/>
      <c r="C60" s="746"/>
      <c r="D60" s="746"/>
      <c r="E60" s="747"/>
      <c r="F60" s="747"/>
      <c r="G60" s="747"/>
      <c r="H60" s="773"/>
      <c r="I60" s="747"/>
      <c r="J60" s="746"/>
      <c r="K60" s="746"/>
    </row>
    <row r="61" spans="1:11" ht="12.75" customHeight="1">
      <c r="A61" s="747"/>
      <c r="B61" s="774" t="s">
        <v>370</v>
      </c>
      <c r="C61" s="760"/>
      <c r="D61" s="760"/>
      <c r="E61" s="775"/>
      <c r="F61" s="775"/>
      <c r="G61" s="775"/>
      <c r="H61" s="776"/>
      <c r="I61" s="775"/>
      <c r="J61" s="760"/>
      <c r="K61" s="777"/>
    </row>
    <row r="62" spans="1:11" ht="12.75" customHeight="1">
      <c r="A62" s="747"/>
      <c r="B62" s="763"/>
      <c r="C62" s="764" t="s">
        <v>368</v>
      </c>
      <c r="D62" s="764"/>
      <c r="E62" s="765"/>
      <c r="F62" s="766"/>
      <c r="G62" s="764"/>
      <c r="H62" s="764" t="s">
        <v>371</v>
      </c>
      <c r="I62" s="764"/>
      <c r="J62" s="764"/>
      <c r="K62" s="921">
        <f>F77</f>
        <v>0</v>
      </c>
    </row>
    <row r="63" spans="1:11" ht="12.75" customHeight="1">
      <c r="A63" s="747"/>
      <c r="B63" s="763"/>
      <c r="C63" s="764"/>
      <c r="D63" s="764"/>
      <c r="E63" s="764"/>
      <c r="F63" s="767"/>
      <c r="G63" s="764"/>
      <c r="H63" s="764"/>
      <c r="I63" s="764"/>
      <c r="J63" s="764"/>
      <c r="K63" s="923"/>
    </row>
    <row r="64" spans="1:11" ht="12.75" customHeight="1">
      <c r="A64" s="747"/>
      <c r="B64" s="769"/>
      <c r="C64" s="770" t="s">
        <v>369</v>
      </c>
      <c r="D64" s="770"/>
      <c r="E64" s="771"/>
      <c r="F64" s="772"/>
      <c r="G64" s="770"/>
      <c r="H64" s="770" t="s">
        <v>371</v>
      </c>
      <c r="I64" s="770"/>
      <c r="J64" s="770"/>
      <c r="K64" s="922">
        <f>K78</f>
        <v>0</v>
      </c>
    </row>
    <row r="65" spans="1:11" ht="5.0999999999999996" customHeight="1">
      <c r="A65" s="747"/>
      <c r="B65" s="747"/>
      <c r="C65" s="746"/>
      <c r="D65" s="746"/>
      <c r="E65" s="773"/>
      <c r="F65" s="753"/>
      <c r="G65" s="746"/>
      <c r="H65" s="746"/>
      <c r="I65" s="746"/>
      <c r="J65" s="746"/>
      <c r="K65" s="778"/>
    </row>
    <row r="66" spans="1:11" ht="12.75" customHeight="1">
      <c r="A66" s="747"/>
      <c r="B66" s="779" t="s">
        <v>375</v>
      </c>
      <c r="C66" s="746"/>
      <c r="D66" s="746"/>
      <c r="E66" s="746"/>
      <c r="F66" s="746"/>
      <c r="G66" s="747"/>
      <c r="H66" s="779" t="s">
        <v>372</v>
      </c>
      <c r="I66" s="747"/>
      <c r="J66" s="747"/>
      <c r="K66" s="747"/>
    </row>
    <row r="67" spans="1:11" ht="12.75" customHeight="1">
      <c r="A67" s="747"/>
      <c r="B67" s="746" t="s">
        <v>377</v>
      </c>
      <c r="C67" s="746"/>
      <c r="D67" s="746"/>
      <c r="E67" s="746"/>
      <c r="F67" s="805">
        <f>K20</f>
        <v>0</v>
      </c>
      <c r="G67" s="747"/>
      <c r="H67" s="753" t="s">
        <v>373</v>
      </c>
      <c r="I67" s="747"/>
      <c r="J67" s="747"/>
      <c r="K67" s="747"/>
    </row>
    <row r="68" spans="1:11" ht="12.75" customHeight="1">
      <c r="A68" s="747"/>
      <c r="G68" s="747"/>
      <c r="H68" s="753" t="s">
        <v>374</v>
      </c>
      <c r="I68" s="747"/>
      <c r="J68" s="747"/>
      <c r="K68" s="804">
        <f>F33</f>
        <v>0</v>
      </c>
    </row>
    <row r="69" spans="1:11" ht="12.75" customHeight="1">
      <c r="A69" s="747"/>
      <c r="B69" s="746" t="s">
        <v>384</v>
      </c>
      <c r="C69" s="746"/>
      <c r="D69" s="746"/>
      <c r="E69" s="746"/>
      <c r="F69" s="744" t="str">
        <f>+N19</f>
        <v>input current date</v>
      </c>
      <c r="G69" s="747"/>
      <c r="H69" s="753" t="s">
        <v>1115</v>
      </c>
      <c r="I69" s="747"/>
      <c r="J69" s="747"/>
      <c r="K69" s="804">
        <f>IF(F23&gt;0,F23*K48*F19/Period_Days,0)</f>
        <v>0</v>
      </c>
    </row>
    <row r="70" spans="1:11" ht="12.75" customHeight="1">
      <c r="A70" s="747"/>
      <c r="G70" s="747"/>
      <c r="H70" s="753" t="s">
        <v>1272</v>
      </c>
      <c r="I70" s="747"/>
      <c r="J70" s="747"/>
      <c r="K70" s="804">
        <f>IF(F23&gt;0,F23*K47*F19/Period_Days,0)</f>
        <v>0</v>
      </c>
    </row>
    <row r="71" spans="1:11" ht="12.75" customHeight="1">
      <c r="A71" s="779"/>
      <c r="B71" s="753" t="s">
        <v>385</v>
      </c>
      <c r="C71" s="747"/>
      <c r="D71" s="747"/>
      <c r="E71" s="747"/>
      <c r="F71" s="781">
        <f>K44</f>
        <v>366</v>
      </c>
      <c r="G71" s="746"/>
      <c r="H71" s="753" t="s">
        <v>376</v>
      </c>
      <c r="I71" s="746"/>
      <c r="J71" s="746"/>
      <c r="K71" s="804">
        <f>K31</f>
        <v>0</v>
      </c>
    </row>
    <row r="72" spans="1:11" ht="12.75" customHeight="1">
      <c r="A72" s="746"/>
      <c r="B72" s="746"/>
      <c r="C72" s="746"/>
      <c r="D72" s="746"/>
      <c r="E72" s="746"/>
      <c r="F72" s="783"/>
      <c r="G72" s="746"/>
      <c r="H72" s="753"/>
      <c r="I72" s="746"/>
      <c r="J72" s="746"/>
      <c r="K72" s="797" t="s">
        <v>378</v>
      </c>
    </row>
    <row r="73" spans="1:11" ht="12.75" customHeight="1">
      <c r="A73" s="746"/>
      <c r="B73" s="746" t="s">
        <v>387</v>
      </c>
      <c r="C73" s="746"/>
      <c r="D73" s="746"/>
      <c r="E73" s="746"/>
      <c r="F73" s="805">
        <f>IFERROR(F67*F69*F71/(F14-F13+1),0)</f>
        <v>0</v>
      </c>
      <c r="G73" s="746"/>
      <c r="H73" s="753"/>
      <c r="I73" s="746"/>
      <c r="J73" s="746"/>
      <c r="K73" s="804">
        <f>SUM(K67:K72)</f>
        <v>0</v>
      </c>
    </row>
    <row r="74" spans="1:11" ht="12.75" customHeight="1">
      <c r="A74" s="753"/>
      <c r="G74" s="747"/>
      <c r="H74" s="746" t="s">
        <v>386</v>
      </c>
      <c r="I74" s="747"/>
      <c r="J74" s="747"/>
      <c r="K74" s="782">
        <f>IF(K42&gt;0,1-K42,IF(K39&gt;0,(1-K40/K39),1))</f>
        <v>1</v>
      </c>
    </row>
    <row r="75" spans="1:11" ht="12.75" customHeight="1">
      <c r="A75" s="746"/>
      <c r="B75" s="746" t="s">
        <v>388</v>
      </c>
      <c r="C75" s="746"/>
      <c r="D75" s="746"/>
      <c r="E75" s="746"/>
      <c r="F75" s="806">
        <f>K36</f>
        <v>0</v>
      </c>
      <c r="G75" s="746"/>
      <c r="H75" s="746"/>
      <c r="I75" s="746"/>
      <c r="J75" s="746"/>
      <c r="K75" s="783"/>
    </row>
    <row r="76" spans="1:11" ht="12.75" customHeight="1">
      <c r="A76" s="746"/>
      <c r="G76" s="746"/>
      <c r="H76" s="746"/>
      <c r="I76" s="746"/>
      <c r="J76" s="746"/>
      <c r="K76" s="803">
        <f>K73*K74</f>
        <v>0</v>
      </c>
    </row>
    <row r="77" spans="1:11" ht="12.75" customHeight="1" thickBot="1">
      <c r="A77" s="746"/>
      <c r="B77" s="746" t="s">
        <v>389</v>
      </c>
      <c r="C77" s="746"/>
      <c r="D77" s="746"/>
      <c r="E77" s="746"/>
      <c r="F77" s="801">
        <f>F73-F75</f>
        <v>0</v>
      </c>
      <c r="G77" s="746"/>
      <c r="H77" s="746" t="s">
        <v>388</v>
      </c>
      <c r="I77" s="746"/>
      <c r="J77" s="746"/>
      <c r="K77" s="802">
        <f>K36</f>
        <v>0</v>
      </c>
    </row>
    <row r="78" spans="1:11" ht="13.5" customHeight="1" thickTop="1" thickBot="1">
      <c r="A78" s="746"/>
      <c r="G78" s="746"/>
      <c r="H78" s="746"/>
      <c r="I78" s="746"/>
      <c r="J78" s="746"/>
      <c r="K78" s="801">
        <f>K76-K77</f>
        <v>0</v>
      </c>
    </row>
    <row r="79" spans="1:11" ht="13.5" customHeight="1" thickTop="1">
      <c r="A79" s="746"/>
      <c r="B79" s="746"/>
      <c r="C79" s="746"/>
      <c r="D79" s="746"/>
      <c r="E79" s="746"/>
      <c r="F79" s="780"/>
      <c r="G79" s="746"/>
      <c r="H79" s="746"/>
      <c r="I79" s="746"/>
      <c r="J79" s="746"/>
      <c r="K79" s="784"/>
    </row>
    <row r="80" spans="1:11" ht="12.75" customHeight="1">
      <c r="A80" s="746"/>
      <c r="B80" s="746" t="s">
        <v>390</v>
      </c>
      <c r="C80" s="746"/>
      <c r="D80" s="746"/>
      <c r="E80" s="746"/>
      <c r="F80" s="799">
        <f>F77/11</f>
        <v>0</v>
      </c>
      <c r="G80" s="746"/>
      <c r="H80" s="746" t="s">
        <v>390</v>
      </c>
      <c r="I80" s="746"/>
      <c r="J80" s="746"/>
      <c r="K80" s="799">
        <f>K78/11</f>
        <v>0</v>
      </c>
    </row>
    <row r="81" spans="1:11" hidden="1">
      <c r="A81" s="746"/>
      <c r="B81" s="746"/>
      <c r="C81" s="746"/>
      <c r="D81" s="746"/>
      <c r="E81" s="746"/>
      <c r="F81" s="781"/>
      <c r="G81" s="746"/>
      <c r="H81" s="746"/>
      <c r="I81" s="746"/>
      <c r="J81" s="746"/>
      <c r="K81" s="781"/>
    </row>
    <row r="82" spans="1:11" ht="12.75" customHeight="1">
      <c r="A82" s="746"/>
      <c r="B82" s="746"/>
      <c r="C82" s="746"/>
      <c r="D82" s="746"/>
      <c r="E82" s="746"/>
      <c r="F82" s="785"/>
      <c r="G82" s="746"/>
      <c r="H82" s="746"/>
      <c r="I82" s="746"/>
      <c r="J82" s="746"/>
      <c r="K82" s="781"/>
    </row>
    <row r="83" spans="1:11" ht="13.5" customHeight="1" thickBot="1">
      <c r="A83" s="746"/>
      <c r="B83" s="746" t="s">
        <v>391</v>
      </c>
      <c r="C83" s="755">
        <f>K46</f>
        <v>0.47</v>
      </c>
      <c r="D83" s="755"/>
      <c r="E83" s="755"/>
      <c r="F83" s="800">
        <f>F77*$K$45*$K$46</f>
        <v>0</v>
      </c>
      <c r="G83" s="746"/>
      <c r="H83" s="746" t="s">
        <v>391</v>
      </c>
      <c r="I83" s="755"/>
      <c r="J83" s="786">
        <f>K46</f>
        <v>0.47</v>
      </c>
      <c r="K83" s="800">
        <f>K78*$K$45*$K$46</f>
        <v>0</v>
      </c>
    </row>
    <row r="84" spans="1:11" ht="6.75" customHeight="1" thickTop="1">
      <c r="A84" s="746"/>
      <c r="B84" s="746"/>
      <c r="C84" s="746"/>
      <c r="D84" s="746"/>
      <c r="E84" s="746"/>
      <c r="F84" s="747"/>
      <c r="G84" s="746"/>
      <c r="H84" s="746"/>
      <c r="I84" s="746"/>
      <c r="J84" s="746"/>
      <c r="K84" s="747"/>
    </row>
    <row r="85" spans="1:11" ht="5.0999999999999996" customHeight="1">
      <c r="A85" s="746"/>
      <c r="B85" s="746"/>
      <c r="C85" s="746"/>
      <c r="D85" s="746"/>
      <c r="E85" s="746"/>
      <c r="F85" s="746"/>
      <c r="G85" s="746"/>
      <c r="H85" s="746"/>
      <c r="I85" s="746"/>
      <c r="J85" s="746"/>
      <c r="K85" s="748"/>
    </row>
    <row r="86" spans="1:11" ht="6.75" customHeight="1">
      <c r="A86" s="787"/>
      <c r="B86" s="760"/>
      <c r="C86" s="760"/>
      <c r="D86" s="760"/>
      <c r="E86" s="760"/>
      <c r="F86" s="760"/>
      <c r="G86" s="760"/>
      <c r="H86" s="760"/>
      <c r="I86" s="760"/>
      <c r="J86" s="788"/>
      <c r="K86" s="789"/>
    </row>
    <row r="87" spans="1:11" ht="12.75" customHeight="1">
      <c r="A87" s="763"/>
      <c r="B87" s="790" t="s">
        <v>392</v>
      </c>
      <c r="C87" s="791"/>
      <c r="D87" s="791"/>
      <c r="E87" s="791"/>
      <c r="F87" s="792" t="s">
        <v>393</v>
      </c>
      <c r="G87" s="791"/>
      <c r="H87" s="791"/>
      <c r="I87" s="791"/>
      <c r="J87" s="791"/>
      <c r="K87" s="792" t="s">
        <v>394</v>
      </c>
    </row>
    <row r="88" spans="1:11" ht="12.75" customHeight="1">
      <c r="A88" s="763"/>
      <c r="B88" s="766"/>
      <c r="C88" s="791"/>
      <c r="D88" s="791"/>
      <c r="E88" s="791"/>
      <c r="F88" s="791"/>
      <c r="G88" s="791"/>
      <c r="H88" s="791"/>
      <c r="I88" s="791"/>
      <c r="J88" s="791"/>
      <c r="K88" s="791"/>
    </row>
    <row r="89" spans="1:11" ht="12.75" customHeight="1">
      <c r="A89" s="763"/>
      <c r="B89" s="793" t="s">
        <v>395</v>
      </c>
      <c r="C89" s="791"/>
      <c r="D89" s="791"/>
      <c r="E89" s="791"/>
      <c r="F89" s="794">
        <f>F77</f>
        <v>0</v>
      </c>
      <c r="G89" s="791"/>
      <c r="H89" s="791"/>
      <c r="I89" s="791"/>
      <c r="J89" s="791"/>
      <c r="K89" s="798">
        <f>K78</f>
        <v>0</v>
      </c>
    </row>
    <row r="90" spans="1:11" ht="12.75" customHeight="1">
      <c r="A90" s="763"/>
      <c r="B90" s="793" t="s">
        <v>396</v>
      </c>
      <c r="C90" s="791"/>
      <c r="D90" s="791"/>
      <c r="E90" s="791"/>
      <c r="F90" s="794">
        <f>F77/11</f>
        <v>0</v>
      </c>
      <c r="G90" s="791"/>
      <c r="H90" s="791"/>
      <c r="I90" s="791"/>
      <c r="J90" s="791"/>
      <c r="K90" s="798">
        <f>K78/11</f>
        <v>0</v>
      </c>
    </row>
    <row r="91" spans="1:11" ht="12.75" customHeight="1">
      <c r="A91" s="763"/>
      <c r="B91" s="793" t="s">
        <v>397</v>
      </c>
      <c r="C91" s="791"/>
      <c r="D91" s="791"/>
      <c r="E91" s="791"/>
      <c r="F91" s="794">
        <f>F89-F90</f>
        <v>0</v>
      </c>
      <c r="G91" s="791"/>
      <c r="H91" s="791"/>
      <c r="I91" s="791"/>
      <c r="J91" s="791"/>
      <c r="K91" s="798">
        <f>K89-K90</f>
        <v>0</v>
      </c>
    </row>
    <row r="92" spans="1:11" ht="6" customHeight="1">
      <c r="A92" s="769"/>
      <c r="B92" s="795"/>
      <c r="C92" s="795"/>
      <c r="D92" s="795"/>
      <c r="E92" s="795"/>
      <c r="F92" s="795"/>
      <c r="G92" s="795"/>
      <c r="H92" s="795"/>
      <c r="I92" s="795"/>
      <c r="J92" s="795"/>
      <c r="K92" s="795"/>
    </row>
    <row r="93" spans="1:11" ht="5.0999999999999996" customHeight="1">
      <c r="A93" s="791"/>
      <c r="B93" s="791"/>
      <c r="C93" s="791"/>
      <c r="D93" s="791"/>
      <c r="E93" s="791"/>
      <c r="F93" s="791"/>
      <c r="G93" s="791"/>
      <c r="H93" s="791"/>
      <c r="I93" s="791"/>
      <c r="J93" s="791"/>
      <c r="K93" s="791"/>
    </row>
    <row r="94" spans="1:11" ht="12.75" customHeight="1">
      <c r="A94" s="145" t="s">
        <v>1155</v>
      </c>
      <c r="B94" s="140"/>
      <c r="C94" s="140"/>
      <c r="D94" s="140"/>
      <c r="E94" s="140"/>
      <c r="F94" s="141"/>
      <c r="G94" s="140"/>
      <c r="H94" s="746"/>
      <c r="I94" s="746"/>
      <c r="J94" s="746"/>
      <c r="K94" s="746"/>
    </row>
    <row r="95" spans="1:11" ht="30.75" customHeight="1">
      <c r="A95" s="4097"/>
      <c r="B95" s="4098"/>
      <c r="C95" s="4098"/>
      <c r="D95" s="4098"/>
      <c r="E95" s="4098"/>
      <c r="F95" s="4098"/>
      <c r="G95" s="4098"/>
      <c r="H95" s="4098"/>
      <c r="I95" s="4098"/>
      <c r="J95" s="4098"/>
      <c r="K95" s="4099"/>
    </row>
    <row r="98" spans="1:12">
      <c r="A98" s="1478" t="s">
        <v>1735</v>
      </c>
    </row>
    <row r="99" spans="1:12" ht="6.75" customHeight="1">
      <c r="L99" s="1479"/>
    </row>
    <row r="100" spans="1:12">
      <c r="A100" s="737" t="str">
        <f>"I, ____________________ , declare that employee contributions of " &amp; TEXT(K36,"$#,##0.00") &amp; " were incurred by me during the period from "&amp; TEXT(F13,"dd/mm/yyyy") &amp; " to " &amp; TEXT(F14,"dd/mm/yyyy") &amp; "."</f>
        <v>I, ____________________ , declare that employee contributions of $0.00 were incurred by me during the period from 01/04/2023 to 31/03/2024.</v>
      </c>
      <c r="L100" s="1479"/>
    </row>
    <row r="101" spans="1:12">
      <c r="L101" s="1479"/>
    </row>
    <row r="102" spans="1:12">
      <c r="A102" s="737" t="s">
        <v>1736</v>
      </c>
      <c r="C102" s="1279"/>
      <c r="L102" s="1479"/>
    </row>
    <row r="103" spans="1:12" ht="6.75" customHeight="1">
      <c r="C103" s="1480"/>
      <c r="L103" s="1479"/>
    </row>
    <row r="104" spans="1:12">
      <c r="A104" s="737" t="s">
        <v>1737</v>
      </c>
      <c r="C104" s="1279"/>
      <c r="L104" s="1479"/>
    </row>
  </sheetData>
  <customSheetViews>
    <customSheetView guid="{BCBE45D4-3C45-4659-992E-5C5D3E9FD81C}" showPageBreaks="1" showGridLines="0" fitToPage="1" printArea="1" hiddenRows="1" hiddenColumns="1">
      <selection activeCell="F27" sqref="F27"/>
      <pageMargins left="0.59055118110236227" right="0.43307086614173229" top="0.6692913385826772" bottom="0.94488188976377963" header="0.51181102362204722" footer="0.39370078740157483"/>
      <printOptions horizontalCentered="1"/>
      <pageSetup paperSize="9" scale="7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PageBreaks="1" showGridLines="0" fitToPage="1" printArea="1" hiddenRows="1" hiddenColumns="1">
      <selection activeCell="K42" sqref="K42"/>
      <pageMargins left="0.59055118110236227" right="0.43307086614173229" top="0.6692913385826772" bottom="0.94488188976377963" header="0.51181102362204722" footer="0.39370078740157483"/>
      <printOptions horizontalCentered="1"/>
      <pageSetup paperSize="9" scale="70" fitToHeight="999" orientation="portrait" blackAndWhite="1" r:id="rId2"/>
      <headerFooter alignWithMargins="0">
        <oddFooter>&amp;L&amp;8Copyright Crowe Horwath (Aust) Pty Ltd 2016.  All rights reserved.
&amp;Z&amp;F[&amp;A]&amp;R&amp;8&amp;P/&amp;N</oddFooter>
      </headerFooter>
    </customSheetView>
  </customSheetViews>
  <mergeCells count="8">
    <mergeCell ref="N9:N11"/>
    <mergeCell ref="A24:K24"/>
    <mergeCell ref="A95:K95"/>
    <mergeCell ref="J9:K9"/>
    <mergeCell ref="A8:K8"/>
    <mergeCell ref="F16:K16"/>
    <mergeCell ref="N19:O19"/>
    <mergeCell ref="N20:O20"/>
  </mergeCells>
  <phoneticPr fontId="65" type="noConversion"/>
  <conditionalFormatting sqref="L147">
    <cfRule type="expression" dxfId="12" priority="4" stopIfTrue="1">
      <formula>SUM($147:$147)=0</formula>
    </cfRule>
  </conditionalFormatting>
  <conditionalFormatting sqref="O12:S15">
    <cfRule type="expression" dxfId="11" priority="1" stopIfTrue="1">
      <formula>AND(VLOOKUP($K$39,CarFBTRateKms,1)=$N12,INDEX(CarFBTRateDate,CarFBTCurrentYearColumn)=O$11)</formula>
    </cfRule>
    <cfRule type="expression" dxfId="10" priority="11" stopIfTrue="1">
      <formula>AND(VLOOKUP($K$39,CarFBTRateKms,1)=$N12,INDEX(CarFBTRateDate,,MATCH(IF($K$17&lt;$P$11,$K$17,$F$14+1),CarFBTRateDate,1))=O$11)</formula>
    </cfRule>
  </conditionalFormatting>
  <hyperlinks>
    <hyperlink ref="J9:K9" location="WPIndex!A1" display="Back to WP Index" xr:uid="{00000000-0004-0000-3200-000000000000}"/>
  </hyperlinks>
  <printOptions horizontalCentered="1"/>
  <pageMargins left="0.59055118110236227" right="0.43307086614173229" top="0.6692913385826772" bottom="0.94488188976377963" header="0.51181102362204722" footer="0.39370078740157483"/>
  <pageSetup paperSize="9" scale="58" fitToHeight="999" orientation="portrait" r:id="rId3"/>
  <headerFooter alignWithMargins="0">
    <oddFooter>&amp;L&amp;8© Findex (Aust) Pty Ltd.  All rights reserved.&amp;R&amp;8&amp;P/&amp;N</oddFooter>
  </headerFooter>
  <drawing r:id="rId4"/>
  <legacyDrawing r:id="rId5"/>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Wages_Reconciliation_Sheet">
    <tabColor theme="8" tint="0.79998168889431442"/>
  </sheetPr>
  <dimension ref="A1:Q115"/>
  <sheetViews>
    <sheetView zoomScaleNormal="100" workbookViewId="0">
      <selection sqref="A1:F1"/>
    </sheetView>
  </sheetViews>
  <sheetFormatPr defaultColWidth="9.140625" defaultRowHeight="12.75"/>
  <cols>
    <col min="1" max="1" width="3.7109375" style="1" customWidth="1"/>
    <col min="2" max="2" width="29.28515625" style="1" customWidth="1"/>
    <col min="3" max="5" width="14.5703125" style="14" customWidth="1"/>
    <col min="6" max="6" width="14.42578125" style="14" customWidth="1"/>
    <col min="7" max="7" width="14.5703125" style="14" customWidth="1"/>
    <col min="8" max="8" width="13.5703125" style="14" customWidth="1"/>
    <col min="9" max="9" width="15.28515625" style="14" customWidth="1"/>
    <col min="10" max="11" width="12.7109375" style="14" customWidth="1"/>
    <col min="12" max="12" width="12.5703125" style="1" customWidth="1"/>
    <col min="13" max="13" width="12.42578125" style="1" customWidth="1"/>
    <col min="14" max="14" width="9.28515625" style="1" hidden="1" customWidth="1"/>
    <col min="15" max="15" width="11" style="333" hidden="1" customWidth="1"/>
    <col min="16" max="16" width="3.28515625" style="1" bestFit="1" customWidth="1"/>
    <col min="17" max="17" width="8.28515625" style="1" hidden="1" customWidth="1"/>
    <col min="18" max="16384" width="9.140625" style="1"/>
  </cols>
  <sheetData>
    <row r="1" spans="1:17">
      <c r="L1" s="2613" t="s">
        <v>2425</v>
      </c>
      <c r="M1" s="3576" t="s">
        <v>2758</v>
      </c>
    </row>
    <row r="2" spans="1:17" ht="15.75">
      <c r="A2" s="740"/>
      <c r="B2" s="740"/>
      <c r="C2" s="40"/>
      <c r="D2" s="40"/>
      <c r="E2" s="40"/>
      <c r="F2" s="40"/>
      <c r="G2" s="40"/>
      <c r="H2" s="40"/>
      <c r="I2" s="40"/>
      <c r="J2" s="40"/>
      <c r="K2" s="40"/>
      <c r="L2" s="71" t="s">
        <v>2426</v>
      </c>
      <c r="M2" s="2621"/>
      <c r="O2" s="333">
        <v>5</v>
      </c>
    </row>
    <row r="3" spans="1:17" ht="15.75">
      <c r="A3" s="740"/>
      <c r="B3" s="740"/>
      <c r="C3" s="40"/>
      <c r="D3" s="40"/>
      <c r="E3" s="40"/>
      <c r="F3" s="40"/>
      <c r="G3" s="40"/>
      <c r="H3" s="40"/>
      <c r="I3" s="40"/>
      <c r="J3" s="40"/>
      <c r="K3" s="40"/>
      <c r="L3" s="40"/>
      <c r="O3" s="333">
        <v>10</v>
      </c>
    </row>
    <row r="4" spans="1:17" s="32" customFormat="1">
      <c r="A4" s="206"/>
      <c r="J4" s="11"/>
      <c r="K4" s="1681"/>
      <c r="L4" s="2795" t="s">
        <v>1163</v>
      </c>
      <c r="M4" s="709" t="s">
        <v>1262</v>
      </c>
      <c r="N4" s="1"/>
      <c r="O4" s="333">
        <v>15</v>
      </c>
    </row>
    <row r="5" spans="1:17" s="32" customFormat="1" ht="17.25" customHeight="1">
      <c r="A5" s="206"/>
      <c r="K5" s="71" t="s">
        <v>332</v>
      </c>
      <c r="L5" s="2617" t="str">
        <f>IF(PreparedBy="","",PreparedBy)</f>
        <v/>
      </c>
      <c r="M5" s="2618" t="str">
        <f>IF(DatePrepared="","",DatePrepared)</f>
        <v/>
      </c>
      <c r="N5" s="1"/>
      <c r="O5" s="333">
        <v>20</v>
      </c>
    </row>
    <row r="6" spans="1:17" s="32" customFormat="1" ht="17.25" customHeight="1">
      <c r="A6" s="206"/>
      <c r="K6" s="71" t="s">
        <v>333</v>
      </c>
      <c r="L6" s="2619"/>
      <c r="M6" s="2620"/>
      <c r="N6" s="1"/>
      <c r="O6" s="333">
        <v>25</v>
      </c>
    </row>
    <row r="7" spans="1:17" s="32" customFormat="1" ht="15.95" customHeight="1">
      <c r="A7" s="206"/>
      <c r="B7" s="43"/>
      <c r="C7" s="43"/>
      <c r="D7" s="43"/>
      <c r="E7" s="43"/>
      <c r="F7" s="43"/>
      <c r="G7" s="43"/>
      <c r="N7" s="1"/>
      <c r="O7" s="3581">
        <v>30</v>
      </c>
    </row>
    <row r="8" spans="1:17" ht="15.75">
      <c r="A8" s="3704" t="str">
        <f>WP_Wages_Rec</f>
        <v>Wages Reconciliation</v>
      </c>
      <c r="B8" s="3705"/>
      <c r="C8" s="3705"/>
      <c r="D8" s="3705"/>
      <c r="E8" s="3705"/>
      <c r="F8" s="3705"/>
      <c r="G8" s="3705"/>
      <c r="H8" s="3705"/>
      <c r="I8" s="3705"/>
      <c r="J8" s="3705"/>
      <c r="K8" s="3705"/>
      <c r="L8" s="3705"/>
      <c r="M8" s="3706"/>
    </row>
    <row r="9" spans="1:17">
      <c r="L9" s="3832" t="s">
        <v>2526</v>
      </c>
      <c r="M9" s="3832"/>
    </row>
    <row r="10" spans="1:17" ht="15.75">
      <c r="A10" s="222" t="str">
        <f>"CLIENT NAME:   "&amp;'WP Index'!E3</f>
        <v>CLIENT NAME:   Example Trust</v>
      </c>
    </row>
    <row r="11" spans="1:17">
      <c r="A11" s="9" t="str">
        <f>"CLIENT CODE:   "&amp;'WP Index'!E4</f>
        <v>CLIENT CODE:   99999</v>
      </c>
      <c r="L11" s="47" t="s">
        <v>951</v>
      </c>
      <c r="M11" s="47">
        <f>'WP Index'!G5</f>
        <v>45473</v>
      </c>
    </row>
    <row r="12" spans="1:17">
      <c r="N12" s="2259"/>
    </row>
    <row r="13" spans="1:17" s="8" customFormat="1">
      <c r="A13" s="139"/>
      <c r="B13" s="219" t="s">
        <v>1437</v>
      </c>
      <c r="C13" s="140"/>
      <c r="D13" s="140"/>
      <c r="E13" s="140"/>
      <c r="F13" s="152"/>
      <c r="G13" s="141"/>
      <c r="H13" s="142"/>
      <c r="I13" s="142"/>
      <c r="J13" s="142"/>
      <c r="K13" s="142"/>
      <c r="L13" s="142"/>
      <c r="N13" s="8">
        <v>4</v>
      </c>
      <c r="O13" s="65"/>
      <c r="Q13" s="1"/>
    </row>
    <row r="14" spans="1:17" s="8" customFormat="1">
      <c r="A14" s="139"/>
      <c r="B14" s="140"/>
      <c r="C14" s="140"/>
      <c r="D14" s="140"/>
      <c r="E14" s="140"/>
      <c r="F14" s="140"/>
      <c r="G14" s="141"/>
      <c r="H14" s="142"/>
      <c r="J14" s="341" t="s">
        <v>1450</v>
      </c>
      <c r="K14" s="341"/>
      <c r="L14" s="142"/>
      <c r="O14" s="65"/>
      <c r="Q14" s="1"/>
    </row>
    <row r="15" spans="1:17" s="8" customFormat="1">
      <c r="A15" s="139"/>
      <c r="B15" s="219" t="s">
        <v>1342</v>
      </c>
      <c r="C15" s="140"/>
      <c r="D15" s="140"/>
      <c r="E15" s="140"/>
      <c r="F15" s="140"/>
      <c r="G15" s="141"/>
      <c r="H15" s="142"/>
      <c r="I15" s="341" t="s">
        <v>1449</v>
      </c>
      <c r="J15" s="3018">
        <f>INDEX(SGC_Rates,MATCH(YEAR($M$11),INDEX(SGC_Rates,,1),0),2)</f>
        <v>0.11</v>
      </c>
      <c r="K15" s="341"/>
      <c r="L15" s="142"/>
      <c r="O15" s="65"/>
      <c r="Q15" s="1"/>
    </row>
    <row r="16" spans="1:17" s="8" customFormat="1">
      <c r="A16" s="139"/>
      <c r="B16" s="140"/>
      <c r="C16" s="140"/>
      <c r="D16" s="140"/>
      <c r="E16" s="140"/>
      <c r="F16" s="140"/>
      <c r="G16" s="141"/>
      <c r="H16" s="142"/>
      <c r="I16" s="142"/>
      <c r="J16" s="142"/>
      <c r="K16" s="142"/>
      <c r="L16" s="142"/>
      <c r="O16" s="65"/>
      <c r="Q16" s="6" t="s">
        <v>1286</v>
      </c>
    </row>
    <row r="17" spans="1:17" s="8" customFormat="1" ht="63.75">
      <c r="A17" s="139"/>
      <c r="B17" s="945" t="s">
        <v>1163</v>
      </c>
      <c r="C17" s="945" t="s">
        <v>287</v>
      </c>
      <c r="D17" s="945" t="s">
        <v>383</v>
      </c>
      <c r="E17" s="945" t="s">
        <v>1903</v>
      </c>
      <c r="F17" s="945" t="s">
        <v>288</v>
      </c>
      <c r="G17" s="945" t="s">
        <v>1015</v>
      </c>
      <c r="H17" s="945" t="s">
        <v>2623</v>
      </c>
      <c r="I17" s="945" t="s">
        <v>1339</v>
      </c>
      <c r="J17" s="946" t="s">
        <v>1448</v>
      </c>
      <c r="K17" s="945" t="s">
        <v>1904</v>
      </c>
      <c r="L17" s="945" t="s">
        <v>1340</v>
      </c>
      <c r="M17" s="945" t="s">
        <v>1339</v>
      </c>
      <c r="O17" s="65"/>
      <c r="P17" s="944" t="s">
        <v>381</v>
      </c>
    </row>
    <row r="18" spans="1:17" s="8" customFormat="1">
      <c r="A18" s="139">
        <v>1</v>
      </c>
      <c r="B18" s="2744"/>
      <c r="C18" s="2678"/>
      <c r="D18" s="2678"/>
      <c r="E18" s="2678"/>
      <c r="F18" s="2678"/>
      <c r="G18" s="1671">
        <f t="shared" ref="G18:G27" si="0">SUM(C18:D18)-F18</f>
        <v>0</v>
      </c>
      <c r="H18" s="3020"/>
      <c r="I18" s="1672">
        <f>G18-H18</f>
        <v>0</v>
      </c>
      <c r="J18" s="1671">
        <f>sgc*C18</f>
        <v>0</v>
      </c>
      <c r="K18" s="3022"/>
      <c r="L18" s="3022"/>
      <c r="M18" s="1673">
        <f>SUM(J18:K18)-L18</f>
        <v>0</v>
      </c>
      <c r="O18" s="65"/>
      <c r="P18" s="1528" t="s">
        <v>1842</v>
      </c>
      <c r="Q18" s="1"/>
    </row>
    <row r="19" spans="1:17" s="8" customFormat="1">
      <c r="A19" s="139">
        <v>2</v>
      </c>
      <c r="B19" s="2747"/>
      <c r="C19" s="2680"/>
      <c r="D19" s="2680"/>
      <c r="E19" s="2680"/>
      <c r="F19" s="2680"/>
      <c r="G19" s="1674">
        <f t="shared" si="0"/>
        <v>0</v>
      </c>
      <c r="H19" s="3021"/>
      <c r="I19" s="1674">
        <f t="shared" ref="I19:I26" si="1">G19-H19</f>
        <v>0</v>
      </c>
      <c r="J19" s="1674">
        <f t="shared" ref="J19:J27" si="2">sgc*C19</f>
        <v>0</v>
      </c>
      <c r="K19" s="3021"/>
      <c r="L19" s="3021"/>
      <c r="M19" s="1673">
        <f t="shared" ref="M19:M27" si="3">SUM(J19:K19)-L19</f>
        <v>0</v>
      </c>
      <c r="O19" s="65"/>
      <c r="P19" s="8" t="s">
        <v>1842</v>
      </c>
      <c r="Q19" s="1"/>
    </row>
    <row r="20" spans="1:17" s="8" customFormat="1">
      <c r="A20" s="139">
        <v>3</v>
      </c>
      <c r="B20" s="2747"/>
      <c r="C20" s="2680"/>
      <c r="D20" s="2680"/>
      <c r="E20" s="2680"/>
      <c r="F20" s="2680"/>
      <c r="G20" s="1674">
        <f t="shared" si="0"/>
        <v>0</v>
      </c>
      <c r="H20" s="3021"/>
      <c r="I20" s="1674">
        <f t="shared" si="1"/>
        <v>0</v>
      </c>
      <c r="J20" s="1674">
        <f t="shared" si="2"/>
        <v>0</v>
      </c>
      <c r="K20" s="3021"/>
      <c r="L20" s="3021"/>
      <c r="M20" s="1673">
        <f t="shared" si="3"/>
        <v>0</v>
      </c>
      <c r="O20" s="65"/>
      <c r="P20" s="8" t="s">
        <v>1842</v>
      </c>
      <c r="Q20" s="1"/>
    </row>
    <row r="21" spans="1:17" s="8" customFormat="1">
      <c r="A21" s="139">
        <v>4</v>
      </c>
      <c r="B21" s="2680"/>
      <c r="C21" s="2680"/>
      <c r="D21" s="2680"/>
      <c r="E21" s="2680"/>
      <c r="F21" s="2680"/>
      <c r="G21" s="1674">
        <f t="shared" si="0"/>
        <v>0</v>
      </c>
      <c r="H21" s="3021"/>
      <c r="I21" s="1674">
        <f t="shared" si="1"/>
        <v>0</v>
      </c>
      <c r="J21" s="1674">
        <f t="shared" si="2"/>
        <v>0</v>
      </c>
      <c r="K21" s="3021"/>
      <c r="L21" s="3021"/>
      <c r="M21" s="1673">
        <f t="shared" si="3"/>
        <v>0</v>
      </c>
      <c r="O21" s="65"/>
      <c r="P21" s="8" t="s">
        <v>1842</v>
      </c>
      <c r="Q21" s="1"/>
    </row>
    <row r="22" spans="1:17" s="8" customFormat="1">
      <c r="A22" s="139">
        <v>5</v>
      </c>
      <c r="B22" s="2680"/>
      <c r="C22" s="2680"/>
      <c r="D22" s="2680"/>
      <c r="E22" s="2680"/>
      <c r="F22" s="2680"/>
      <c r="G22" s="1674">
        <f t="shared" si="0"/>
        <v>0</v>
      </c>
      <c r="H22" s="3021"/>
      <c r="I22" s="1674">
        <f t="shared" si="1"/>
        <v>0</v>
      </c>
      <c r="J22" s="1674">
        <f t="shared" si="2"/>
        <v>0</v>
      </c>
      <c r="K22" s="3021"/>
      <c r="L22" s="3021"/>
      <c r="M22" s="1673">
        <f t="shared" si="3"/>
        <v>0</v>
      </c>
      <c r="O22" s="65"/>
      <c r="P22" s="8" t="s">
        <v>1842</v>
      </c>
      <c r="Q22" s="1"/>
    </row>
    <row r="23" spans="1:17" s="8" customFormat="1">
      <c r="A23" s="139">
        <v>6</v>
      </c>
      <c r="B23" s="2680"/>
      <c r="C23" s="2680"/>
      <c r="D23" s="2680"/>
      <c r="E23" s="2680"/>
      <c r="F23" s="2680"/>
      <c r="G23" s="1674">
        <f t="shared" si="0"/>
        <v>0</v>
      </c>
      <c r="H23" s="3021"/>
      <c r="I23" s="1674">
        <f t="shared" si="1"/>
        <v>0</v>
      </c>
      <c r="J23" s="1674">
        <f t="shared" si="2"/>
        <v>0</v>
      </c>
      <c r="K23" s="3021"/>
      <c r="L23" s="3021"/>
      <c r="M23" s="1673">
        <f t="shared" si="3"/>
        <v>0</v>
      </c>
      <c r="O23" s="65"/>
      <c r="P23" s="8" t="s">
        <v>1842</v>
      </c>
      <c r="Q23" s="1"/>
    </row>
    <row r="24" spans="1:17" s="8" customFormat="1">
      <c r="A24" s="139">
        <v>7</v>
      </c>
      <c r="B24" s="2680"/>
      <c r="C24" s="2680"/>
      <c r="D24" s="2680"/>
      <c r="E24" s="2680"/>
      <c r="F24" s="2680"/>
      <c r="G24" s="1674">
        <f t="shared" si="0"/>
        <v>0</v>
      </c>
      <c r="H24" s="3021"/>
      <c r="I24" s="1674">
        <f t="shared" si="1"/>
        <v>0</v>
      </c>
      <c r="J24" s="1674">
        <f t="shared" si="2"/>
        <v>0</v>
      </c>
      <c r="K24" s="3021"/>
      <c r="L24" s="3021"/>
      <c r="M24" s="1673">
        <f t="shared" si="3"/>
        <v>0</v>
      </c>
      <c r="O24" s="65"/>
      <c r="P24" s="8" t="s">
        <v>1842</v>
      </c>
      <c r="Q24" s="1"/>
    </row>
    <row r="25" spans="1:17" s="8" customFormat="1">
      <c r="A25" s="139">
        <v>8</v>
      </c>
      <c r="B25" s="2680"/>
      <c r="C25" s="2680"/>
      <c r="D25" s="2680"/>
      <c r="E25" s="2680"/>
      <c r="F25" s="2680"/>
      <c r="G25" s="1674">
        <f t="shared" si="0"/>
        <v>0</v>
      </c>
      <c r="H25" s="3021"/>
      <c r="I25" s="1674">
        <f t="shared" si="1"/>
        <v>0</v>
      </c>
      <c r="J25" s="1674">
        <f t="shared" si="2"/>
        <v>0</v>
      </c>
      <c r="K25" s="3021"/>
      <c r="L25" s="3021"/>
      <c r="M25" s="1673">
        <f t="shared" si="3"/>
        <v>0</v>
      </c>
      <c r="O25" s="65"/>
      <c r="P25" s="8" t="s">
        <v>1842</v>
      </c>
      <c r="Q25" s="1"/>
    </row>
    <row r="26" spans="1:17" s="8" customFormat="1">
      <c r="A26" s="139">
        <v>9</v>
      </c>
      <c r="B26" s="2680"/>
      <c r="C26" s="2680"/>
      <c r="D26" s="2680"/>
      <c r="E26" s="2680"/>
      <c r="F26" s="2680"/>
      <c r="G26" s="1674">
        <f t="shared" si="0"/>
        <v>0</v>
      </c>
      <c r="H26" s="3021"/>
      <c r="I26" s="1674">
        <f t="shared" si="1"/>
        <v>0</v>
      </c>
      <c r="J26" s="1674">
        <f t="shared" si="2"/>
        <v>0</v>
      </c>
      <c r="K26" s="3021"/>
      <c r="L26" s="3021"/>
      <c r="M26" s="1673">
        <f t="shared" si="3"/>
        <v>0</v>
      </c>
      <c r="O26" s="65"/>
      <c r="P26" s="8" t="s">
        <v>1842</v>
      </c>
      <c r="Q26" s="1"/>
    </row>
    <row r="27" spans="1:17" s="8" customFormat="1">
      <c r="A27" s="139">
        <v>10</v>
      </c>
      <c r="B27" s="2680"/>
      <c r="C27" s="2680"/>
      <c r="D27" s="2680"/>
      <c r="E27" s="2680"/>
      <c r="F27" s="2680"/>
      <c r="G27" s="1674">
        <f t="shared" si="0"/>
        <v>0</v>
      </c>
      <c r="H27" s="3021"/>
      <c r="I27" s="1674">
        <f t="shared" ref="I27" si="4">G27-H27</f>
        <v>0</v>
      </c>
      <c r="J27" s="1674">
        <f t="shared" si="2"/>
        <v>0</v>
      </c>
      <c r="K27" s="3021"/>
      <c r="L27" s="3021"/>
      <c r="M27" s="1673">
        <f t="shared" si="3"/>
        <v>0</v>
      </c>
      <c r="O27" s="65"/>
      <c r="P27" s="8" t="s">
        <v>1842</v>
      </c>
      <c r="Q27" s="1"/>
    </row>
    <row r="28" spans="1:17" s="8" customFormat="1">
      <c r="A28" s="139">
        <v>11</v>
      </c>
      <c r="B28" s="2680"/>
      <c r="C28" s="2680"/>
      <c r="D28" s="2680"/>
      <c r="E28" s="2680"/>
      <c r="F28" s="2680"/>
      <c r="G28" s="1674">
        <f t="shared" ref="G28:G47" si="5">SUM(C28:D28)-F28</f>
        <v>0</v>
      </c>
      <c r="H28" s="3021"/>
      <c r="I28" s="1674">
        <f t="shared" ref="I28:I47" si="6">G28-H28</f>
        <v>0</v>
      </c>
      <c r="J28" s="1674">
        <f t="shared" ref="J28:J47" si="7">sgc*C28</f>
        <v>0</v>
      </c>
      <c r="K28" s="3021"/>
      <c r="L28" s="3021"/>
      <c r="M28" s="1673">
        <f t="shared" ref="M28:M47" si="8">SUM(J28:K28)-L28</f>
        <v>0</v>
      </c>
      <c r="O28" s="65"/>
      <c r="P28" s="8" t="s">
        <v>1842</v>
      </c>
      <c r="Q28" s="1"/>
    </row>
    <row r="29" spans="1:17" s="8" customFormat="1">
      <c r="A29" s="139">
        <v>12</v>
      </c>
      <c r="B29" s="2680"/>
      <c r="C29" s="2680"/>
      <c r="D29" s="2680"/>
      <c r="E29" s="2680"/>
      <c r="F29" s="2680"/>
      <c r="G29" s="1674">
        <f t="shared" si="5"/>
        <v>0</v>
      </c>
      <c r="H29" s="3021"/>
      <c r="I29" s="1674">
        <f t="shared" si="6"/>
        <v>0</v>
      </c>
      <c r="J29" s="1674">
        <f t="shared" si="7"/>
        <v>0</v>
      </c>
      <c r="K29" s="3021"/>
      <c r="L29" s="3021"/>
      <c r="M29" s="1673">
        <f t="shared" si="8"/>
        <v>0</v>
      </c>
      <c r="O29" s="65"/>
      <c r="P29" s="8" t="s">
        <v>1842</v>
      </c>
      <c r="Q29" s="1"/>
    </row>
    <row r="30" spans="1:17" s="8" customFormat="1">
      <c r="A30" s="139">
        <v>13</v>
      </c>
      <c r="B30" s="2680"/>
      <c r="C30" s="2680"/>
      <c r="D30" s="2680"/>
      <c r="E30" s="2680"/>
      <c r="F30" s="2680"/>
      <c r="G30" s="1674">
        <f t="shared" si="5"/>
        <v>0</v>
      </c>
      <c r="H30" s="3021"/>
      <c r="I30" s="1674">
        <f t="shared" si="6"/>
        <v>0</v>
      </c>
      <c r="J30" s="1674">
        <f t="shared" si="7"/>
        <v>0</v>
      </c>
      <c r="K30" s="3021"/>
      <c r="L30" s="3021"/>
      <c r="M30" s="1673">
        <f t="shared" si="8"/>
        <v>0</v>
      </c>
      <c r="O30" s="65"/>
      <c r="P30" s="8" t="s">
        <v>1842</v>
      </c>
      <c r="Q30" s="1"/>
    </row>
    <row r="31" spans="1:17" s="8" customFormat="1">
      <c r="A31" s="139">
        <v>14</v>
      </c>
      <c r="B31" s="2680"/>
      <c r="C31" s="2680"/>
      <c r="D31" s="2680"/>
      <c r="E31" s="2680"/>
      <c r="F31" s="2680"/>
      <c r="G31" s="1674">
        <f t="shared" si="5"/>
        <v>0</v>
      </c>
      <c r="H31" s="3021"/>
      <c r="I31" s="1674">
        <f t="shared" si="6"/>
        <v>0</v>
      </c>
      <c r="J31" s="1674">
        <f t="shared" si="7"/>
        <v>0</v>
      </c>
      <c r="K31" s="3021"/>
      <c r="L31" s="3021"/>
      <c r="M31" s="1673">
        <f t="shared" si="8"/>
        <v>0</v>
      </c>
      <c r="O31" s="65"/>
      <c r="P31" s="8" t="s">
        <v>1842</v>
      </c>
      <c r="Q31" s="1"/>
    </row>
    <row r="32" spans="1:17" s="8" customFormat="1">
      <c r="A32" s="139">
        <v>15</v>
      </c>
      <c r="B32" s="2680"/>
      <c r="C32" s="2680"/>
      <c r="D32" s="2680"/>
      <c r="E32" s="2680"/>
      <c r="F32" s="2680"/>
      <c r="G32" s="1674">
        <f t="shared" si="5"/>
        <v>0</v>
      </c>
      <c r="H32" s="3021"/>
      <c r="I32" s="1674">
        <f t="shared" si="6"/>
        <v>0</v>
      </c>
      <c r="J32" s="1674">
        <f t="shared" si="7"/>
        <v>0</v>
      </c>
      <c r="K32" s="3021"/>
      <c r="L32" s="3021"/>
      <c r="M32" s="1673">
        <f t="shared" si="8"/>
        <v>0</v>
      </c>
      <c r="O32" s="65"/>
      <c r="P32" s="8" t="s">
        <v>1842</v>
      </c>
      <c r="Q32" s="1"/>
    </row>
    <row r="33" spans="1:17" s="8" customFormat="1">
      <c r="A33" s="139">
        <v>16</v>
      </c>
      <c r="B33" s="2680"/>
      <c r="C33" s="2680"/>
      <c r="D33" s="2680"/>
      <c r="E33" s="2680"/>
      <c r="F33" s="2680"/>
      <c r="G33" s="1674">
        <f t="shared" si="5"/>
        <v>0</v>
      </c>
      <c r="H33" s="3021"/>
      <c r="I33" s="1674">
        <f t="shared" si="6"/>
        <v>0</v>
      </c>
      <c r="J33" s="1674">
        <f t="shared" si="7"/>
        <v>0</v>
      </c>
      <c r="K33" s="3021"/>
      <c r="L33" s="3021"/>
      <c r="M33" s="1673">
        <f t="shared" si="8"/>
        <v>0</v>
      </c>
      <c r="O33" s="65"/>
      <c r="P33" s="8" t="s">
        <v>1842</v>
      </c>
      <c r="Q33" s="1"/>
    </row>
    <row r="34" spans="1:17" s="8" customFormat="1">
      <c r="A34" s="139">
        <v>17</v>
      </c>
      <c r="B34" s="2680"/>
      <c r="C34" s="2680"/>
      <c r="D34" s="2680"/>
      <c r="E34" s="2680"/>
      <c r="F34" s="2680"/>
      <c r="G34" s="1674">
        <f t="shared" si="5"/>
        <v>0</v>
      </c>
      <c r="H34" s="3021"/>
      <c r="I34" s="1674">
        <f t="shared" si="6"/>
        <v>0</v>
      </c>
      <c r="J34" s="1674">
        <f t="shared" si="7"/>
        <v>0</v>
      </c>
      <c r="K34" s="3021"/>
      <c r="L34" s="3021"/>
      <c r="M34" s="1673">
        <f t="shared" si="8"/>
        <v>0</v>
      </c>
      <c r="O34" s="65"/>
      <c r="P34" s="8" t="s">
        <v>1842</v>
      </c>
      <c r="Q34" s="1"/>
    </row>
    <row r="35" spans="1:17" s="8" customFormat="1">
      <c r="A35" s="139">
        <v>18</v>
      </c>
      <c r="B35" s="2680"/>
      <c r="C35" s="2680"/>
      <c r="D35" s="2680"/>
      <c r="E35" s="2680"/>
      <c r="F35" s="2680"/>
      <c r="G35" s="1674">
        <f t="shared" si="5"/>
        <v>0</v>
      </c>
      <c r="H35" s="3021"/>
      <c r="I35" s="1674">
        <f t="shared" si="6"/>
        <v>0</v>
      </c>
      <c r="J35" s="1674">
        <f t="shared" si="7"/>
        <v>0</v>
      </c>
      <c r="K35" s="3021"/>
      <c r="L35" s="3021"/>
      <c r="M35" s="1673">
        <f t="shared" si="8"/>
        <v>0</v>
      </c>
      <c r="O35" s="65"/>
      <c r="P35" s="8" t="s">
        <v>1842</v>
      </c>
      <c r="Q35" s="1"/>
    </row>
    <row r="36" spans="1:17" s="8" customFormat="1">
      <c r="A36" s="139">
        <v>19</v>
      </c>
      <c r="B36" s="2680"/>
      <c r="C36" s="2680"/>
      <c r="D36" s="2680"/>
      <c r="E36" s="2680"/>
      <c r="F36" s="2680"/>
      <c r="G36" s="1674">
        <f t="shared" si="5"/>
        <v>0</v>
      </c>
      <c r="H36" s="3021"/>
      <c r="I36" s="1674">
        <f t="shared" si="6"/>
        <v>0</v>
      </c>
      <c r="J36" s="1674">
        <f t="shared" si="7"/>
        <v>0</v>
      </c>
      <c r="K36" s="3021"/>
      <c r="L36" s="3021"/>
      <c r="M36" s="1673">
        <f t="shared" si="8"/>
        <v>0</v>
      </c>
      <c r="O36" s="65"/>
      <c r="P36" s="8" t="s">
        <v>1842</v>
      </c>
      <c r="Q36" s="1"/>
    </row>
    <row r="37" spans="1:17" s="8" customFormat="1">
      <c r="A37" s="139">
        <v>20</v>
      </c>
      <c r="B37" s="2680"/>
      <c r="C37" s="2680"/>
      <c r="D37" s="2680"/>
      <c r="E37" s="2680"/>
      <c r="F37" s="2680"/>
      <c r="G37" s="1674">
        <f t="shared" si="5"/>
        <v>0</v>
      </c>
      <c r="H37" s="3021"/>
      <c r="I37" s="1674">
        <f t="shared" si="6"/>
        <v>0</v>
      </c>
      <c r="J37" s="1674">
        <f t="shared" si="7"/>
        <v>0</v>
      </c>
      <c r="K37" s="3021"/>
      <c r="L37" s="3021"/>
      <c r="M37" s="1673">
        <f t="shared" si="8"/>
        <v>0</v>
      </c>
      <c r="O37" s="65"/>
      <c r="P37" s="8" t="s">
        <v>1842</v>
      </c>
      <c r="Q37" s="1"/>
    </row>
    <row r="38" spans="1:17" s="8" customFormat="1" hidden="1">
      <c r="A38" s="139">
        <v>21</v>
      </c>
      <c r="B38" s="2680"/>
      <c r="C38" s="2680"/>
      <c r="D38" s="2680"/>
      <c r="E38" s="2680"/>
      <c r="F38" s="2680"/>
      <c r="G38" s="1674">
        <f t="shared" si="5"/>
        <v>0</v>
      </c>
      <c r="H38" s="3021"/>
      <c r="I38" s="1674">
        <f t="shared" si="6"/>
        <v>0</v>
      </c>
      <c r="J38" s="1674">
        <f t="shared" si="7"/>
        <v>0</v>
      </c>
      <c r="K38" s="3021"/>
      <c r="L38" s="3021"/>
      <c r="M38" s="1673">
        <f t="shared" si="8"/>
        <v>0</v>
      </c>
      <c r="O38" s="65"/>
      <c r="P38" s="8" t="s">
        <v>1842</v>
      </c>
      <c r="Q38" s="1"/>
    </row>
    <row r="39" spans="1:17" s="8" customFormat="1" hidden="1">
      <c r="A39" s="139">
        <v>22</v>
      </c>
      <c r="B39" s="2680"/>
      <c r="C39" s="2680"/>
      <c r="D39" s="2680"/>
      <c r="E39" s="2680"/>
      <c r="F39" s="2680"/>
      <c r="G39" s="1674">
        <f t="shared" si="5"/>
        <v>0</v>
      </c>
      <c r="H39" s="3021"/>
      <c r="I39" s="1674">
        <f t="shared" si="6"/>
        <v>0</v>
      </c>
      <c r="J39" s="1674">
        <f t="shared" si="7"/>
        <v>0</v>
      </c>
      <c r="K39" s="3021"/>
      <c r="L39" s="3021"/>
      <c r="M39" s="1673">
        <f t="shared" si="8"/>
        <v>0</v>
      </c>
      <c r="O39" s="65"/>
      <c r="P39" s="8" t="s">
        <v>1842</v>
      </c>
      <c r="Q39" s="1"/>
    </row>
    <row r="40" spans="1:17" s="8" customFormat="1" hidden="1">
      <c r="A40" s="139">
        <v>23</v>
      </c>
      <c r="B40" s="2680"/>
      <c r="C40" s="2680"/>
      <c r="D40" s="2680"/>
      <c r="E40" s="2680"/>
      <c r="F40" s="2680"/>
      <c r="G40" s="1674">
        <f t="shared" si="5"/>
        <v>0</v>
      </c>
      <c r="H40" s="3021"/>
      <c r="I40" s="1674">
        <f t="shared" si="6"/>
        <v>0</v>
      </c>
      <c r="J40" s="1674">
        <f t="shared" si="7"/>
        <v>0</v>
      </c>
      <c r="K40" s="3021"/>
      <c r="L40" s="3021"/>
      <c r="M40" s="1673">
        <f t="shared" si="8"/>
        <v>0</v>
      </c>
      <c r="O40" s="65"/>
      <c r="P40" s="8" t="s">
        <v>1842</v>
      </c>
      <c r="Q40" s="1"/>
    </row>
    <row r="41" spans="1:17" s="8" customFormat="1" hidden="1">
      <c r="A41" s="139">
        <v>24</v>
      </c>
      <c r="B41" s="2680"/>
      <c r="C41" s="2680"/>
      <c r="D41" s="2680"/>
      <c r="E41" s="2680"/>
      <c r="F41" s="2680"/>
      <c r="G41" s="1674">
        <f t="shared" si="5"/>
        <v>0</v>
      </c>
      <c r="H41" s="3021"/>
      <c r="I41" s="1674">
        <f t="shared" si="6"/>
        <v>0</v>
      </c>
      <c r="J41" s="1674">
        <f t="shared" si="7"/>
        <v>0</v>
      </c>
      <c r="K41" s="3021"/>
      <c r="L41" s="3021"/>
      <c r="M41" s="1673">
        <f t="shared" si="8"/>
        <v>0</v>
      </c>
      <c r="O41" s="65"/>
      <c r="P41" s="8" t="s">
        <v>1842</v>
      </c>
      <c r="Q41" s="1"/>
    </row>
    <row r="42" spans="1:17" s="8" customFormat="1" hidden="1">
      <c r="A42" s="139">
        <v>25</v>
      </c>
      <c r="B42" s="2680"/>
      <c r="C42" s="2680"/>
      <c r="D42" s="2680"/>
      <c r="E42" s="2680"/>
      <c r="F42" s="2680"/>
      <c r="G42" s="1674">
        <f t="shared" si="5"/>
        <v>0</v>
      </c>
      <c r="H42" s="3021"/>
      <c r="I42" s="1674">
        <f t="shared" si="6"/>
        <v>0</v>
      </c>
      <c r="J42" s="1674">
        <f t="shared" si="7"/>
        <v>0</v>
      </c>
      <c r="K42" s="3021"/>
      <c r="L42" s="3021"/>
      <c r="M42" s="1673">
        <f t="shared" si="8"/>
        <v>0</v>
      </c>
      <c r="O42" s="65"/>
      <c r="P42" s="8" t="s">
        <v>1842</v>
      </c>
      <c r="Q42" s="1"/>
    </row>
    <row r="43" spans="1:17" s="8" customFormat="1" hidden="1">
      <c r="A43" s="139">
        <v>26</v>
      </c>
      <c r="B43" s="2680"/>
      <c r="C43" s="2680"/>
      <c r="D43" s="2680"/>
      <c r="E43" s="2680"/>
      <c r="F43" s="2680"/>
      <c r="G43" s="1674">
        <f t="shared" si="5"/>
        <v>0</v>
      </c>
      <c r="H43" s="3021"/>
      <c r="I43" s="1674">
        <f t="shared" si="6"/>
        <v>0</v>
      </c>
      <c r="J43" s="1674">
        <f t="shared" si="7"/>
        <v>0</v>
      </c>
      <c r="K43" s="3021"/>
      <c r="L43" s="3021"/>
      <c r="M43" s="1673">
        <f t="shared" si="8"/>
        <v>0</v>
      </c>
      <c r="O43" s="65"/>
      <c r="P43" s="8" t="s">
        <v>1842</v>
      </c>
      <c r="Q43" s="1"/>
    </row>
    <row r="44" spans="1:17" s="8" customFormat="1" hidden="1">
      <c r="A44" s="139">
        <v>27</v>
      </c>
      <c r="B44" s="2680"/>
      <c r="C44" s="2680"/>
      <c r="D44" s="2680"/>
      <c r="E44" s="2680"/>
      <c r="F44" s="2680"/>
      <c r="G44" s="1674">
        <f t="shared" si="5"/>
        <v>0</v>
      </c>
      <c r="H44" s="3021"/>
      <c r="I44" s="1674">
        <f t="shared" si="6"/>
        <v>0</v>
      </c>
      <c r="J44" s="1674">
        <f t="shared" si="7"/>
        <v>0</v>
      </c>
      <c r="K44" s="3021"/>
      <c r="L44" s="3021"/>
      <c r="M44" s="1673">
        <f t="shared" si="8"/>
        <v>0</v>
      </c>
      <c r="O44" s="65"/>
      <c r="P44" s="8" t="s">
        <v>1842</v>
      </c>
      <c r="Q44" s="1"/>
    </row>
    <row r="45" spans="1:17" s="8" customFormat="1" hidden="1">
      <c r="A45" s="139">
        <v>28</v>
      </c>
      <c r="B45" s="2680"/>
      <c r="C45" s="2680"/>
      <c r="D45" s="2680"/>
      <c r="E45" s="2680"/>
      <c r="F45" s="2680"/>
      <c r="G45" s="1674">
        <f t="shared" si="5"/>
        <v>0</v>
      </c>
      <c r="H45" s="3021"/>
      <c r="I45" s="1674">
        <f t="shared" si="6"/>
        <v>0</v>
      </c>
      <c r="J45" s="1674">
        <f t="shared" si="7"/>
        <v>0</v>
      </c>
      <c r="K45" s="3021"/>
      <c r="L45" s="3021"/>
      <c r="M45" s="1673">
        <f t="shared" si="8"/>
        <v>0</v>
      </c>
      <c r="O45" s="65"/>
      <c r="P45" s="8" t="s">
        <v>1842</v>
      </c>
      <c r="Q45" s="1"/>
    </row>
    <row r="46" spans="1:17" s="8" customFormat="1" hidden="1">
      <c r="A46" s="139">
        <v>29</v>
      </c>
      <c r="B46" s="2680"/>
      <c r="C46" s="2680"/>
      <c r="D46" s="2680"/>
      <c r="E46" s="2680"/>
      <c r="F46" s="2680"/>
      <c r="G46" s="1674">
        <f t="shared" si="5"/>
        <v>0</v>
      </c>
      <c r="H46" s="3021"/>
      <c r="I46" s="1674">
        <f t="shared" si="6"/>
        <v>0</v>
      </c>
      <c r="J46" s="1674">
        <f t="shared" si="7"/>
        <v>0</v>
      </c>
      <c r="K46" s="3021"/>
      <c r="L46" s="3021"/>
      <c r="M46" s="1673">
        <f t="shared" si="8"/>
        <v>0</v>
      </c>
      <c r="O46" s="65"/>
      <c r="P46" s="8" t="s">
        <v>1842</v>
      </c>
      <c r="Q46" s="1"/>
    </row>
    <row r="47" spans="1:17" s="8" customFormat="1" hidden="1">
      <c r="A47" s="139">
        <v>30</v>
      </c>
      <c r="B47" s="2680"/>
      <c r="C47" s="2680"/>
      <c r="D47" s="2680"/>
      <c r="E47" s="2680"/>
      <c r="F47" s="2680"/>
      <c r="G47" s="1674">
        <f t="shared" si="5"/>
        <v>0</v>
      </c>
      <c r="H47" s="3021"/>
      <c r="I47" s="1674">
        <f t="shared" si="6"/>
        <v>0</v>
      </c>
      <c r="J47" s="1674">
        <f t="shared" si="7"/>
        <v>0</v>
      </c>
      <c r="K47" s="3021"/>
      <c r="L47" s="3021"/>
      <c r="M47" s="1673">
        <f t="shared" si="8"/>
        <v>0</v>
      </c>
      <c r="O47" s="65"/>
      <c r="P47" s="8" t="s">
        <v>1842</v>
      </c>
      <c r="Q47" s="1"/>
    </row>
    <row r="48" spans="1:17" s="8" customFormat="1">
      <c r="A48" s="139"/>
      <c r="B48" s="140"/>
      <c r="C48" s="352"/>
      <c r="D48" s="352"/>
      <c r="E48" s="352"/>
      <c r="F48" s="352"/>
      <c r="G48" s="400"/>
      <c r="H48" s="401"/>
      <c r="I48" s="401"/>
      <c r="J48" s="401"/>
      <c r="K48" s="401"/>
      <c r="L48" s="401"/>
      <c r="M48" s="355"/>
      <c r="O48" s="65"/>
      <c r="Q48" s="1"/>
    </row>
    <row r="49" spans="1:17" s="8" customFormat="1">
      <c r="A49" s="139"/>
      <c r="B49" s="219" t="s">
        <v>1096</v>
      </c>
      <c r="C49" s="402">
        <f>SUM(C18:C47)</f>
        <v>0</v>
      </c>
      <c r="D49" s="402">
        <f t="shared" ref="D49:M49" si="9">SUM(D18:D47)</f>
        <v>0</v>
      </c>
      <c r="E49" s="402">
        <f t="shared" si="9"/>
        <v>0</v>
      </c>
      <c r="F49" s="402">
        <f t="shared" si="9"/>
        <v>0</v>
      </c>
      <c r="G49" s="402">
        <f t="shared" si="9"/>
        <v>0</v>
      </c>
      <c r="H49" s="402">
        <f t="shared" si="9"/>
        <v>0</v>
      </c>
      <c r="I49" s="402">
        <f t="shared" si="9"/>
        <v>0</v>
      </c>
      <c r="J49" s="402">
        <f t="shared" si="9"/>
        <v>0</v>
      </c>
      <c r="K49" s="402">
        <f t="shared" si="9"/>
        <v>0</v>
      </c>
      <c r="L49" s="402">
        <f t="shared" si="9"/>
        <v>0</v>
      </c>
      <c r="M49" s="402">
        <f t="shared" si="9"/>
        <v>0</v>
      </c>
      <c r="O49" s="65"/>
      <c r="Q49" s="1"/>
    </row>
    <row r="50" spans="1:17" s="8" customFormat="1" ht="6.75" customHeight="1">
      <c r="A50" s="139"/>
      <c r="B50" s="140"/>
      <c r="C50" s="158"/>
      <c r="D50" s="158"/>
      <c r="E50" s="158"/>
      <c r="F50" s="158"/>
      <c r="G50" s="224"/>
      <c r="H50" s="142"/>
      <c r="I50" s="142"/>
      <c r="J50" s="156"/>
      <c r="K50" s="156"/>
      <c r="L50" s="156"/>
      <c r="M50" s="225"/>
      <c r="O50" s="65"/>
      <c r="Q50" s="1"/>
    </row>
    <row r="51" spans="1:17" s="8" customFormat="1">
      <c r="A51" s="139"/>
      <c r="B51" s="1481" t="s">
        <v>1738</v>
      </c>
      <c r="C51" s="158"/>
      <c r="D51" s="158"/>
      <c r="E51" s="158"/>
      <c r="F51" s="158"/>
      <c r="G51" s="224"/>
      <c r="H51" s="156"/>
      <c r="I51" s="156"/>
      <c r="J51" s="156"/>
      <c r="K51" s="156"/>
      <c r="L51" s="938" t="s">
        <v>382</v>
      </c>
      <c r="M51" s="225">
        <f>SUMIF(P18:P48,"Y",C18:C48)+SUMIF(P18:P48,"Y",D18:D48)+SUMIF(P18:P48,"Y",L18:L48)</f>
        <v>0</v>
      </c>
      <c r="O51" s="65"/>
      <c r="Q51" s="1"/>
    </row>
    <row r="52" spans="1:17" s="8" customFormat="1">
      <c r="A52" s="139"/>
      <c r="B52" s="1481" t="s">
        <v>1739</v>
      </c>
      <c r="C52" s="158"/>
      <c r="D52" s="158"/>
      <c r="E52" s="158"/>
      <c r="F52" s="158"/>
      <c r="G52" s="224"/>
      <c r="H52" s="1482"/>
      <c r="I52" s="156"/>
      <c r="J52" s="156"/>
      <c r="K52" s="156"/>
      <c r="L52" s="156"/>
      <c r="M52" s="225"/>
      <c r="O52" s="65"/>
      <c r="Q52" s="1"/>
    </row>
    <row r="53" spans="1:17" s="8" customFormat="1" ht="6.75" customHeight="1">
      <c r="A53" s="139"/>
      <c r="B53" s="140"/>
      <c r="C53" s="158"/>
      <c r="D53" s="158"/>
      <c r="E53" s="158"/>
      <c r="F53" s="158"/>
      <c r="G53" s="224"/>
      <c r="H53" s="142"/>
      <c r="I53" s="142"/>
      <c r="J53" s="156"/>
      <c r="K53" s="156"/>
      <c r="L53" s="156"/>
      <c r="M53" s="225"/>
      <c r="O53" s="65"/>
      <c r="Q53" s="1"/>
    </row>
    <row r="54" spans="1:17" s="8" customFormat="1">
      <c r="A54" s="139"/>
      <c r="B54" s="140"/>
      <c r="C54" s="158"/>
      <c r="D54" s="158"/>
      <c r="E54" s="158"/>
      <c r="F54" s="158"/>
      <c r="G54" s="224"/>
      <c r="H54" s="142" t="s">
        <v>976</v>
      </c>
      <c r="I54" s="142" t="s">
        <v>976</v>
      </c>
      <c r="J54" s="156"/>
      <c r="K54" s="156"/>
      <c r="L54" s="156"/>
      <c r="M54" s="225"/>
      <c r="O54" s="65"/>
      <c r="Q54" s="1"/>
    </row>
    <row r="55" spans="1:17" s="8" customFormat="1">
      <c r="A55" s="139"/>
      <c r="B55" s="139" t="s">
        <v>1142</v>
      </c>
      <c r="C55" s="140"/>
      <c r="D55" s="140"/>
      <c r="E55" s="140"/>
      <c r="F55" s="140"/>
      <c r="G55" s="141"/>
      <c r="H55" s="352"/>
      <c r="I55" s="2052"/>
      <c r="J55" s="157"/>
      <c r="K55" s="157"/>
      <c r="L55" s="142"/>
      <c r="O55" s="65"/>
      <c r="Q55" s="1"/>
    </row>
    <row r="56" spans="1:17" s="8" customFormat="1" ht="5.0999999999999996" customHeight="1">
      <c r="A56" s="139"/>
      <c r="B56" s="139"/>
      <c r="C56" s="140"/>
      <c r="D56" s="140"/>
      <c r="E56" s="140"/>
      <c r="F56" s="140"/>
      <c r="G56" s="141"/>
      <c r="H56" s="401"/>
      <c r="I56" s="401"/>
      <c r="J56" s="156"/>
      <c r="K56" s="156"/>
      <c r="L56" s="142"/>
      <c r="M56" s="68"/>
      <c r="N56" s="72"/>
      <c r="O56" s="65"/>
      <c r="Q56" s="1"/>
    </row>
    <row r="57" spans="1:17" s="8" customFormat="1">
      <c r="A57" s="139"/>
      <c r="B57" s="143" t="s">
        <v>1244</v>
      </c>
      <c r="C57" s="140"/>
      <c r="D57" s="140"/>
      <c r="E57" s="140"/>
      <c r="F57" s="140" t="s">
        <v>84</v>
      </c>
      <c r="G57" s="141" t="s">
        <v>85</v>
      </c>
      <c r="H57" s="400" t="s">
        <v>86</v>
      </c>
      <c r="I57" s="401"/>
      <c r="J57" s="156"/>
      <c r="K57" s="156"/>
      <c r="L57" s="142"/>
      <c r="M57" s="68"/>
      <c r="N57" s="72"/>
      <c r="O57" s="65"/>
      <c r="Q57" s="1"/>
    </row>
    <row r="58" spans="1:17" s="8" customFormat="1" ht="5.0999999999999996" customHeight="1">
      <c r="A58" s="139"/>
      <c r="B58" s="139"/>
      <c r="C58" s="140"/>
      <c r="D58" s="140"/>
      <c r="E58" s="140"/>
      <c r="F58" s="140"/>
      <c r="G58" s="141"/>
      <c r="H58" s="401"/>
      <c r="I58" s="401"/>
      <c r="J58" s="156"/>
      <c r="K58" s="156"/>
      <c r="L58" s="142"/>
      <c r="M58" s="68"/>
      <c r="N58" s="72"/>
      <c r="O58" s="65"/>
      <c r="Q58" s="1"/>
    </row>
    <row r="59" spans="1:17" s="8" customFormat="1">
      <c r="A59" s="139"/>
      <c r="B59" s="139" t="s">
        <v>87</v>
      </c>
      <c r="C59" s="140"/>
      <c r="D59" s="140"/>
      <c r="E59" s="140"/>
      <c r="F59" s="2052"/>
      <c r="G59" s="2052"/>
      <c r="H59" s="2052"/>
      <c r="I59" s="401"/>
      <c r="J59" s="156"/>
      <c r="K59" s="156"/>
      <c r="L59" s="142"/>
      <c r="M59" s="68"/>
      <c r="N59" s="72"/>
      <c r="O59" s="65"/>
      <c r="Q59" s="1"/>
    </row>
    <row r="60" spans="1:17" s="8" customFormat="1" ht="5.0999999999999996" customHeight="1">
      <c r="A60" s="139"/>
      <c r="B60" s="139"/>
      <c r="C60" s="140"/>
      <c r="D60" s="140"/>
      <c r="E60" s="140"/>
      <c r="F60" s="401"/>
      <c r="G60" s="401"/>
      <c r="H60" s="401"/>
      <c r="I60" s="401"/>
      <c r="J60" s="156"/>
      <c r="K60" s="156"/>
      <c r="L60" s="142"/>
      <c r="M60" s="68"/>
      <c r="N60" s="72"/>
      <c r="O60" s="65"/>
      <c r="Q60" s="1"/>
    </row>
    <row r="61" spans="1:17" s="8" customFormat="1">
      <c r="A61" s="139"/>
      <c r="B61" s="139" t="s">
        <v>88</v>
      </c>
      <c r="C61" s="140"/>
      <c r="D61" s="140"/>
      <c r="E61" s="140"/>
      <c r="F61" s="2052"/>
      <c r="G61" s="2052"/>
      <c r="H61" s="2052"/>
      <c r="J61" s="157"/>
      <c r="K61" s="157"/>
      <c r="L61" s="140"/>
      <c r="M61" s="68"/>
      <c r="N61" s="72"/>
      <c r="O61" s="65"/>
      <c r="Q61" s="1"/>
    </row>
    <row r="62" spans="1:17" s="8" customFormat="1" ht="5.0999999999999996" customHeight="1">
      <c r="A62" s="139"/>
      <c r="B62" s="139"/>
      <c r="C62" s="140"/>
      <c r="D62" s="140"/>
      <c r="E62" s="140"/>
      <c r="F62" s="140"/>
      <c r="G62" s="141"/>
      <c r="H62" s="401"/>
      <c r="I62" s="144"/>
      <c r="J62" s="157"/>
      <c r="K62" s="157"/>
      <c r="L62" s="142"/>
      <c r="M62" s="68"/>
      <c r="N62" s="72"/>
      <c r="O62" s="65"/>
      <c r="Q62" s="1"/>
    </row>
    <row r="63" spans="1:17" s="8" customFormat="1">
      <c r="A63" s="139"/>
      <c r="B63" s="139"/>
      <c r="C63" s="140"/>
      <c r="D63" s="140"/>
      <c r="E63" s="140"/>
      <c r="F63" s="141">
        <f>F61-F59</f>
        <v>0</v>
      </c>
      <c r="G63" s="141">
        <f>G61-G59</f>
        <v>0</v>
      </c>
      <c r="H63" s="141">
        <f>H61-H59</f>
        <v>0</v>
      </c>
      <c r="I63" s="144">
        <f>SUM(F63:H63)</f>
        <v>0</v>
      </c>
      <c r="J63" s="157"/>
      <c r="K63" s="157"/>
      <c r="L63" s="142"/>
      <c r="M63" s="68"/>
      <c r="N63" s="72"/>
      <c r="O63" s="65"/>
      <c r="Q63" s="1"/>
    </row>
    <row r="64" spans="1:17" s="8" customFormat="1">
      <c r="A64" s="140" t="s">
        <v>1245</v>
      </c>
      <c r="B64" s="139" t="s">
        <v>1246</v>
      </c>
      <c r="C64" s="140"/>
      <c r="D64" s="140"/>
      <c r="E64" s="140"/>
      <c r="F64" s="140"/>
      <c r="G64" s="141"/>
      <c r="H64" s="352"/>
      <c r="I64" s="403">
        <f>SUM(I55:I62,-I63)</f>
        <v>0</v>
      </c>
      <c r="J64" s="157"/>
      <c r="K64" s="157"/>
      <c r="L64" s="140"/>
      <c r="O64" s="65"/>
      <c r="Q64" s="1"/>
    </row>
    <row r="65" spans="1:17" s="8" customFormat="1" ht="5.0999999999999996" customHeight="1">
      <c r="A65" s="140"/>
      <c r="B65" s="139"/>
      <c r="C65" s="140"/>
      <c r="D65" s="140"/>
      <c r="E65" s="140"/>
      <c r="F65" s="140"/>
      <c r="G65" s="141"/>
      <c r="H65" s="352"/>
      <c r="I65" s="352"/>
      <c r="J65" s="158"/>
      <c r="K65" s="158"/>
      <c r="L65" s="140"/>
      <c r="O65" s="65"/>
      <c r="Q65" s="1"/>
    </row>
    <row r="66" spans="1:17" s="8" customFormat="1">
      <c r="A66" s="140" t="s">
        <v>1247</v>
      </c>
      <c r="B66" s="139" t="s">
        <v>1248</v>
      </c>
      <c r="C66" s="140"/>
      <c r="D66" s="140"/>
      <c r="E66" s="140"/>
      <c r="F66" s="140"/>
      <c r="G66" s="141"/>
      <c r="H66" s="352"/>
      <c r="I66" s="144">
        <f>+'GST Rec'!L34</f>
        <v>0</v>
      </c>
      <c r="J66" s="157"/>
      <c r="K66" s="157"/>
      <c r="L66" s="144"/>
      <c r="O66" s="65"/>
      <c r="Q66" s="1"/>
    </row>
    <row r="67" spans="1:17" s="8" customFormat="1" ht="5.0999999999999996" customHeight="1">
      <c r="A67" s="140"/>
      <c r="B67" s="139"/>
      <c r="C67" s="140"/>
      <c r="D67" s="140"/>
      <c r="E67" s="140"/>
      <c r="F67" s="140"/>
      <c r="G67" s="141"/>
      <c r="H67" s="352"/>
      <c r="I67" s="352"/>
      <c r="J67" s="158"/>
      <c r="K67" s="158"/>
      <c r="L67" s="140"/>
      <c r="O67" s="65"/>
      <c r="Q67" s="1"/>
    </row>
    <row r="68" spans="1:17" s="8" customFormat="1">
      <c r="A68" s="140" t="s">
        <v>1249</v>
      </c>
      <c r="B68" s="139" t="s">
        <v>1146</v>
      </c>
      <c r="C68" s="140"/>
      <c r="D68" s="140"/>
      <c r="E68" s="140"/>
      <c r="F68" s="140"/>
      <c r="G68" s="141"/>
      <c r="H68" s="352"/>
      <c r="I68" s="2052"/>
      <c r="J68" s="157"/>
      <c r="K68" s="157"/>
      <c r="L68" s="144"/>
      <c r="O68" s="65"/>
      <c r="Q68" s="1"/>
    </row>
    <row r="69" spans="1:17" s="8" customFormat="1" ht="5.0999999999999996" customHeight="1">
      <c r="A69" s="140"/>
      <c r="B69" s="139"/>
      <c r="C69" s="140"/>
      <c r="D69" s="140"/>
      <c r="E69" s="140"/>
      <c r="F69" s="140"/>
      <c r="G69" s="141"/>
      <c r="H69" s="352"/>
      <c r="I69" s="144"/>
      <c r="J69" s="157"/>
      <c r="K69" s="157"/>
      <c r="L69" s="144"/>
      <c r="O69" s="65"/>
      <c r="Q69" s="1"/>
    </row>
    <row r="70" spans="1:17" s="8" customFormat="1">
      <c r="A70" s="140" t="s">
        <v>1341</v>
      </c>
      <c r="B70" s="139" t="s">
        <v>1347</v>
      </c>
      <c r="C70" s="140"/>
      <c r="D70" s="140"/>
      <c r="E70" s="140"/>
      <c r="F70" s="140"/>
      <c r="G70" s="141"/>
      <c r="H70" s="352"/>
      <c r="I70" s="144">
        <f>SUM(C49:D49)</f>
        <v>0</v>
      </c>
      <c r="J70" s="157"/>
      <c r="K70" s="157"/>
      <c r="L70" s="144"/>
      <c r="O70" s="65"/>
      <c r="Q70" s="1"/>
    </row>
    <row r="71" spans="1:17" s="8" customFormat="1" ht="5.0999999999999996" customHeight="1">
      <c r="A71" s="140"/>
      <c r="B71" s="139"/>
      <c r="C71" s="140"/>
      <c r="D71" s="140"/>
      <c r="E71" s="140"/>
      <c r="F71" s="140"/>
      <c r="G71" s="141"/>
      <c r="H71" s="352"/>
      <c r="I71" s="144"/>
      <c r="J71" s="157"/>
      <c r="K71" s="157"/>
      <c r="L71" s="144"/>
      <c r="O71" s="65"/>
      <c r="Q71" s="1"/>
    </row>
    <row r="72" spans="1:17" s="8" customFormat="1">
      <c r="A72" s="140" t="s">
        <v>1343</v>
      </c>
      <c r="B72" s="139" t="s">
        <v>1346</v>
      </c>
      <c r="C72" s="140"/>
      <c r="D72" s="140"/>
      <c r="E72" s="140"/>
      <c r="F72" s="140"/>
      <c r="G72" s="141"/>
      <c r="H72" s="352"/>
      <c r="I72" s="144">
        <f>F49</f>
        <v>0</v>
      </c>
      <c r="J72" s="157"/>
      <c r="K72" s="157"/>
      <c r="L72" s="144"/>
      <c r="O72" s="65"/>
      <c r="Q72" s="1"/>
    </row>
    <row r="73" spans="1:17" s="8" customFormat="1" ht="5.0999999999999996" customHeight="1">
      <c r="A73" s="140"/>
      <c r="B73" s="139"/>
      <c r="C73" s="140"/>
      <c r="D73" s="140"/>
      <c r="E73" s="140"/>
      <c r="F73" s="140"/>
      <c r="G73" s="141"/>
      <c r="H73" s="352"/>
      <c r="I73" s="144"/>
      <c r="J73" s="157"/>
      <c r="K73" s="157"/>
      <c r="L73" s="144"/>
      <c r="O73" s="65"/>
      <c r="Q73" s="1"/>
    </row>
    <row r="74" spans="1:17" s="8" customFormat="1">
      <c r="A74" s="140" t="s">
        <v>1344</v>
      </c>
      <c r="B74" s="139" t="s">
        <v>1345</v>
      </c>
      <c r="C74" s="140"/>
      <c r="D74" s="140"/>
      <c r="E74" s="140"/>
      <c r="F74" s="140"/>
      <c r="G74" s="141"/>
      <c r="H74" s="352"/>
      <c r="I74" s="144">
        <f>+'GST Rec'!G34</f>
        <v>0</v>
      </c>
      <c r="J74" s="157"/>
      <c r="K74" s="157"/>
      <c r="L74" s="144"/>
      <c r="O74" s="65"/>
      <c r="Q74" s="1"/>
    </row>
    <row r="75" spans="1:17" s="8" customFormat="1" ht="5.0999999999999996" customHeight="1">
      <c r="A75" s="139"/>
      <c r="B75" s="140"/>
      <c r="C75" s="140"/>
      <c r="D75" s="140"/>
      <c r="E75" s="140"/>
      <c r="F75" s="140"/>
      <c r="G75" s="141"/>
      <c r="H75" s="352"/>
      <c r="I75" s="352"/>
      <c r="J75" s="158"/>
      <c r="K75" s="158"/>
      <c r="L75" s="144"/>
      <c r="O75" s="65"/>
      <c r="Q75" s="1"/>
    </row>
    <row r="76" spans="1:17" s="8" customFormat="1">
      <c r="A76" s="139"/>
      <c r="B76" s="145" t="s">
        <v>1147</v>
      </c>
      <c r="C76" s="140"/>
      <c r="D76" s="140"/>
      <c r="E76" s="140"/>
      <c r="F76" s="140"/>
      <c r="G76" s="141"/>
      <c r="H76" s="352"/>
      <c r="I76" s="401" t="s">
        <v>976</v>
      </c>
      <c r="J76" s="156"/>
      <c r="K76" s="156"/>
      <c r="L76" s="186" t="s">
        <v>963</v>
      </c>
      <c r="O76" s="65"/>
      <c r="Q76" s="1"/>
    </row>
    <row r="77" spans="1:17" s="8" customFormat="1" ht="5.0999999999999996" customHeight="1">
      <c r="A77" s="139"/>
      <c r="B77" s="140"/>
      <c r="C77" s="140"/>
      <c r="D77" s="140"/>
      <c r="E77" s="140"/>
      <c r="F77" s="140"/>
      <c r="G77" s="141"/>
      <c r="H77" s="352"/>
      <c r="I77" s="352"/>
      <c r="J77" s="158"/>
      <c r="K77" s="158"/>
      <c r="L77" s="186"/>
      <c r="O77" s="65"/>
      <c r="Q77" s="1"/>
    </row>
    <row r="78" spans="1:17" s="8" customFormat="1">
      <c r="A78" s="139"/>
      <c r="B78" s="139" t="s">
        <v>1148</v>
      </c>
      <c r="C78" s="140"/>
      <c r="D78" s="140"/>
      <c r="E78" s="140"/>
      <c r="F78" s="140"/>
      <c r="G78" s="141"/>
      <c r="H78" s="404" t="s">
        <v>1149</v>
      </c>
      <c r="I78" s="403">
        <f>I64-I66</f>
        <v>0</v>
      </c>
      <c r="J78" s="157"/>
      <c r="K78" s="157"/>
      <c r="L78" s="407" t="str">
        <f>IF(I78=0,"No variance",IF(I78&lt;0,"Understated","Overstated"))</f>
        <v>No variance</v>
      </c>
      <c r="O78" s="65"/>
      <c r="Q78" s="1"/>
    </row>
    <row r="79" spans="1:17" s="8" customFormat="1" ht="5.0999999999999996" customHeight="1">
      <c r="A79" s="139"/>
      <c r="B79" s="140"/>
      <c r="C79" s="140"/>
      <c r="D79" s="140"/>
      <c r="E79" s="140"/>
      <c r="F79" s="140"/>
      <c r="G79" s="141"/>
      <c r="H79" s="404"/>
      <c r="I79" s="352"/>
      <c r="J79" s="158"/>
      <c r="K79" s="158"/>
      <c r="L79" s="147"/>
      <c r="O79" s="65"/>
      <c r="Q79" s="1"/>
    </row>
    <row r="80" spans="1:17" s="8" customFormat="1">
      <c r="A80" s="139"/>
      <c r="B80" s="139" t="s">
        <v>1150</v>
      </c>
      <c r="C80" s="140"/>
      <c r="D80" s="140"/>
      <c r="E80" s="140"/>
      <c r="F80" s="140"/>
      <c r="G80" s="141"/>
      <c r="H80" s="404" t="s">
        <v>1151</v>
      </c>
      <c r="I80" s="403">
        <f>I64-I68</f>
        <v>0</v>
      </c>
      <c r="J80" s="157"/>
      <c r="K80" s="157"/>
      <c r="L80" s="407" t="str">
        <f>IF(I80=0,"No variance",IF(I80&lt;0,"Understated","Overstated"))</f>
        <v>No variance</v>
      </c>
      <c r="O80" s="65"/>
      <c r="Q80" s="1"/>
    </row>
    <row r="81" spans="1:17" s="8" customFormat="1" ht="5.0999999999999996" customHeight="1">
      <c r="A81" s="139"/>
      <c r="B81" s="140"/>
      <c r="C81" s="140"/>
      <c r="D81" s="140"/>
      <c r="E81" s="140"/>
      <c r="F81" s="140"/>
      <c r="G81" s="141"/>
      <c r="H81" s="404"/>
      <c r="I81" s="352"/>
      <c r="J81" s="158"/>
      <c r="K81" s="158"/>
      <c r="L81" s="147"/>
      <c r="O81" s="65"/>
      <c r="Q81" s="1"/>
    </row>
    <row r="82" spans="1:17" s="8" customFormat="1">
      <c r="A82" s="140"/>
      <c r="B82" s="139" t="s">
        <v>1152</v>
      </c>
      <c r="C82" s="140"/>
      <c r="D82" s="140"/>
      <c r="E82" s="140"/>
      <c r="F82" s="140"/>
      <c r="G82" s="141"/>
      <c r="H82" s="404" t="s">
        <v>1153</v>
      </c>
      <c r="I82" s="403">
        <f>I66-I68</f>
        <v>0</v>
      </c>
      <c r="J82" s="157"/>
      <c r="K82" s="157"/>
      <c r="L82" s="407" t="str">
        <f>IF(I82=0,"No variance",IF(I82&lt;0,"Understated","Overstated"))</f>
        <v>No variance</v>
      </c>
      <c r="M82" s="27"/>
      <c r="O82" s="65"/>
      <c r="Q82" s="1"/>
    </row>
    <row r="83" spans="1:17" s="8" customFormat="1" ht="5.0999999999999996" customHeight="1">
      <c r="A83" s="140"/>
      <c r="B83" s="140"/>
      <c r="C83" s="140"/>
      <c r="D83" s="140"/>
      <c r="E83" s="140"/>
      <c r="F83" s="140"/>
      <c r="G83" s="141"/>
      <c r="H83" s="352"/>
      <c r="I83" s="352"/>
      <c r="J83" s="140"/>
      <c r="K83" s="140"/>
      <c r="L83" s="144"/>
      <c r="M83" s="59"/>
      <c r="O83" s="65"/>
      <c r="Q83" s="1"/>
    </row>
    <row r="84" spans="1:17" s="8" customFormat="1">
      <c r="A84" s="140"/>
      <c r="B84" s="45" t="s">
        <v>1348</v>
      </c>
      <c r="C84" s="45"/>
      <c r="D84" s="45"/>
      <c r="E84" s="45"/>
      <c r="F84" s="45"/>
      <c r="G84" s="45"/>
      <c r="H84" s="405" t="s">
        <v>1349</v>
      </c>
      <c r="I84" s="406">
        <f>I70-I66</f>
        <v>0</v>
      </c>
      <c r="J84" s="146"/>
      <c r="K84" s="146"/>
      <c r="L84" s="407" t="str">
        <f>IF(I84=0,"No variance",IF(I84&lt;0,"Understated","Overstated"))</f>
        <v>No variance</v>
      </c>
      <c r="M84" s="59"/>
      <c r="O84" s="65"/>
      <c r="Q84" s="1"/>
    </row>
    <row r="85" spans="1:17" s="8" customFormat="1" ht="5.0999999999999996" customHeight="1">
      <c r="A85" s="140"/>
      <c r="B85" s="45"/>
      <c r="C85" s="45"/>
      <c r="D85" s="45"/>
      <c r="E85" s="45"/>
      <c r="F85" s="45"/>
      <c r="G85" s="45"/>
      <c r="H85" s="406"/>
      <c r="I85" s="406"/>
      <c r="J85" s="45"/>
      <c r="K85" s="45"/>
      <c r="L85" s="144"/>
      <c r="M85" s="59"/>
      <c r="O85" s="65"/>
      <c r="Q85" s="1"/>
    </row>
    <row r="86" spans="1:17" s="8" customFormat="1">
      <c r="A86" s="140"/>
      <c r="B86" s="45" t="s">
        <v>1351</v>
      </c>
      <c r="C86" s="45"/>
      <c r="D86" s="45"/>
      <c r="E86" s="45"/>
      <c r="F86" s="45"/>
      <c r="G86" s="45"/>
      <c r="H86" s="405" t="s">
        <v>1350</v>
      </c>
      <c r="I86" s="406">
        <f>I72-I74</f>
        <v>0</v>
      </c>
      <c r="J86" s="146"/>
      <c r="K86" s="146"/>
      <c r="L86" s="407" t="str">
        <f>IF(I86=0,"No variance",IF(I86&lt;0,"Understated","Overstated"))</f>
        <v>No variance</v>
      </c>
      <c r="M86" s="59"/>
      <c r="O86" s="65"/>
      <c r="Q86" s="1"/>
    </row>
    <row r="87" spans="1:17" s="8" customFormat="1">
      <c r="A87" s="140"/>
      <c r="B87" s="140"/>
      <c r="C87" s="140"/>
      <c r="D87" s="140"/>
      <c r="E87" s="140"/>
      <c r="F87" s="140"/>
      <c r="G87" s="141"/>
      <c r="H87" s="140"/>
      <c r="I87" s="140"/>
      <c r="J87" s="140"/>
      <c r="K87" s="140"/>
      <c r="L87" s="144"/>
      <c r="M87" s="59"/>
      <c r="O87" s="65"/>
      <c r="Q87" s="1"/>
    </row>
    <row r="88" spans="1:17" s="8" customFormat="1">
      <c r="A88" s="140"/>
      <c r="B88" s="3" t="s">
        <v>236</v>
      </c>
      <c r="C88" s="140"/>
      <c r="D88" s="140"/>
      <c r="E88" s="140"/>
      <c r="F88" s="140"/>
      <c r="G88" s="141"/>
      <c r="H88" s="140"/>
      <c r="I88" s="140"/>
      <c r="J88" s="140"/>
      <c r="K88" s="140"/>
      <c r="L88" s="144"/>
      <c r="M88" s="59"/>
      <c r="O88" s="65"/>
      <c r="Q88" s="1"/>
    </row>
    <row r="89" spans="1:17" s="8" customFormat="1">
      <c r="A89" s="140"/>
      <c r="B89" s="1" t="s">
        <v>237</v>
      </c>
      <c r="F89" s="2052"/>
      <c r="G89" s="141"/>
      <c r="H89" s="140"/>
      <c r="I89" s="140"/>
      <c r="J89" s="140"/>
      <c r="K89" s="140"/>
      <c r="L89" s="144"/>
      <c r="M89" s="59"/>
      <c r="O89" s="65"/>
      <c r="Q89" s="1"/>
    </row>
    <row r="90" spans="1:17" s="8" customFormat="1" ht="5.0999999999999996" customHeight="1">
      <c r="A90" s="140"/>
      <c r="B90" s="1"/>
      <c r="F90" s="144"/>
      <c r="G90" s="141"/>
      <c r="H90" s="140"/>
      <c r="I90" s="140"/>
      <c r="J90" s="140"/>
      <c r="K90" s="140"/>
      <c r="L90" s="144"/>
      <c r="M90" s="59"/>
      <c r="O90" s="65"/>
      <c r="Q90" s="1"/>
    </row>
    <row r="91" spans="1:17" s="8" customFormat="1">
      <c r="A91" s="140"/>
      <c r="B91" s="1" t="s">
        <v>239</v>
      </c>
      <c r="F91" s="220">
        <f>SUM(C49:D49,J49,F89)</f>
        <v>0</v>
      </c>
      <c r="G91" s="673" t="str">
        <f>"90% payroll tax threshold ("&amp;DOLLAR(LOOKUP('Input Info'!Entity_State,'Standard Thresholds'!B221:I221,'Standard Thresholds'!B222:I222),0)&amp;") for "&amp;'Input Info'!Entity_State&amp;" = "</f>
        <v xml:space="preserve">90% payroll tax threshold ($700,000) for VIC = </v>
      </c>
      <c r="I91" s="140"/>
      <c r="L91" s="220">
        <f>0.9*LOOKUP('Input Info'!Entity_State,'Standard Thresholds'!B221:I221,'Standard Thresholds'!B222:I222)</f>
        <v>630000</v>
      </c>
      <c r="M91" s="59"/>
      <c r="O91" s="65"/>
      <c r="Q91" s="1"/>
    </row>
    <row r="92" spans="1:17" s="8" customFormat="1" ht="5.0999999999999996" customHeight="1">
      <c r="A92" s="140"/>
      <c r="B92" s="1"/>
      <c r="C92" s="140"/>
      <c r="D92" s="140"/>
      <c r="E92" s="140"/>
      <c r="F92" s="140"/>
      <c r="G92" s="672"/>
      <c r="H92" s="140"/>
      <c r="I92" s="140"/>
      <c r="L92" s="140"/>
      <c r="M92" s="59"/>
      <c r="O92" s="65"/>
      <c r="Q92" s="1"/>
    </row>
    <row r="93" spans="1:17" s="8" customFormat="1">
      <c r="A93" s="140"/>
      <c r="B93" s="674" t="str">
        <f>IF(F91&gt;L91,"Gross wages + SGC required + grossed up fringe benefits &gt; 90% payroll tax threshold.  Please check payroll tax and note on Review/Query/Issues Sheet.","Gross wages + SGC required + grossed up fringe benefits is not &gt; 90% payroll tax threshold.  No further action required.")</f>
        <v>Gross wages + SGC required + grossed up fringe benefits is not &gt; 90% payroll tax threshold.  No further action required.</v>
      </c>
      <c r="C93" s="140"/>
      <c r="D93" s="140"/>
      <c r="E93" s="140"/>
      <c r="F93" s="140"/>
      <c r="G93" s="141"/>
      <c r="H93" s="140"/>
      <c r="I93" s="140"/>
      <c r="J93" s="140"/>
      <c r="K93" s="140"/>
      <c r="L93" s="144"/>
      <c r="M93" s="59"/>
      <c r="O93" s="65"/>
      <c r="Q93" s="1"/>
    </row>
    <row r="94" spans="1:17" s="8" customFormat="1">
      <c r="A94" s="140"/>
      <c r="B94" s="667" t="s">
        <v>240</v>
      </c>
      <c r="C94" s="140"/>
      <c r="D94" s="140"/>
      <c r="E94" s="140"/>
      <c r="F94" s="140"/>
      <c r="G94" s="141"/>
      <c r="H94" s="140"/>
      <c r="I94" s="140"/>
      <c r="J94" s="140"/>
      <c r="K94" s="140"/>
      <c r="L94" s="144"/>
      <c r="M94" s="59"/>
      <c r="O94" s="65"/>
      <c r="Q94" s="1"/>
    </row>
    <row r="95" spans="1:17" s="8" customFormat="1">
      <c r="A95" s="140"/>
      <c r="B95" s="667" t="s">
        <v>241</v>
      </c>
      <c r="C95" s="140"/>
      <c r="D95" s="140"/>
      <c r="E95" s="140"/>
      <c r="F95" s="140"/>
      <c r="G95" s="141"/>
      <c r="H95" s="140"/>
      <c r="I95" s="140"/>
      <c r="J95" s="140"/>
      <c r="K95" s="140"/>
      <c r="L95" s="144"/>
      <c r="M95" s="59"/>
      <c r="O95" s="65"/>
      <c r="Q95" s="1"/>
    </row>
    <row r="96" spans="1:17" s="8" customFormat="1">
      <c r="A96" s="139"/>
      <c r="B96" s="140"/>
      <c r="C96" s="140"/>
      <c r="D96" s="140"/>
      <c r="E96" s="140"/>
      <c r="F96" s="140"/>
      <c r="G96" s="141"/>
      <c r="H96" s="140"/>
      <c r="I96" s="140"/>
      <c r="J96" s="140"/>
      <c r="K96" s="140"/>
      <c r="L96" s="140"/>
      <c r="O96" s="65"/>
      <c r="Q96" s="1"/>
    </row>
    <row r="97" spans="1:17" s="8" customFormat="1">
      <c r="A97" s="139"/>
      <c r="B97" s="3" t="s">
        <v>443</v>
      </c>
      <c r="C97" s="140"/>
      <c r="D97" s="140"/>
      <c r="E97" s="140"/>
      <c r="F97" s="140"/>
      <c r="G97" s="141"/>
      <c r="H97" s="140"/>
      <c r="I97" s="140"/>
      <c r="J97" s="140"/>
      <c r="K97" s="140"/>
      <c r="L97" s="140"/>
      <c r="O97" s="65"/>
      <c r="Q97" s="1"/>
    </row>
    <row r="98" spans="1:17" s="8" customFormat="1">
      <c r="A98" s="139"/>
      <c r="B98" s="140" t="s">
        <v>334</v>
      </c>
      <c r="C98" s="140"/>
      <c r="D98" s="140"/>
      <c r="E98" s="140"/>
      <c r="G98" s="141"/>
      <c r="H98" s="140"/>
      <c r="I98" s="3019"/>
      <c r="J98" s="140"/>
      <c r="K98" s="140"/>
      <c r="L98" s="140"/>
      <c r="O98" s="65"/>
      <c r="Q98" s="1"/>
    </row>
    <row r="99" spans="1:17" s="8" customFormat="1" ht="5.0999999999999996" customHeight="1">
      <c r="A99" s="139"/>
      <c r="B99" s="140"/>
      <c r="C99" s="140"/>
      <c r="D99" s="140"/>
      <c r="E99" s="140"/>
      <c r="F99" s="140"/>
      <c r="G99" s="141"/>
      <c r="H99" s="140"/>
      <c r="I99" s="714"/>
      <c r="J99" s="140"/>
      <c r="K99" s="140"/>
      <c r="L99" s="140"/>
      <c r="O99" s="65"/>
      <c r="Q99" s="1"/>
    </row>
    <row r="100" spans="1:17" s="8" customFormat="1">
      <c r="A100" s="139"/>
      <c r="B100" s="140" t="s">
        <v>444</v>
      </c>
      <c r="C100" s="140"/>
      <c r="D100" s="140"/>
      <c r="E100" s="140"/>
      <c r="F100" s="140"/>
      <c r="G100" s="141"/>
      <c r="H100" s="140"/>
      <c r="I100" s="715">
        <f>I55</f>
        <v>0</v>
      </c>
      <c r="J100" s="140"/>
      <c r="K100" s="140"/>
      <c r="L100" s="140"/>
      <c r="O100" s="65"/>
      <c r="Q100" s="1"/>
    </row>
    <row r="101" spans="1:17" s="8" customFormat="1" ht="5.0999999999999996" customHeight="1">
      <c r="A101" s="139"/>
      <c r="B101" s="140"/>
      <c r="C101" s="140"/>
      <c r="D101" s="140"/>
      <c r="E101" s="140"/>
      <c r="F101" s="140"/>
      <c r="G101" s="141"/>
      <c r="H101" s="140"/>
      <c r="I101" s="714"/>
      <c r="J101" s="140"/>
      <c r="K101" s="140"/>
      <c r="L101" s="140"/>
      <c r="O101" s="65"/>
      <c r="Q101" s="1"/>
    </row>
    <row r="102" spans="1:17" s="8" customFormat="1">
      <c r="A102" s="139"/>
      <c r="B102" s="140" t="s">
        <v>445</v>
      </c>
      <c r="C102" s="140"/>
      <c r="D102" s="140"/>
      <c r="E102" s="140"/>
      <c r="F102" s="140"/>
      <c r="G102" s="141"/>
      <c r="H102" s="140"/>
      <c r="I102" s="3019"/>
      <c r="J102" s="140"/>
      <c r="K102" s="140"/>
      <c r="L102" s="140"/>
      <c r="O102" s="65"/>
      <c r="Q102" s="1"/>
    </row>
    <row r="103" spans="1:17" s="8" customFormat="1" ht="5.0999999999999996" customHeight="1">
      <c r="A103" s="139"/>
      <c r="B103" s="140"/>
      <c r="C103" s="140"/>
      <c r="D103" s="140"/>
      <c r="E103" s="140"/>
      <c r="F103" s="140"/>
      <c r="G103" s="141"/>
      <c r="H103" s="140"/>
      <c r="I103" s="714"/>
      <c r="J103" s="140"/>
      <c r="K103" s="140"/>
      <c r="L103" s="140"/>
      <c r="O103" s="65"/>
      <c r="Q103" s="1"/>
    </row>
    <row r="104" spans="1:17" s="8" customFormat="1">
      <c r="A104" s="139"/>
      <c r="B104" s="140" t="s">
        <v>446</v>
      </c>
      <c r="C104" s="140"/>
      <c r="D104" s="140"/>
      <c r="E104" s="140"/>
      <c r="F104" s="140"/>
      <c r="G104" s="141"/>
      <c r="H104" s="140"/>
      <c r="I104" s="714"/>
      <c r="J104" s="140"/>
      <c r="K104" s="140"/>
      <c r="L104" s="140"/>
      <c r="O104" s="65"/>
      <c r="Q104" s="1"/>
    </row>
    <row r="105" spans="1:17" s="8" customFormat="1">
      <c r="A105" s="139"/>
      <c r="B105" s="4104"/>
      <c r="C105" s="4105"/>
      <c r="D105" s="140"/>
      <c r="E105" s="140"/>
      <c r="F105" s="1792"/>
      <c r="G105" s="2052"/>
      <c r="I105" s="714"/>
      <c r="J105" s="140"/>
      <c r="K105" s="140"/>
      <c r="L105" s="140"/>
      <c r="O105" s="65"/>
      <c r="Q105" s="1"/>
    </row>
    <row r="106" spans="1:17" s="8" customFormat="1">
      <c r="A106" s="139"/>
      <c r="B106" s="4104"/>
      <c r="C106" s="4105"/>
      <c r="D106" s="140"/>
      <c r="E106" s="140"/>
      <c r="F106" s="1792"/>
      <c r="G106" s="2052"/>
      <c r="I106" s="714"/>
      <c r="J106" s="140"/>
      <c r="K106" s="140"/>
      <c r="L106" s="140"/>
      <c r="O106" s="65"/>
      <c r="Q106" s="1"/>
    </row>
    <row r="107" spans="1:17" s="8" customFormat="1">
      <c r="A107" s="139"/>
      <c r="B107" s="4104"/>
      <c r="C107" s="4105"/>
      <c r="D107" s="140"/>
      <c r="E107" s="140"/>
      <c r="F107" s="1792"/>
      <c r="G107" s="2053"/>
      <c r="I107" s="714">
        <f>SUM(G105:G107)</f>
        <v>0</v>
      </c>
      <c r="J107" s="140"/>
      <c r="K107" s="140"/>
      <c r="L107" s="140"/>
      <c r="O107" s="65"/>
      <c r="Q107" s="1"/>
    </row>
    <row r="108" spans="1:17" s="8" customFormat="1" ht="5.0999999999999996" customHeight="1">
      <c r="A108" s="139"/>
      <c r="B108" s="140"/>
      <c r="C108" s="140"/>
      <c r="D108" s="140"/>
      <c r="E108" s="140"/>
      <c r="F108" s="140"/>
      <c r="G108" s="141"/>
      <c r="H108" s="140"/>
      <c r="I108" s="714"/>
      <c r="J108" s="140"/>
      <c r="K108" s="140"/>
      <c r="L108" s="140"/>
      <c r="O108" s="65"/>
      <c r="Q108" s="1"/>
    </row>
    <row r="109" spans="1:17" s="8" customFormat="1">
      <c r="A109" s="139"/>
      <c r="B109" s="140" t="s">
        <v>447</v>
      </c>
      <c r="C109" s="140"/>
      <c r="D109" s="140"/>
      <c r="E109" s="140"/>
      <c r="F109" s="140"/>
      <c r="G109" s="141"/>
      <c r="H109" s="140"/>
      <c r="I109" s="3019"/>
      <c r="J109" s="140"/>
      <c r="K109" s="140"/>
      <c r="L109" s="140"/>
      <c r="O109" s="65"/>
      <c r="Q109" s="1"/>
    </row>
    <row r="110" spans="1:17" s="8" customFormat="1" ht="5.0999999999999996" customHeight="1">
      <c r="A110" s="139"/>
      <c r="B110" s="140"/>
      <c r="C110" s="140"/>
      <c r="D110" s="140"/>
      <c r="E110" s="140"/>
      <c r="F110" s="140"/>
      <c r="G110" s="141"/>
      <c r="H110" s="140"/>
      <c r="I110" s="714"/>
      <c r="J110" s="140"/>
      <c r="K110" s="140"/>
      <c r="L110" s="140"/>
      <c r="O110" s="65"/>
      <c r="Q110" s="1"/>
    </row>
    <row r="111" spans="1:17" s="8" customFormat="1">
      <c r="A111" s="139"/>
      <c r="B111" s="140" t="s">
        <v>1339</v>
      </c>
      <c r="C111" s="140"/>
      <c r="D111" s="140"/>
      <c r="E111" s="140"/>
      <c r="F111" s="140"/>
      <c r="G111" s="141"/>
      <c r="H111" s="140"/>
      <c r="I111" s="714">
        <f>-SUM(-I98,I99:I110)</f>
        <v>0</v>
      </c>
      <c r="J111" s="140"/>
      <c r="K111" s="140"/>
      <c r="L111" s="140"/>
      <c r="O111" s="65"/>
      <c r="Q111" s="1"/>
    </row>
    <row r="112" spans="1:17" s="8" customFormat="1" ht="5.0999999999999996" customHeight="1">
      <c r="A112" s="139"/>
      <c r="B112" s="140"/>
      <c r="C112" s="140"/>
      <c r="D112" s="140"/>
      <c r="E112" s="140"/>
      <c r="F112" s="140"/>
      <c r="G112" s="141"/>
      <c r="H112" s="140"/>
      <c r="I112" s="140"/>
      <c r="J112" s="140"/>
      <c r="K112" s="140"/>
      <c r="L112" s="140"/>
      <c r="O112" s="65"/>
      <c r="Q112" s="1"/>
    </row>
    <row r="113" spans="1:17" s="8" customFormat="1">
      <c r="A113" s="145" t="s">
        <v>1155</v>
      </c>
      <c r="B113" s="140"/>
      <c r="C113" s="140"/>
      <c r="D113" s="140"/>
      <c r="E113" s="140"/>
      <c r="F113" s="140"/>
      <c r="G113" s="141"/>
      <c r="H113" s="140"/>
      <c r="I113" s="140"/>
      <c r="J113" s="140"/>
      <c r="K113" s="140"/>
      <c r="L113" s="140"/>
      <c r="M113" s="23"/>
      <c r="O113" s="65"/>
      <c r="Q113" s="1"/>
    </row>
    <row r="114" spans="1:17" s="8" customFormat="1" ht="61.5" customHeight="1">
      <c r="A114" s="4097"/>
      <c r="B114" s="4098"/>
      <c r="C114" s="4098"/>
      <c r="D114" s="4098"/>
      <c r="E114" s="4098"/>
      <c r="F114" s="4098"/>
      <c r="G114" s="4098"/>
      <c r="H114" s="4098"/>
      <c r="I114" s="4098"/>
      <c r="J114" s="4098"/>
      <c r="K114" s="4098"/>
      <c r="L114" s="4098"/>
      <c r="M114" s="4099"/>
      <c r="O114" s="65"/>
      <c r="Q114" s="1"/>
    </row>
    <row r="115" spans="1:17" s="8" customFormat="1">
      <c r="C115" s="20"/>
      <c r="D115" s="20"/>
      <c r="E115" s="20"/>
      <c r="F115" s="20"/>
      <c r="G115" s="20"/>
      <c r="H115" s="20"/>
      <c r="I115" s="20"/>
      <c r="J115" s="20"/>
      <c r="K115" s="20"/>
      <c r="O115" s="65"/>
      <c r="Q115" s="1"/>
    </row>
  </sheetData>
  <customSheetViews>
    <customSheetView guid="{BCBE45D4-3C45-4659-992E-5C5D3E9FD81C}" fitToPage="1" hiddenRows="1" hiddenColumns="1" topLeftCell="A76">
      <selection activeCell="F21" sqref="F21"/>
      <pageMargins left="0.59055118110236227" right="0.43307086614173229" top="0.6692913385826772" bottom="0.94488188976377963" header="0.51181102362204722" footer="0.39370078740157483"/>
      <printOptions horizontalCentered="1"/>
      <pageSetup paperSize="9" scale="50"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Rows="1" hiddenColumns="1">
      <selection activeCell="M50" sqref="M50"/>
      <pageMargins left="0.59055118110236227" right="0.43307086614173229" top="0.6692913385826772" bottom="0.94488188976377963" header="0.51181102362204722" footer="0.39370078740157483"/>
      <printOptions horizontalCentered="1"/>
      <pageSetup paperSize="9" scale="50" fitToHeight="999" orientation="portrait" blackAndWhite="1" r:id="rId2"/>
      <headerFooter alignWithMargins="0">
        <oddFooter>&amp;L&amp;8Copyright Crowe Horwath (Aust) Pty Ltd 2016.  All rights reserved.
&amp;Z&amp;F[&amp;A]&amp;R&amp;8&amp;P/&amp;N</oddFooter>
      </headerFooter>
    </customSheetView>
  </customSheetViews>
  <mergeCells count="6">
    <mergeCell ref="A8:M8"/>
    <mergeCell ref="A114:M114"/>
    <mergeCell ref="L9:M9"/>
    <mergeCell ref="B105:C105"/>
    <mergeCell ref="B106:C106"/>
    <mergeCell ref="B107:C107"/>
  </mergeCells>
  <phoneticPr fontId="26" type="noConversion"/>
  <conditionalFormatting sqref="Q155">
    <cfRule type="expression" dxfId="9" priority="1" stopIfTrue="1">
      <formula>SUM($155:$155)=0</formula>
    </cfRule>
  </conditionalFormatting>
  <dataValidations disablePrompts="1" count="2">
    <dataValidation type="list" allowBlank="1" showInputMessage="1" showErrorMessage="1" sqref="P18:P47" xr:uid="{00000000-0002-0000-3300-000000000000}">
      <formula1>"Y,N"</formula1>
    </dataValidation>
    <dataValidation allowBlank="1" showInputMessage="1" showErrorMessage="1" promptTitle="Select nbr employees from list" sqref="F13" xr:uid="{00000000-0002-0000-3300-000001000000}"/>
  </dataValidations>
  <hyperlinks>
    <hyperlink ref="L9" location="WP_Wages_Rec" display="Back to Workpaper Index" xr:uid="{00000000-0004-0000-3300-000000000000}"/>
    <hyperlink ref="L9:M9" location="WPIndex!A1" display="Back to WP Index" xr:uid="{97DAEF6F-015C-41BC-BDAE-9CB5378FEF83}"/>
  </hyperlinks>
  <printOptions horizontalCentered="1"/>
  <pageMargins left="0.59055118110236227" right="0.43307086614173229" top="0.6692913385826772" bottom="0.94488188976377963" header="0.51181102362204722" footer="0.39370078740157483"/>
  <pageSetup paperSize="9" scale="50" fitToHeight="999" orientation="portrait" r:id="rId3"/>
  <headerFooter alignWithMargins="0">
    <oddFooter>&amp;L&amp;8© Findex (Aust) Pty Ltd.  All rights reserved.&amp;R&amp;8&amp;P/&amp;N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0425" r:id="rId6" name="Drop Down 9">
              <controlPr defaultSize="0" autoLine="0" autoPict="0" macro="[0]!DropDown9_Change">
                <anchor moveWithCells="1">
                  <from>
                    <xdr:col>2</xdr:col>
                    <xdr:colOff>257175</xdr:colOff>
                    <xdr:row>11</xdr:row>
                    <xdr:rowOff>152400</xdr:rowOff>
                  </from>
                  <to>
                    <xdr:col>3</xdr:col>
                    <xdr:colOff>133350</xdr:colOff>
                    <xdr:row>13</xdr:row>
                    <xdr:rowOff>28575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Total_Debt_Sheet">
    <tabColor theme="8" tint="0.79998168889431442"/>
  </sheetPr>
  <dimension ref="A1:I28"/>
  <sheetViews>
    <sheetView zoomScaleNormal="100" workbookViewId="0">
      <selection sqref="A1:F1"/>
    </sheetView>
  </sheetViews>
  <sheetFormatPr defaultColWidth="11.42578125" defaultRowHeight="12.75"/>
  <cols>
    <col min="1" max="7" width="11.42578125" style="1" customWidth="1"/>
    <col min="8" max="8" width="11.42578125" style="14" customWidth="1"/>
    <col min="9" max="9" width="11.42578125" style="1" hidden="1" customWidth="1"/>
    <col min="10" max="16384" width="11.42578125" style="1"/>
  </cols>
  <sheetData>
    <row r="1" spans="1:9">
      <c r="G1" s="2613" t="s">
        <v>2425</v>
      </c>
      <c r="H1" s="3576" t="s">
        <v>2758</v>
      </c>
    </row>
    <row r="2" spans="1:9" ht="15.75">
      <c r="A2" s="740"/>
      <c r="B2" s="740"/>
      <c r="C2" s="740"/>
      <c r="D2" s="740"/>
      <c r="E2" s="740"/>
      <c r="F2" s="40"/>
      <c r="G2" s="71" t="s">
        <v>2426</v>
      </c>
      <c r="H2" s="2621"/>
    </row>
    <row r="3" spans="1:9" ht="15.75">
      <c r="A3" s="740"/>
      <c r="B3" s="740"/>
      <c r="C3" s="740"/>
      <c r="D3" s="740"/>
      <c r="E3" s="740"/>
      <c r="F3" s="40"/>
      <c r="G3" s="40"/>
      <c r="H3" s="1"/>
    </row>
    <row r="4" spans="1:9" s="32" customFormat="1">
      <c r="A4" s="206"/>
      <c r="F4" s="11"/>
      <c r="G4" s="2610" t="s">
        <v>1163</v>
      </c>
      <c r="H4" s="709" t="s">
        <v>1262</v>
      </c>
    </row>
    <row r="5" spans="1:9" s="32" customFormat="1" ht="17.25" customHeight="1">
      <c r="A5" s="206"/>
      <c r="F5" s="71" t="s">
        <v>332</v>
      </c>
      <c r="G5" s="2617" t="str">
        <f>IF(PreparedBy="","",PreparedBy)</f>
        <v/>
      </c>
      <c r="H5" s="2618" t="str">
        <f>IF(DatePrepared="","",DatePrepared)</f>
        <v/>
      </c>
    </row>
    <row r="6" spans="1:9" s="32" customFormat="1" ht="17.25" customHeight="1">
      <c r="A6" s="206"/>
      <c r="F6" s="71" t="s">
        <v>333</v>
      </c>
      <c r="G6" s="2619"/>
      <c r="H6" s="2620"/>
    </row>
    <row r="7" spans="1:9" s="32" customFormat="1" ht="3.95" customHeight="1">
      <c r="A7" s="206"/>
      <c r="B7" s="43"/>
      <c r="C7" s="43"/>
      <c r="D7" s="43"/>
      <c r="E7" s="43"/>
      <c r="F7" s="43"/>
      <c r="G7" s="43"/>
      <c r="H7" s="43"/>
    </row>
    <row r="8" spans="1:9" ht="15.75">
      <c r="A8" s="3704" t="str">
        <f>WP_Total_Debt</f>
        <v>Total Debt Summary</v>
      </c>
      <c r="B8" s="3705"/>
      <c r="C8" s="3705"/>
      <c r="D8" s="3705"/>
      <c r="E8" s="3705"/>
      <c r="F8" s="3705"/>
      <c r="G8" s="3705"/>
      <c r="H8" s="3706"/>
    </row>
    <row r="9" spans="1:9">
      <c r="F9" s="3832" t="s">
        <v>2526</v>
      </c>
      <c r="G9" s="3832"/>
      <c r="H9" s="3832"/>
    </row>
    <row r="10" spans="1:9" ht="15.75">
      <c r="A10" s="222" t="str">
        <f>"CLIENT NAME:   "&amp;'WP Index'!E3</f>
        <v>CLIENT NAME:   Example Trust</v>
      </c>
    </row>
    <row r="11" spans="1:9">
      <c r="A11" s="9" t="str">
        <f>"CLIENT CODE:   "&amp;'WP Index'!E4</f>
        <v>CLIENT CODE:   99999</v>
      </c>
      <c r="G11" s="47" t="s">
        <v>951</v>
      </c>
      <c r="H11" s="47">
        <f>'WP Index'!G5</f>
        <v>45473</v>
      </c>
    </row>
    <row r="12" spans="1:9">
      <c r="I12" s="6" t="s">
        <v>1286</v>
      </c>
    </row>
    <row r="13" spans="1:9">
      <c r="A13" s="3" t="s">
        <v>1154</v>
      </c>
      <c r="C13" s="190"/>
      <c r="D13" s="190"/>
      <c r="E13" s="1230">
        <f>YEAR('WP Index'!$E$5)</f>
        <v>2023</v>
      </c>
      <c r="F13" s="1593">
        <f>YEAR('WP Index'!$G$5)</f>
        <v>2024</v>
      </c>
      <c r="G13" s="354"/>
      <c r="H13" s="362"/>
    </row>
    <row r="14" spans="1:9">
      <c r="A14" s="3884"/>
      <c r="B14" s="3830"/>
      <c r="C14" s="3830"/>
      <c r="D14" s="3831"/>
      <c r="E14" s="2719"/>
      <c r="F14" s="2719"/>
      <c r="G14" s="1225"/>
      <c r="H14" s="362"/>
    </row>
    <row r="15" spans="1:9">
      <c r="A15" s="3793"/>
      <c r="B15" s="3794"/>
      <c r="C15" s="3794"/>
      <c r="D15" s="3795"/>
      <c r="E15" s="2789"/>
      <c r="F15" s="2722"/>
      <c r="G15" s="1225"/>
      <c r="H15" s="362"/>
    </row>
    <row r="16" spans="1:9">
      <c r="A16" s="3793"/>
      <c r="B16" s="3794"/>
      <c r="C16" s="3794"/>
      <c r="D16" s="3795"/>
      <c r="E16" s="2789"/>
      <c r="F16" s="2722"/>
      <c r="G16" s="1225"/>
      <c r="H16" s="362"/>
    </row>
    <row r="17" spans="1:8">
      <c r="A17" s="3793"/>
      <c r="B17" s="3794"/>
      <c r="C17" s="3794"/>
      <c r="D17" s="3795"/>
      <c r="E17" s="2789"/>
      <c r="F17" s="2722"/>
      <c r="G17" s="1225"/>
      <c r="H17" s="362"/>
    </row>
    <row r="18" spans="1:8">
      <c r="A18" s="3793"/>
      <c r="B18" s="3794"/>
      <c r="C18" s="3794"/>
      <c r="D18" s="3795"/>
      <c r="E18" s="2789"/>
      <c r="F18" s="2722"/>
      <c r="G18" s="1225"/>
      <c r="H18" s="362"/>
    </row>
    <row r="19" spans="1:8">
      <c r="A19" s="3793"/>
      <c r="B19" s="3794"/>
      <c r="C19" s="3794"/>
      <c r="D19" s="3795"/>
      <c r="E19" s="2789"/>
      <c r="F19" s="2722"/>
      <c r="G19" s="1225"/>
      <c r="H19" s="362"/>
    </row>
    <row r="20" spans="1:8">
      <c r="A20" s="3793"/>
      <c r="B20" s="3794"/>
      <c r="C20" s="3794"/>
      <c r="D20" s="3795"/>
      <c r="E20" s="2789"/>
      <c r="F20" s="2722"/>
      <c r="G20" s="1225"/>
      <c r="H20" s="362"/>
    </row>
    <row r="21" spans="1:8">
      <c r="A21" s="3793"/>
      <c r="B21" s="3794"/>
      <c r="C21" s="3794"/>
      <c r="D21" s="3795"/>
      <c r="E21" s="2789"/>
      <c r="F21" s="2722"/>
      <c r="G21" s="1225"/>
      <c r="H21" s="362"/>
    </row>
    <row r="22" spans="1:8">
      <c r="A22" s="3796"/>
      <c r="B22" s="3797"/>
      <c r="C22" s="3797"/>
      <c r="D22" s="3798"/>
      <c r="E22" s="2725"/>
      <c r="F22" s="2725"/>
      <c r="G22" s="1225"/>
      <c r="H22" s="362"/>
    </row>
    <row r="23" spans="1:8" ht="13.5" thickBot="1">
      <c r="A23" s="1" t="s">
        <v>1399</v>
      </c>
      <c r="E23" s="1226">
        <f>SUM(E14:E22)</f>
        <v>0</v>
      </c>
      <c r="F23" s="1226">
        <f>SUM(F14:F22)</f>
        <v>0</v>
      </c>
      <c r="G23" s="1226">
        <f>SUM(E23:F23)</f>
        <v>0</v>
      </c>
      <c r="H23" s="362"/>
    </row>
    <row r="24" spans="1:8" ht="13.5" thickTop="1">
      <c r="E24" s="1223"/>
      <c r="F24" s="1224"/>
      <c r="G24" s="1223"/>
      <c r="H24" s="362"/>
    </row>
    <row r="25" spans="1:8" s="3" customFormat="1" ht="13.5" thickBot="1">
      <c r="A25" s="3" t="s">
        <v>1289</v>
      </c>
      <c r="E25" s="1227"/>
      <c r="F25" s="1227"/>
      <c r="G25" s="1228">
        <f>G23/2</f>
        <v>0</v>
      </c>
    </row>
    <row r="26" spans="1:8" ht="13.5" thickTop="1"/>
    <row r="27" spans="1:8">
      <c r="A27" s="3" t="s">
        <v>172</v>
      </c>
    </row>
    <row r="28" spans="1:8" ht="59.25" customHeight="1">
      <c r="A28" s="3742"/>
      <c r="B28" s="3743"/>
      <c r="C28" s="3743"/>
      <c r="D28" s="3743"/>
      <c r="E28" s="3743"/>
      <c r="F28" s="3743"/>
      <c r="G28" s="3743"/>
      <c r="H28" s="3744"/>
    </row>
  </sheetData>
  <customSheetViews>
    <customSheetView guid="{BCBE45D4-3C45-4659-992E-5C5D3E9FD81C}" fitToPage="1" hiddenColumns="1">
      <selection activeCell="F34" sqref="F34"/>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selection activeCell="F34" sqref="F34"/>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12">
    <mergeCell ref="A8:H8"/>
    <mergeCell ref="F9:H9"/>
    <mergeCell ref="A14:D14"/>
    <mergeCell ref="A15:D15"/>
    <mergeCell ref="A16:D16"/>
    <mergeCell ref="A20:D20"/>
    <mergeCell ref="A21:D21"/>
    <mergeCell ref="A28:H28"/>
    <mergeCell ref="A17:D17"/>
    <mergeCell ref="A18:D18"/>
    <mergeCell ref="A22:D22"/>
    <mergeCell ref="A19:D19"/>
  </mergeCells>
  <phoneticPr fontId="26" type="noConversion"/>
  <conditionalFormatting sqref="I154">
    <cfRule type="expression" dxfId="8" priority="1" stopIfTrue="1">
      <formula>SUM($154:$154)=0</formula>
    </cfRule>
  </conditionalFormatting>
  <hyperlinks>
    <hyperlink ref="F9" location="'WP Index'!E92" display="Back to Workpaper Index" xr:uid="{00000000-0004-0000-3400-000000000000}"/>
    <hyperlink ref="F9:H9" location="WPIndex!A1" display="Back to WP Index" xr:uid="{00000000-0004-0000-3400-000001000000}"/>
  </hyperlinks>
  <printOptions horizontalCentered="1"/>
  <pageMargins left="0.59055118110236227" right="0.43307086614173229" top="0.6692913385826772" bottom="0.94488188976377963" header="0.51181102362204722" footer="0.39370078740157483"/>
  <pageSetup paperSize="9" fitToHeight="999" orientation="portrait" r:id="rId3"/>
  <headerFooter alignWithMargins="0">
    <oddFooter>&amp;L&amp;8© Findex (Aust) Pty Ltd.  All rights reserved.&amp;R&amp;8&amp;P/&amp;N</oddFooter>
  </headerFooter>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MDs_Sheet">
    <tabColor theme="8" tint="0.79998168889431442"/>
    <pageSetUpPr fitToPage="1"/>
  </sheetPr>
  <dimension ref="A1:S68"/>
  <sheetViews>
    <sheetView showGridLines="0" zoomScaleNormal="100" workbookViewId="0">
      <selection sqref="A1:F1"/>
    </sheetView>
  </sheetViews>
  <sheetFormatPr defaultColWidth="9.140625" defaultRowHeight="12.75"/>
  <cols>
    <col min="1" max="1" width="12.140625" style="827" customWidth="1"/>
    <col min="2" max="2" width="2.140625" style="827" customWidth="1"/>
    <col min="3" max="3" width="18.5703125" style="863" customWidth="1"/>
    <col min="4" max="4" width="2.140625" style="863" customWidth="1"/>
    <col min="5" max="5" width="12.85546875" style="863" customWidth="1"/>
    <col min="6" max="6" width="2.140625" style="863" customWidth="1"/>
    <col min="7" max="7" width="14.7109375" style="863" bestFit="1" customWidth="1"/>
    <col min="8" max="8" width="2.140625" style="863" customWidth="1"/>
    <col min="9" max="9" width="12.85546875" style="863" customWidth="1"/>
    <col min="10" max="11" width="11.5703125" style="827" customWidth="1"/>
    <col min="12" max="12" width="11.5703125" style="863" customWidth="1"/>
    <col min="13" max="13" width="8.28515625" style="1" hidden="1" customWidth="1"/>
    <col min="14" max="16384" width="9.140625" style="827"/>
  </cols>
  <sheetData>
    <row r="1" spans="1:13">
      <c r="K1" s="2613" t="s">
        <v>2425</v>
      </c>
      <c r="L1" s="3576" t="s">
        <v>2758</v>
      </c>
    </row>
    <row r="2" spans="1:13" ht="15.75">
      <c r="A2" s="826"/>
      <c r="B2" s="826"/>
      <c r="C2" s="826"/>
      <c r="D2" s="826"/>
      <c r="E2" s="826"/>
      <c r="F2" s="826"/>
      <c r="G2" s="826"/>
      <c r="H2" s="826"/>
      <c r="I2" s="826"/>
      <c r="J2" s="875"/>
      <c r="K2" s="71" t="s">
        <v>2426</v>
      </c>
      <c r="L2" s="2621"/>
    </row>
    <row r="3" spans="1:13" ht="15.75">
      <c r="A3" s="826"/>
      <c r="B3" s="826"/>
      <c r="C3" s="826"/>
      <c r="D3" s="826"/>
      <c r="E3" s="826"/>
      <c r="F3" s="826"/>
      <c r="G3" s="826"/>
      <c r="H3" s="826"/>
      <c r="I3" s="826"/>
      <c r="J3" s="875"/>
      <c r="K3" s="40"/>
      <c r="L3" s="1"/>
    </row>
    <row r="4" spans="1:13">
      <c r="A4" s="826"/>
      <c r="C4" s="827"/>
      <c r="D4" s="827"/>
      <c r="E4" s="827"/>
      <c r="F4" s="827"/>
      <c r="G4" s="827"/>
      <c r="H4" s="827"/>
      <c r="I4" s="827"/>
      <c r="J4" s="828"/>
      <c r="K4" s="2795" t="s">
        <v>1163</v>
      </c>
      <c r="L4" s="709" t="s">
        <v>1262</v>
      </c>
      <c r="M4" s="32"/>
    </row>
    <row r="5" spans="1:13" ht="17.25" customHeight="1">
      <c r="A5" s="826"/>
      <c r="C5" s="827"/>
      <c r="D5" s="827"/>
      <c r="E5" s="827"/>
      <c r="F5" s="827"/>
      <c r="G5" s="827"/>
      <c r="H5" s="827"/>
      <c r="I5" s="827"/>
      <c r="J5" s="851" t="s">
        <v>332</v>
      </c>
      <c r="K5" s="2617" t="str">
        <f>IF(PreparedBy="","",PreparedBy)</f>
        <v/>
      </c>
      <c r="L5" s="2618" t="str">
        <f>IF(DatePrepared="","",DatePrepared)</f>
        <v/>
      </c>
      <c r="M5" s="32"/>
    </row>
    <row r="6" spans="1:13" ht="17.25" customHeight="1">
      <c r="A6" s="826"/>
      <c r="C6" s="827"/>
      <c r="D6" s="827"/>
      <c r="E6" s="827"/>
      <c r="F6" s="827"/>
      <c r="G6" s="827"/>
      <c r="H6" s="827"/>
      <c r="I6" s="827"/>
      <c r="J6" s="851" t="s">
        <v>333</v>
      </c>
      <c r="K6" s="2619"/>
      <c r="L6" s="2620"/>
      <c r="M6" s="32"/>
    </row>
    <row r="7" spans="1:13" ht="3.75" customHeight="1">
      <c r="A7" s="826"/>
      <c r="B7" s="829"/>
      <c r="C7" s="829"/>
      <c r="D7" s="829"/>
      <c r="E7" s="829"/>
      <c r="F7" s="829"/>
      <c r="G7" s="829"/>
      <c r="H7" s="829"/>
      <c r="I7" s="829"/>
      <c r="J7" s="829"/>
      <c r="K7" s="829"/>
      <c r="L7" s="827"/>
      <c r="M7" s="32"/>
    </row>
    <row r="8" spans="1:13" ht="15.75">
      <c r="A8" s="3704" t="str">
        <f>WP_FMD_Record</f>
        <v>Farm Management Deposit Record</v>
      </c>
      <c r="B8" s="3705"/>
      <c r="C8" s="3705"/>
      <c r="D8" s="3705"/>
      <c r="E8" s="3705"/>
      <c r="F8" s="3705"/>
      <c r="G8" s="3705"/>
      <c r="H8" s="3705"/>
      <c r="I8" s="3705"/>
      <c r="J8" s="3705"/>
      <c r="K8" s="3705"/>
      <c r="L8" s="3706"/>
    </row>
    <row r="9" spans="1:13">
      <c r="K9" s="4109" t="s">
        <v>2526</v>
      </c>
      <c r="L9" s="4109"/>
    </row>
    <row r="10" spans="1:13" ht="15.75">
      <c r="A10" s="830" t="str">
        <f>"CLIENT NAME:   "&amp;'WP Index'!E3</f>
        <v>CLIENT NAME:   Example Trust</v>
      </c>
    </row>
    <row r="11" spans="1:13">
      <c r="A11" s="831" t="str">
        <f>"CLIENT CODE:   "&amp;'WP Index'!E4</f>
        <v>CLIENT CODE:   99999</v>
      </c>
      <c r="D11" s="827"/>
      <c r="E11" s="827"/>
      <c r="F11" s="827"/>
      <c r="G11" s="827"/>
      <c r="H11" s="827"/>
      <c r="I11" s="827"/>
      <c r="K11" s="853" t="s">
        <v>951</v>
      </c>
      <c r="L11" s="865">
        <f>'WP Index'!G5</f>
        <v>45473</v>
      </c>
    </row>
    <row r="12" spans="1:13">
      <c r="D12" s="827"/>
      <c r="E12" s="827"/>
      <c r="F12" s="827"/>
      <c r="G12" s="827"/>
      <c r="H12" s="827"/>
      <c r="I12" s="827"/>
      <c r="J12" s="863"/>
      <c r="L12" s="827"/>
    </row>
    <row r="13" spans="1:13">
      <c r="A13" s="831" t="s">
        <v>1116</v>
      </c>
      <c r="B13" s="831"/>
      <c r="C13" s="4110"/>
      <c r="D13" s="4111"/>
      <c r="E13" s="4111"/>
      <c r="F13" s="4111"/>
      <c r="G13" s="4111"/>
      <c r="H13" s="4111"/>
      <c r="I13" s="4111"/>
      <c r="J13" s="4112"/>
      <c r="L13" s="827"/>
      <c r="M13" s="6" t="s">
        <v>1286</v>
      </c>
    </row>
    <row r="14" spans="1:13">
      <c r="D14" s="827"/>
      <c r="E14" s="827"/>
      <c r="F14" s="827"/>
      <c r="G14" s="827"/>
      <c r="H14" s="827"/>
      <c r="I14" s="827"/>
      <c r="L14" s="827"/>
    </row>
    <row r="15" spans="1:13">
      <c r="A15" s="831" t="s">
        <v>992</v>
      </c>
      <c r="D15" s="827"/>
      <c r="E15" s="1885"/>
      <c r="F15" s="827"/>
      <c r="H15" s="827"/>
      <c r="J15" s="900">
        <f>+'Input Info'!C8</f>
        <v>45108</v>
      </c>
      <c r="K15" s="892"/>
      <c r="L15" s="893">
        <f>SUM(I17:I23)</f>
        <v>0</v>
      </c>
    </row>
    <row r="16" spans="1:13" ht="25.5">
      <c r="A16" s="898" t="s">
        <v>1262</v>
      </c>
      <c r="C16" s="899" t="s">
        <v>402</v>
      </c>
      <c r="D16" s="827"/>
      <c r="E16" s="1886" t="s">
        <v>2002</v>
      </c>
      <c r="F16" s="827"/>
      <c r="G16" s="1886" t="s">
        <v>2003</v>
      </c>
      <c r="H16" s="827"/>
      <c r="I16" s="1884" t="s">
        <v>1129</v>
      </c>
      <c r="J16" s="892"/>
      <c r="K16" s="892"/>
      <c r="L16" s="893"/>
    </row>
    <row r="17" spans="1:13">
      <c r="A17" s="3023">
        <f>+J15</f>
        <v>45108</v>
      </c>
      <c r="C17" s="3024"/>
      <c r="D17" s="827"/>
      <c r="E17" s="3026"/>
      <c r="F17" s="827"/>
      <c r="G17" s="3026"/>
      <c r="H17" s="827"/>
      <c r="I17" s="3026">
        <f>E17+G17</f>
        <v>0</v>
      </c>
      <c r="J17" s="892"/>
      <c r="K17" s="892"/>
      <c r="L17" s="893"/>
    </row>
    <row r="18" spans="1:13">
      <c r="A18" s="3023"/>
      <c r="C18" s="3025"/>
      <c r="D18" s="827"/>
      <c r="E18" s="3026"/>
      <c r="F18" s="827"/>
      <c r="G18" s="3026"/>
      <c r="H18" s="827"/>
      <c r="I18" s="3026">
        <f t="shared" ref="I18:I23" si="0">E18+G18</f>
        <v>0</v>
      </c>
      <c r="J18" s="892"/>
      <c r="K18" s="892"/>
      <c r="L18" s="893"/>
    </row>
    <row r="19" spans="1:13">
      <c r="A19" s="3023"/>
      <c r="C19" s="3024"/>
      <c r="D19" s="827"/>
      <c r="E19" s="3026"/>
      <c r="F19" s="827"/>
      <c r="G19" s="3026"/>
      <c r="H19" s="827"/>
      <c r="I19" s="3026">
        <f t="shared" si="0"/>
        <v>0</v>
      </c>
      <c r="J19" s="892"/>
      <c r="K19" s="892"/>
      <c r="L19" s="893"/>
    </row>
    <row r="20" spans="1:13">
      <c r="A20" s="3023"/>
      <c r="C20" s="3025"/>
      <c r="D20" s="827"/>
      <c r="E20" s="3026"/>
      <c r="F20" s="827"/>
      <c r="G20" s="3026"/>
      <c r="H20" s="827"/>
      <c r="I20" s="3026">
        <f t="shared" si="0"/>
        <v>0</v>
      </c>
      <c r="J20" s="892"/>
      <c r="K20" s="892"/>
      <c r="L20" s="893"/>
    </row>
    <row r="21" spans="1:13">
      <c r="A21" s="3023"/>
      <c r="C21" s="3025"/>
      <c r="D21" s="827"/>
      <c r="E21" s="3026"/>
      <c r="F21" s="827"/>
      <c r="G21" s="3026"/>
      <c r="H21" s="827"/>
      <c r="I21" s="3026">
        <f t="shared" si="0"/>
        <v>0</v>
      </c>
      <c r="J21" s="892"/>
      <c r="K21" s="892"/>
      <c r="L21" s="893"/>
    </row>
    <row r="22" spans="1:13">
      <c r="A22" s="3023"/>
      <c r="C22" s="3025"/>
      <c r="D22" s="827"/>
      <c r="E22" s="3026"/>
      <c r="F22" s="827"/>
      <c r="G22" s="3026"/>
      <c r="H22" s="827"/>
      <c r="I22" s="3026">
        <f t="shared" si="0"/>
        <v>0</v>
      </c>
      <c r="J22" s="892"/>
      <c r="K22" s="892"/>
      <c r="L22" s="893"/>
    </row>
    <row r="23" spans="1:13">
      <c r="A23" s="3023"/>
      <c r="C23" s="3025"/>
      <c r="D23" s="827"/>
      <c r="E23" s="3026"/>
      <c r="F23" s="827"/>
      <c r="G23" s="3026"/>
      <c r="H23" s="827"/>
      <c r="I23" s="3026">
        <f t="shared" si="0"/>
        <v>0</v>
      </c>
      <c r="J23" s="892"/>
      <c r="K23" s="892"/>
      <c r="L23" s="893"/>
    </row>
    <row r="24" spans="1:13" s="876" customFormat="1">
      <c r="C24" s="877"/>
      <c r="E24" s="877"/>
      <c r="G24" s="877"/>
      <c r="I24" s="877"/>
      <c r="J24" s="894"/>
      <c r="K24" s="894"/>
      <c r="L24" s="895"/>
      <c r="M24" s="1"/>
    </row>
    <row r="25" spans="1:13">
      <c r="A25" s="831" t="s">
        <v>994</v>
      </c>
      <c r="B25" s="831"/>
      <c r="D25" s="831"/>
      <c r="F25" s="1881"/>
      <c r="H25" s="1881"/>
      <c r="J25" s="892"/>
      <c r="K25" s="892"/>
      <c r="L25" s="893">
        <f>SUM(I27:I33)</f>
        <v>0</v>
      </c>
    </row>
    <row r="26" spans="1:13">
      <c r="A26" s="898" t="s">
        <v>1262</v>
      </c>
      <c r="C26" s="899" t="s">
        <v>402</v>
      </c>
      <c r="D26" s="827"/>
      <c r="E26" s="1884" t="s">
        <v>1999</v>
      </c>
      <c r="F26" s="827"/>
      <c r="G26" s="1884" t="s">
        <v>2000</v>
      </c>
      <c r="H26" s="827"/>
      <c r="I26" s="1884" t="s">
        <v>1129</v>
      </c>
      <c r="J26" s="892"/>
      <c r="K26" s="892"/>
      <c r="L26" s="893"/>
    </row>
    <row r="27" spans="1:13">
      <c r="A27" s="3023">
        <f>+J15</f>
        <v>45108</v>
      </c>
      <c r="C27" s="3024" t="str">
        <f>IF(C17="","",C17)</f>
        <v/>
      </c>
      <c r="D27" s="827"/>
      <c r="E27" s="3026"/>
      <c r="F27" s="827"/>
      <c r="G27" s="3026"/>
      <c r="H27" s="827"/>
      <c r="I27" s="3026">
        <f>E27+G27</f>
        <v>0</v>
      </c>
      <c r="J27" s="892"/>
      <c r="K27" s="892"/>
      <c r="L27" s="893"/>
    </row>
    <row r="28" spans="1:13">
      <c r="A28" s="3023"/>
      <c r="C28" s="3024" t="str">
        <f t="shared" ref="C28:C33" si="1">IF(C18="","",C18)</f>
        <v/>
      </c>
      <c r="D28" s="827"/>
      <c r="E28" s="3026"/>
      <c r="F28" s="827"/>
      <c r="G28" s="3026"/>
      <c r="H28" s="827"/>
      <c r="I28" s="3026">
        <f t="shared" ref="I28:I33" si="2">E28+G28</f>
        <v>0</v>
      </c>
      <c r="J28" s="892"/>
      <c r="K28" s="892"/>
      <c r="L28" s="893"/>
    </row>
    <row r="29" spans="1:13">
      <c r="A29" s="3023"/>
      <c r="C29" s="3024" t="str">
        <f t="shared" si="1"/>
        <v/>
      </c>
      <c r="D29" s="827"/>
      <c r="E29" s="3026"/>
      <c r="F29" s="827"/>
      <c r="G29" s="3026"/>
      <c r="H29" s="827"/>
      <c r="I29" s="3026">
        <f t="shared" si="2"/>
        <v>0</v>
      </c>
      <c r="J29" s="892"/>
      <c r="K29" s="892"/>
      <c r="L29" s="893"/>
    </row>
    <row r="30" spans="1:13">
      <c r="A30" s="3023"/>
      <c r="C30" s="3024" t="str">
        <f t="shared" si="1"/>
        <v/>
      </c>
      <c r="D30" s="827"/>
      <c r="E30" s="3026"/>
      <c r="F30" s="827"/>
      <c r="G30" s="3026"/>
      <c r="H30" s="827"/>
      <c r="I30" s="3026">
        <f t="shared" si="2"/>
        <v>0</v>
      </c>
      <c r="J30" s="892"/>
      <c r="K30" s="892"/>
      <c r="L30" s="893"/>
    </row>
    <row r="31" spans="1:13">
      <c r="A31" s="3023"/>
      <c r="C31" s="3024" t="str">
        <f t="shared" si="1"/>
        <v/>
      </c>
      <c r="D31" s="827"/>
      <c r="E31" s="3026"/>
      <c r="F31" s="827"/>
      <c r="G31" s="3026"/>
      <c r="H31" s="827"/>
      <c r="I31" s="3026">
        <f t="shared" si="2"/>
        <v>0</v>
      </c>
      <c r="J31" s="892"/>
      <c r="K31" s="892"/>
      <c r="L31" s="893"/>
    </row>
    <row r="32" spans="1:13">
      <c r="A32" s="3023"/>
      <c r="C32" s="3024" t="str">
        <f t="shared" si="1"/>
        <v/>
      </c>
      <c r="D32" s="827"/>
      <c r="E32" s="3026"/>
      <c r="F32" s="827"/>
      <c r="G32" s="3026"/>
      <c r="H32" s="827"/>
      <c r="I32" s="3026">
        <f t="shared" si="2"/>
        <v>0</v>
      </c>
      <c r="J32" s="892"/>
      <c r="K32" s="892"/>
      <c r="L32" s="893"/>
    </row>
    <row r="33" spans="1:19">
      <c r="A33" s="3023"/>
      <c r="C33" s="3024" t="str">
        <f t="shared" si="1"/>
        <v/>
      </c>
      <c r="D33" s="827"/>
      <c r="E33" s="3026"/>
      <c r="F33" s="827"/>
      <c r="G33" s="3026"/>
      <c r="H33" s="827"/>
      <c r="I33" s="3026">
        <f t="shared" si="2"/>
        <v>0</v>
      </c>
      <c r="J33" s="892"/>
      <c r="K33" s="892"/>
      <c r="L33" s="893"/>
    </row>
    <row r="34" spans="1:19" s="876" customFormat="1">
      <c r="C34" s="877"/>
      <c r="E34" s="877"/>
      <c r="G34" s="877"/>
      <c r="I34" s="877"/>
      <c r="J34" s="894"/>
      <c r="K34" s="894"/>
      <c r="L34" s="895"/>
      <c r="M34" s="1"/>
    </row>
    <row r="35" spans="1:19">
      <c r="A35" s="831" t="s">
        <v>993</v>
      </c>
      <c r="D35" s="827"/>
      <c r="F35" s="827"/>
      <c r="H35" s="827"/>
      <c r="J35" s="892"/>
      <c r="K35" s="892"/>
      <c r="L35" s="893">
        <f>SUM(I37:I43)*-1</f>
        <v>0</v>
      </c>
    </row>
    <row r="36" spans="1:19">
      <c r="A36" s="898" t="s">
        <v>1262</v>
      </c>
      <c r="C36" s="899" t="s">
        <v>402</v>
      </c>
      <c r="D36" s="827"/>
      <c r="E36" s="1884" t="s">
        <v>1217</v>
      </c>
      <c r="F36" s="827"/>
      <c r="G36" s="1884" t="s">
        <v>2001</v>
      </c>
      <c r="H36" s="827"/>
      <c r="I36" s="1884" t="s">
        <v>1129</v>
      </c>
      <c r="J36" s="892"/>
      <c r="K36" s="892"/>
      <c r="L36" s="893"/>
    </row>
    <row r="37" spans="1:19">
      <c r="A37" s="3023">
        <f>+J15</f>
        <v>45108</v>
      </c>
      <c r="C37" s="3024" t="str">
        <f>IF(C17="","",C17)</f>
        <v/>
      </c>
      <c r="D37" s="827"/>
      <c r="E37" s="3026"/>
      <c r="F37" s="827"/>
      <c r="G37" s="3026"/>
      <c r="H37" s="827"/>
      <c r="I37" s="3026">
        <f>E37+G37</f>
        <v>0</v>
      </c>
      <c r="J37" s="892"/>
      <c r="K37" s="892"/>
      <c r="L37" s="893"/>
    </row>
    <row r="38" spans="1:19">
      <c r="A38" s="3023"/>
      <c r="C38" s="3024" t="str">
        <f t="shared" ref="C38:C43" si="3">IF(C18="","",C18)</f>
        <v/>
      </c>
      <c r="D38" s="827"/>
      <c r="E38" s="3026"/>
      <c r="F38" s="827"/>
      <c r="G38" s="3026"/>
      <c r="H38" s="827"/>
      <c r="I38" s="3026">
        <f t="shared" ref="I38:I43" si="4">E38+G38</f>
        <v>0</v>
      </c>
      <c r="J38" s="892"/>
      <c r="K38" s="892"/>
      <c r="L38" s="893"/>
      <c r="S38" s="825"/>
    </row>
    <row r="39" spans="1:19">
      <c r="A39" s="3023"/>
      <c r="C39" s="3024" t="str">
        <f t="shared" si="3"/>
        <v/>
      </c>
      <c r="D39" s="827"/>
      <c r="E39" s="3026"/>
      <c r="F39" s="827"/>
      <c r="G39" s="3026"/>
      <c r="H39" s="827"/>
      <c r="I39" s="3026">
        <f t="shared" si="4"/>
        <v>0</v>
      </c>
      <c r="J39" s="892"/>
      <c r="K39" s="892"/>
      <c r="L39" s="893"/>
    </row>
    <row r="40" spans="1:19">
      <c r="A40" s="3023"/>
      <c r="C40" s="3024" t="str">
        <f t="shared" si="3"/>
        <v/>
      </c>
      <c r="D40" s="827"/>
      <c r="E40" s="3026"/>
      <c r="F40" s="827"/>
      <c r="G40" s="3026"/>
      <c r="H40" s="827"/>
      <c r="I40" s="3026">
        <f t="shared" si="4"/>
        <v>0</v>
      </c>
      <c r="J40" s="892"/>
      <c r="K40" s="892"/>
      <c r="L40" s="893"/>
    </row>
    <row r="41" spans="1:19">
      <c r="A41" s="3023"/>
      <c r="C41" s="3024" t="str">
        <f t="shared" si="3"/>
        <v/>
      </c>
      <c r="D41" s="827"/>
      <c r="E41" s="3026"/>
      <c r="F41" s="827"/>
      <c r="G41" s="3026"/>
      <c r="H41" s="827"/>
      <c r="I41" s="3026">
        <f t="shared" si="4"/>
        <v>0</v>
      </c>
      <c r="J41" s="892"/>
      <c r="K41" s="892"/>
      <c r="L41" s="893"/>
    </row>
    <row r="42" spans="1:19">
      <c r="A42" s="3023"/>
      <c r="C42" s="3024" t="str">
        <f t="shared" si="3"/>
        <v/>
      </c>
      <c r="D42" s="827"/>
      <c r="E42" s="3026"/>
      <c r="F42" s="827"/>
      <c r="G42" s="3026"/>
      <c r="H42" s="827"/>
      <c r="I42" s="3026">
        <f t="shared" si="4"/>
        <v>0</v>
      </c>
      <c r="J42" s="892"/>
      <c r="K42" s="892"/>
      <c r="L42" s="893"/>
    </row>
    <row r="43" spans="1:19">
      <c r="A43" s="3023"/>
      <c r="C43" s="3024" t="str">
        <f t="shared" si="3"/>
        <v/>
      </c>
      <c r="D43" s="827"/>
      <c r="E43" s="3026"/>
      <c r="F43" s="827"/>
      <c r="G43" s="3026"/>
      <c r="H43" s="827"/>
      <c r="I43" s="3026">
        <f t="shared" si="4"/>
        <v>0</v>
      </c>
      <c r="J43" s="892"/>
      <c r="K43" s="892"/>
      <c r="L43" s="893"/>
    </row>
    <row r="44" spans="1:19" s="876" customFormat="1">
      <c r="C44" s="877"/>
      <c r="E44" s="877"/>
      <c r="G44" s="877"/>
      <c r="I44" s="877"/>
      <c r="J44" s="894"/>
      <c r="K44" s="894"/>
      <c r="L44" s="895"/>
      <c r="M44" s="1"/>
    </row>
    <row r="45" spans="1:19" ht="13.5" thickBot="1">
      <c r="A45" s="831" t="s">
        <v>399</v>
      </c>
      <c r="D45" s="827"/>
      <c r="F45" s="827"/>
      <c r="H45" s="827"/>
      <c r="J45" s="901">
        <f>+'Input Info'!F8</f>
        <v>45473</v>
      </c>
      <c r="K45" s="892"/>
      <c r="L45" s="897">
        <f>SUM(L15:L44)</f>
        <v>0</v>
      </c>
    </row>
    <row r="46" spans="1:19" ht="13.5" thickTop="1">
      <c r="D46" s="827"/>
      <c r="F46" s="827"/>
      <c r="H46" s="827"/>
      <c r="J46" s="892"/>
      <c r="K46" s="892"/>
      <c r="L46" s="893"/>
    </row>
    <row r="47" spans="1:19">
      <c r="A47" s="831" t="s">
        <v>400</v>
      </c>
      <c r="D47" s="827"/>
      <c r="F47" s="827"/>
      <c r="H47" s="827"/>
      <c r="J47" s="892"/>
      <c r="K47" s="892"/>
      <c r="L47" s="893"/>
    </row>
    <row r="48" spans="1:19" ht="25.5">
      <c r="A48" s="898" t="s">
        <v>1262</v>
      </c>
      <c r="C48" s="899" t="s">
        <v>402</v>
      </c>
      <c r="D48" s="827"/>
      <c r="E48" s="1886" t="s">
        <v>2002</v>
      </c>
      <c r="F48" s="827"/>
      <c r="G48" s="1886" t="s">
        <v>2003</v>
      </c>
      <c r="H48" s="827"/>
      <c r="I48" s="1884" t="s">
        <v>1129</v>
      </c>
      <c r="J48" s="892"/>
      <c r="K48" s="892"/>
      <c r="L48" s="893"/>
    </row>
    <row r="49" spans="1:12">
      <c r="A49" s="3023">
        <f>+J45</f>
        <v>45473</v>
      </c>
      <c r="C49" s="3024" t="str">
        <f>IF(C17="","",C17)</f>
        <v/>
      </c>
      <c r="D49" s="827"/>
      <c r="E49" s="3026">
        <f>(SUMIF($C$17:$C$23,C49,E$17:E$23))+(SUMIF($C$27:$C$33,C49,$E$27:$E$33))-(SUMIF($C$37:$C$43,C49,($E$37:$E$43)))</f>
        <v>0</v>
      </c>
      <c r="F49" s="827"/>
      <c r="G49" s="3026">
        <f>(SUMIF($C$17:$C$23,C49,G$17:G$23))+(SUMIF($C$27:$C$33,C49,$G$27:$G$33))-(SUMIF($C$37:$C$43,C49,($G$37:$G$43)))</f>
        <v>0</v>
      </c>
      <c r="H49" s="827"/>
      <c r="I49" s="3026">
        <f>(SUMIF($C$17:$C$23,C49,I$17:I$23))+(SUMIF($C$27:$C$33,C49,$I$27:$I$33))-(SUMIF($C$37:$C$43,C49,($I$37:$I$43)))</f>
        <v>0</v>
      </c>
      <c r="J49" s="892"/>
      <c r="K49" s="892"/>
      <c r="L49" s="893"/>
    </row>
    <row r="50" spans="1:12">
      <c r="A50" s="3023"/>
      <c r="C50" s="3024" t="str">
        <f t="shared" ref="C50:C55" si="5">IF(C18="","",C18)</f>
        <v/>
      </c>
      <c r="D50" s="827"/>
      <c r="E50" s="3026">
        <f t="shared" ref="E50:E55" si="6">(SUMIF($C$17:$C$23,C50,E$17:E$23))+(SUMIF($C$27:$C$33,C50,$E$27:$E$33))-(SUMIF($C$37:$C$43,C50,($E$37:$E$43)))</f>
        <v>0</v>
      </c>
      <c r="F50" s="827"/>
      <c r="G50" s="3026">
        <f t="shared" ref="G50:G55" si="7">(SUMIF($C$17:$C$23,C50,G$17:G$23))+(SUMIF($C$27:$C$33,C50,$G$27:$G$33))-(SUMIF($C$37:$C$43,C50,($G$37:$G$43)))</f>
        <v>0</v>
      </c>
      <c r="H50" s="827"/>
      <c r="I50" s="3026">
        <f t="shared" ref="I50:I55" si="8">(SUMIF($C$17:$C$23,E50,I$17:I$23))+(SUMIF($C$27:$C$33,E50,$G$27:$G$33))-(SUMIF($C$37:$C$43,E50,($G$37:$G$43)))</f>
        <v>0</v>
      </c>
      <c r="J50" s="892"/>
      <c r="K50" s="892"/>
      <c r="L50" s="893"/>
    </row>
    <row r="51" spans="1:12">
      <c r="A51" s="3023"/>
      <c r="C51" s="3024" t="str">
        <f t="shared" si="5"/>
        <v/>
      </c>
      <c r="D51" s="827"/>
      <c r="E51" s="3026">
        <f t="shared" si="6"/>
        <v>0</v>
      </c>
      <c r="F51" s="827"/>
      <c r="G51" s="3026">
        <f t="shared" si="7"/>
        <v>0</v>
      </c>
      <c r="H51" s="827"/>
      <c r="I51" s="3026">
        <f t="shared" si="8"/>
        <v>0</v>
      </c>
      <c r="J51" s="892"/>
      <c r="K51" s="892"/>
      <c r="L51" s="893"/>
    </row>
    <row r="52" spans="1:12">
      <c r="A52" s="3023"/>
      <c r="C52" s="3024" t="str">
        <f t="shared" si="5"/>
        <v/>
      </c>
      <c r="D52" s="827"/>
      <c r="E52" s="3026">
        <f t="shared" si="6"/>
        <v>0</v>
      </c>
      <c r="F52" s="827"/>
      <c r="G52" s="3026">
        <f t="shared" si="7"/>
        <v>0</v>
      </c>
      <c r="H52" s="827"/>
      <c r="I52" s="3026">
        <f t="shared" si="8"/>
        <v>0</v>
      </c>
      <c r="J52" s="892"/>
      <c r="K52" s="892"/>
      <c r="L52" s="893"/>
    </row>
    <row r="53" spans="1:12">
      <c r="A53" s="3023"/>
      <c r="C53" s="3024" t="str">
        <f t="shared" si="5"/>
        <v/>
      </c>
      <c r="D53" s="827"/>
      <c r="E53" s="3026">
        <f t="shared" si="6"/>
        <v>0</v>
      </c>
      <c r="F53" s="827"/>
      <c r="G53" s="3026">
        <f t="shared" si="7"/>
        <v>0</v>
      </c>
      <c r="H53" s="827"/>
      <c r="I53" s="3026">
        <f>(SUMIF($C$17:$C$23,E53,I$17:I$23))+(SUMIF($C$27:$C$33,E53,$G$27:$G$33))-(SUMIF($C$37:$C$43,E53,($G$37:$G$43)))</f>
        <v>0</v>
      </c>
      <c r="J53" s="892"/>
      <c r="K53" s="892"/>
      <c r="L53" s="893"/>
    </row>
    <row r="54" spans="1:12">
      <c r="A54" s="3023"/>
      <c r="C54" s="3024" t="str">
        <f t="shared" si="5"/>
        <v/>
      </c>
      <c r="D54" s="827"/>
      <c r="E54" s="3026">
        <f t="shared" si="6"/>
        <v>0</v>
      </c>
      <c r="F54" s="827"/>
      <c r="G54" s="3026">
        <f t="shared" si="7"/>
        <v>0</v>
      </c>
      <c r="H54" s="827"/>
      <c r="I54" s="3026">
        <f t="shared" si="8"/>
        <v>0</v>
      </c>
      <c r="J54" s="892"/>
      <c r="K54" s="892"/>
      <c r="L54" s="893"/>
    </row>
    <row r="55" spans="1:12">
      <c r="A55" s="3023"/>
      <c r="C55" s="3024" t="str">
        <f t="shared" si="5"/>
        <v/>
      </c>
      <c r="D55" s="827"/>
      <c r="E55" s="3026">
        <f t="shared" si="6"/>
        <v>0</v>
      </c>
      <c r="F55" s="827"/>
      <c r="G55" s="3026">
        <f t="shared" si="7"/>
        <v>0</v>
      </c>
      <c r="H55" s="827"/>
      <c r="I55" s="3026">
        <f t="shared" si="8"/>
        <v>0</v>
      </c>
      <c r="J55" s="892"/>
      <c r="K55" s="892"/>
      <c r="L55" s="893"/>
    </row>
    <row r="56" spans="1:12">
      <c r="A56" s="876"/>
      <c r="C56" s="877"/>
      <c r="D56" s="876"/>
      <c r="E56" s="877"/>
      <c r="F56" s="876"/>
      <c r="G56" s="877"/>
      <c r="H56" s="876"/>
      <c r="I56" s="877"/>
      <c r="J56" s="894"/>
      <c r="K56" s="894"/>
      <c r="L56" s="895"/>
    </row>
    <row r="57" spans="1:12" ht="13.5" thickBot="1">
      <c r="A57" s="831" t="s">
        <v>401</v>
      </c>
      <c r="D57" s="827"/>
      <c r="F57" s="827"/>
      <c r="H57" s="827"/>
      <c r="J57" s="896"/>
      <c r="K57" s="892"/>
      <c r="L57" s="897">
        <f>SUM(G49:G55)</f>
        <v>0</v>
      </c>
    </row>
    <row r="58" spans="1:12" ht="13.5" thickTop="1">
      <c r="B58" s="876"/>
      <c r="D58" s="827"/>
      <c r="F58" s="827"/>
      <c r="H58" s="827"/>
    </row>
    <row r="59" spans="1:12">
      <c r="A59" s="880" t="s">
        <v>1230</v>
      </c>
      <c r="B59" s="881"/>
      <c r="C59" s="882"/>
      <c r="D59" s="881"/>
      <c r="E59" s="882"/>
      <c r="F59" s="1883"/>
      <c r="G59" s="882"/>
      <c r="H59" s="1883"/>
      <c r="I59" s="882"/>
      <c r="J59" s="881"/>
      <c r="K59" s="881"/>
      <c r="L59" s="883"/>
    </row>
    <row r="60" spans="1:12">
      <c r="A60" s="884"/>
      <c r="B60" s="878"/>
      <c r="C60" s="879"/>
      <c r="D60" s="878"/>
      <c r="E60" s="879"/>
      <c r="F60" s="878"/>
      <c r="G60" s="879"/>
      <c r="H60" s="878"/>
      <c r="I60" s="879"/>
      <c r="J60" s="878"/>
      <c r="K60" s="878"/>
      <c r="L60" s="885"/>
    </row>
    <row r="61" spans="1:12">
      <c r="A61" s="884" t="s">
        <v>1227</v>
      </c>
      <c r="B61" s="878"/>
      <c r="C61" s="879"/>
      <c r="D61" s="878"/>
      <c r="E61" s="879"/>
      <c r="F61" s="878"/>
      <c r="G61" s="879"/>
      <c r="H61" s="878"/>
      <c r="I61" s="879"/>
      <c r="J61" s="878"/>
      <c r="K61" s="878"/>
      <c r="L61" s="890">
        <f>L25</f>
        <v>0</v>
      </c>
    </row>
    <row r="62" spans="1:12">
      <c r="A62" s="884" t="s">
        <v>1228</v>
      </c>
      <c r="B62" s="878"/>
      <c r="C62" s="879"/>
      <c r="D62" s="878"/>
      <c r="E62" s="879"/>
      <c r="F62" s="878"/>
      <c r="G62" s="879"/>
      <c r="H62" s="878"/>
      <c r="I62" s="879"/>
      <c r="J62" s="878"/>
      <c r="K62" s="878"/>
      <c r="L62" s="890">
        <f>L35</f>
        <v>0</v>
      </c>
    </row>
    <row r="63" spans="1:12">
      <c r="A63" s="884"/>
      <c r="B63" s="878"/>
      <c r="C63" s="879"/>
      <c r="D63" s="878"/>
      <c r="E63" s="879"/>
      <c r="F63" s="878"/>
      <c r="G63" s="879"/>
      <c r="H63" s="878"/>
      <c r="I63" s="879"/>
      <c r="J63" s="878"/>
      <c r="K63" s="878"/>
      <c r="L63" s="890"/>
    </row>
    <row r="64" spans="1:12" ht="13.5" thickBot="1">
      <c r="A64" s="834" t="s">
        <v>1231</v>
      </c>
      <c r="B64" s="878"/>
      <c r="C64" s="879"/>
      <c r="D64" s="878"/>
      <c r="E64" s="879"/>
      <c r="F64" s="878"/>
      <c r="G64" s="879"/>
      <c r="H64" s="878"/>
      <c r="I64" s="879"/>
      <c r="J64" s="878"/>
      <c r="K64" s="878"/>
      <c r="L64" s="891">
        <f>SUM(L61:L63)</f>
        <v>0</v>
      </c>
    </row>
    <row r="65" spans="1:12" ht="13.5" thickTop="1">
      <c r="A65" s="886"/>
      <c r="B65" s="887"/>
      <c r="C65" s="888"/>
      <c r="D65" s="887"/>
      <c r="E65" s="888"/>
      <c r="F65" s="887"/>
      <c r="G65" s="888"/>
      <c r="H65" s="887"/>
      <c r="I65" s="888"/>
      <c r="J65" s="887"/>
      <c r="K65" s="887"/>
      <c r="L65" s="889"/>
    </row>
    <row r="66" spans="1:12">
      <c r="D66" s="827"/>
      <c r="F66" s="827"/>
      <c r="H66" s="827"/>
    </row>
    <row r="67" spans="1:12">
      <c r="A67" s="831" t="s">
        <v>172</v>
      </c>
    </row>
    <row r="68" spans="1:12" ht="45" customHeight="1">
      <c r="A68" s="4106"/>
      <c r="B68" s="4107"/>
      <c r="C68" s="4107"/>
      <c r="D68" s="4107"/>
      <c r="E68" s="4107"/>
      <c r="F68" s="4107"/>
      <c r="G68" s="4107"/>
      <c r="H68" s="4107"/>
      <c r="I68" s="4107"/>
      <c r="J68" s="4107"/>
      <c r="K68" s="4107"/>
      <c r="L68" s="4108"/>
    </row>
  </sheetData>
  <customSheetViews>
    <customSheetView guid="{BCBE45D4-3C45-4659-992E-5C5D3E9FD81C}" showGridLines="0" fitToPage="1" hiddenColumns="1" topLeftCell="A7">
      <selection activeCell="M25" sqref="M25"/>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Columns="1">
      <selection activeCell="M25" sqref="M25"/>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4">
    <mergeCell ref="A68:L68"/>
    <mergeCell ref="A8:L8"/>
    <mergeCell ref="K9:L9"/>
    <mergeCell ref="C13:J13"/>
  </mergeCells>
  <phoneticPr fontId="26" type="noConversion"/>
  <hyperlinks>
    <hyperlink ref="K9" location="'WP Index'!E93" display="Back to Workpaper Index" xr:uid="{00000000-0004-0000-3500-000000000000}"/>
    <hyperlink ref="K9:L9" location="WPIndex!A1" display="Back to WP Index" xr:uid="{00000000-0004-0000-3500-000001000000}"/>
  </hyperlinks>
  <printOptions horizontalCentered="1"/>
  <pageMargins left="0.59055118110236227" right="0.43307086614173229" top="0.6692913385826772" bottom="0.94488188976377963" header="0.51181102362204722" footer="0.39370078740157483"/>
  <pageSetup paperSize="9" scale="80" fitToHeight="999" orientation="portrait" blackAndWhite="1" r:id="rId3"/>
  <headerFooter alignWithMargins="0">
    <oddFooter>&amp;L&amp;8© Findex (Aust) Pty Ltd.  All rights reserved.&amp;R&amp;8&amp;P/&amp;N</oddFooter>
  </headerFooter>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TFN_Register_Sheet">
    <tabColor theme="8" tint="0.79998168889431442"/>
    <pageSetUpPr fitToPage="1"/>
  </sheetPr>
  <dimension ref="A1:I33"/>
  <sheetViews>
    <sheetView showGridLines="0" zoomScaleNormal="100" workbookViewId="0">
      <selection sqref="A1:F1"/>
    </sheetView>
  </sheetViews>
  <sheetFormatPr defaultColWidth="11.7109375" defaultRowHeight="12.75"/>
  <cols>
    <col min="1" max="1" width="24.28515625" style="827" customWidth="1"/>
    <col min="2" max="4" width="11.7109375" style="863" customWidth="1"/>
    <col min="5" max="5" width="14.5703125" style="863" customWidth="1"/>
    <col min="6" max="6" width="11.7109375" style="864" customWidth="1"/>
    <col min="7" max="7" width="11.7109375" style="863" customWidth="1"/>
    <col min="8" max="8" width="14.28515625" style="863" customWidth="1"/>
    <col min="9" max="9" width="0.7109375" style="979" hidden="1" customWidth="1"/>
    <col min="10" max="16384" width="11.7109375" style="827"/>
  </cols>
  <sheetData>
    <row r="1" spans="1:9">
      <c r="G1" s="2613" t="s">
        <v>2425</v>
      </c>
      <c r="H1" s="3576" t="s">
        <v>2758</v>
      </c>
    </row>
    <row r="2" spans="1:9" ht="18.75" customHeight="1">
      <c r="A2" s="826"/>
      <c r="B2" s="829"/>
      <c r="C2" s="829"/>
      <c r="D2" s="829"/>
      <c r="E2" s="829"/>
      <c r="F2" s="829"/>
      <c r="G2" s="40"/>
      <c r="H2" s="1"/>
    </row>
    <row r="3" spans="1:9">
      <c r="A3" s="826"/>
      <c r="B3" s="827"/>
      <c r="C3" s="827"/>
      <c r="D3" s="827"/>
      <c r="E3" s="827"/>
      <c r="F3" s="828"/>
      <c r="G3" s="2795" t="s">
        <v>1163</v>
      </c>
      <c r="H3" s="709" t="s">
        <v>1262</v>
      </c>
      <c r="I3" s="1093"/>
    </row>
    <row r="4" spans="1:9" ht="17.25" customHeight="1">
      <c r="A4" s="826"/>
      <c r="B4" s="827"/>
      <c r="C4" s="827"/>
      <c r="D4" s="827"/>
      <c r="E4" s="827"/>
      <c r="F4" s="851" t="s">
        <v>332</v>
      </c>
      <c r="G4" s="2617" t="str">
        <f>IF(PreparedBy="","",PreparedBy)</f>
        <v/>
      </c>
      <c r="H4" s="2618" t="str">
        <f>IF(DatePrepared="","",DatePrepared)</f>
        <v/>
      </c>
      <c r="I4" s="1093"/>
    </row>
    <row r="5" spans="1:9" ht="17.25" customHeight="1">
      <c r="A5" s="826"/>
      <c r="B5" s="827"/>
      <c r="C5" s="827"/>
      <c r="D5" s="827"/>
      <c r="E5" s="827"/>
      <c r="F5" s="851" t="s">
        <v>333</v>
      </c>
      <c r="G5" s="2619"/>
      <c r="H5" s="2620"/>
      <c r="I5" s="1093"/>
    </row>
    <row r="6" spans="1:9" ht="3.95" customHeight="1">
      <c r="A6" s="826"/>
      <c r="B6" s="829"/>
      <c r="C6" s="829"/>
      <c r="D6" s="829"/>
      <c r="E6" s="829"/>
      <c r="F6" s="829"/>
      <c r="G6" s="829"/>
      <c r="H6" s="829"/>
      <c r="I6" s="1093"/>
    </row>
    <row r="7" spans="1:9" ht="15.75">
      <c r="A7" s="1371" t="str">
        <f>'WP Index'!E70</f>
        <v>Closely Held Trusts - TFN Reporting Register</v>
      </c>
      <c r="B7" s="1372"/>
      <c r="C7" s="1372"/>
      <c r="D7" s="1372"/>
      <c r="E7" s="1372"/>
      <c r="F7" s="1372"/>
      <c r="G7" s="1372"/>
      <c r="H7" s="1373"/>
    </row>
    <row r="8" spans="1:9">
      <c r="H8" s="3248" t="s">
        <v>2526</v>
      </c>
    </row>
    <row r="9" spans="1:9" ht="15.75">
      <c r="A9" s="1391" t="str">
        <f>"CLIENT NAME:   "&amp;IF(ClientName="[ENTER CLIENT NAME]","",ClientName)</f>
        <v>CLIENT NAME:   Example Trust</v>
      </c>
    </row>
    <row r="10" spans="1:9">
      <c r="A10" s="831" t="str">
        <f>"CLIENT CODE:   "&amp;'WP Index'!E4</f>
        <v>CLIENT CODE:   99999</v>
      </c>
      <c r="G10" s="853" t="s">
        <v>951</v>
      </c>
      <c r="H10" s="865">
        <f>'Input Info'!F8</f>
        <v>45473</v>
      </c>
    </row>
    <row r="12" spans="1:9">
      <c r="I12" s="1116" t="s">
        <v>1286</v>
      </c>
    </row>
    <row r="13" spans="1:9" s="831" customFormat="1" ht="38.25">
      <c r="A13" s="1388" t="s">
        <v>1640</v>
      </c>
      <c r="B13" s="1386" t="s">
        <v>1641</v>
      </c>
      <c r="C13" s="1386" t="s">
        <v>50</v>
      </c>
      <c r="D13" s="1386" t="s">
        <v>1642</v>
      </c>
      <c r="E13" s="1387" t="s">
        <v>1643</v>
      </c>
      <c r="F13" s="1386" t="s">
        <v>1644</v>
      </c>
      <c r="G13" s="1386" t="s">
        <v>1645</v>
      </c>
      <c r="H13" s="1389" t="s">
        <v>1646</v>
      </c>
      <c r="I13" s="1099"/>
    </row>
    <row r="14" spans="1:9" ht="22.5" customHeight="1">
      <c r="A14" s="1374"/>
      <c r="B14" s="1472"/>
      <c r="C14" s="1375"/>
      <c r="D14" s="1469"/>
      <c r="E14" s="1469"/>
      <c r="F14" s="1376"/>
      <c r="G14" s="1475"/>
      <c r="H14" s="1377"/>
    </row>
    <row r="15" spans="1:9" ht="22.5" customHeight="1">
      <c r="A15" s="1378"/>
      <c r="B15" s="1473"/>
      <c r="C15" s="1379"/>
      <c r="D15" s="1470"/>
      <c r="E15" s="1470"/>
      <c r="F15" s="1380"/>
      <c r="G15" s="1476"/>
      <c r="H15" s="1381"/>
    </row>
    <row r="16" spans="1:9" ht="22.5" customHeight="1">
      <c r="A16" s="1378"/>
      <c r="B16" s="1473"/>
      <c r="C16" s="1379"/>
      <c r="D16" s="1470"/>
      <c r="E16" s="1470"/>
      <c r="F16" s="1380"/>
      <c r="G16" s="1476"/>
      <c r="H16" s="1381"/>
    </row>
    <row r="17" spans="1:8" ht="22.5" customHeight="1">
      <c r="A17" s="1378"/>
      <c r="B17" s="1473"/>
      <c r="C17" s="1379"/>
      <c r="D17" s="1470"/>
      <c r="E17" s="1470"/>
      <c r="F17" s="1380"/>
      <c r="G17" s="1476"/>
      <c r="H17" s="1381"/>
    </row>
    <row r="18" spans="1:8" ht="22.5" customHeight="1">
      <c r="A18" s="1378"/>
      <c r="B18" s="1473"/>
      <c r="C18" s="1379"/>
      <c r="D18" s="1470"/>
      <c r="E18" s="1470"/>
      <c r="F18" s="1380"/>
      <c r="G18" s="1476"/>
      <c r="H18" s="1381"/>
    </row>
    <row r="19" spans="1:8" ht="22.5" customHeight="1">
      <c r="A19" s="1378"/>
      <c r="B19" s="1473"/>
      <c r="C19" s="1379"/>
      <c r="D19" s="1470"/>
      <c r="E19" s="1470"/>
      <c r="F19" s="1380"/>
      <c r="G19" s="1476"/>
      <c r="H19" s="1381"/>
    </row>
    <row r="20" spans="1:8" ht="22.5" customHeight="1">
      <c r="A20" s="1378"/>
      <c r="B20" s="1473"/>
      <c r="C20" s="1379"/>
      <c r="D20" s="1470"/>
      <c r="E20" s="1470"/>
      <c r="F20" s="1380"/>
      <c r="G20" s="1476"/>
      <c r="H20" s="1381"/>
    </row>
    <row r="21" spans="1:8" ht="22.5" customHeight="1">
      <c r="A21" s="1378"/>
      <c r="B21" s="1473"/>
      <c r="C21" s="1379"/>
      <c r="D21" s="1470"/>
      <c r="E21" s="1470"/>
      <c r="F21" s="1380"/>
      <c r="G21" s="1476"/>
      <c r="H21" s="1381"/>
    </row>
    <row r="22" spans="1:8" ht="22.5" customHeight="1">
      <c r="A22" s="1378"/>
      <c r="B22" s="1473"/>
      <c r="C22" s="1379"/>
      <c r="D22" s="1470"/>
      <c r="E22" s="1470"/>
      <c r="F22" s="1380"/>
      <c r="G22" s="1476"/>
      <c r="H22" s="1381"/>
    </row>
    <row r="23" spans="1:8" ht="22.5" customHeight="1">
      <c r="A23" s="1378"/>
      <c r="B23" s="1473"/>
      <c r="C23" s="1379"/>
      <c r="D23" s="1470"/>
      <c r="E23" s="1470"/>
      <c r="F23" s="1380"/>
      <c r="G23" s="1476"/>
      <c r="H23" s="1381"/>
    </row>
    <row r="24" spans="1:8" ht="22.5" customHeight="1">
      <c r="A24" s="1378"/>
      <c r="B24" s="1473"/>
      <c r="C24" s="1379"/>
      <c r="D24" s="1470"/>
      <c r="E24" s="1470"/>
      <c r="F24" s="1380"/>
      <c r="G24" s="1476"/>
      <c r="H24" s="1381"/>
    </row>
    <row r="25" spans="1:8" ht="22.5" customHeight="1">
      <c r="A25" s="1378"/>
      <c r="B25" s="1473"/>
      <c r="C25" s="1379"/>
      <c r="D25" s="1470"/>
      <c r="E25" s="1470"/>
      <c r="F25" s="1380"/>
      <c r="G25" s="1476"/>
      <c r="H25" s="1381"/>
    </row>
    <row r="26" spans="1:8" ht="22.5" customHeight="1">
      <c r="A26" s="1378"/>
      <c r="B26" s="1473"/>
      <c r="C26" s="1379"/>
      <c r="D26" s="1470"/>
      <c r="E26" s="1470"/>
      <c r="F26" s="1380"/>
      <c r="G26" s="1476"/>
      <c r="H26" s="1381"/>
    </row>
    <row r="27" spans="1:8" ht="22.5" customHeight="1">
      <c r="A27" s="1378"/>
      <c r="B27" s="1473"/>
      <c r="C27" s="1379"/>
      <c r="D27" s="1470"/>
      <c r="E27" s="1470"/>
      <c r="F27" s="1380"/>
      <c r="G27" s="1476"/>
      <c r="H27" s="1381"/>
    </row>
    <row r="28" spans="1:8" ht="22.5" customHeight="1">
      <c r="A28" s="1378"/>
      <c r="B28" s="1473"/>
      <c r="C28" s="1379"/>
      <c r="D28" s="1470"/>
      <c r="E28" s="1470"/>
      <c r="F28" s="1380"/>
      <c r="G28" s="1476"/>
      <c r="H28" s="1381"/>
    </row>
    <row r="29" spans="1:8" ht="22.5" customHeight="1">
      <c r="A29" s="1378"/>
      <c r="B29" s="1473"/>
      <c r="C29" s="1379"/>
      <c r="D29" s="1470"/>
      <c r="E29" s="1470"/>
      <c r="F29" s="1380"/>
      <c r="G29" s="1476"/>
      <c r="H29" s="1381"/>
    </row>
    <row r="30" spans="1:8" ht="22.5" customHeight="1">
      <c r="A30" s="1378"/>
      <c r="B30" s="1473"/>
      <c r="C30" s="1379"/>
      <c r="D30" s="1470"/>
      <c r="E30" s="1470"/>
      <c r="F30" s="1380"/>
      <c r="G30" s="1476"/>
      <c r="H30" s="1381"/>
    </row>
    <row r="31" spans="1:8" ht="22.5" customHeight="1">
      <c r="A31" s="1378"/>
      <c r="B31" s="1473"/>
      <c r="C31" s="1379"/>
      <c r="D31" s="1470"/>
      <c r="E31" s="1470"/>
      <c r="F31" s="1380"/>
      <c r="G31" s="1476"/>
      <c r="H31" s="1381"/>
    </row>
    <row r="32" spans="1:8" ht="22.5" customHeight="1">
      <c r="A32" s="1378"/>
      <c r="B32" s="1473"/>
      <c r="C32" s="1379"/>
      <c r="D32" s="1470"/>
      <c r="E32" s="1470"/>
      <c r="F32" s="1380"/>
      <c r="G32" s="1476"/>
      <c r="H32" s="1381"/>
    </row>
    <row r="33" spans="1:8" ht="22.5" customHeight="1">
      <c r="A33" s="1382"/>
      <c r="B33" s="1474"/>
      <c r="C33" s="1383"/>
      <c r="D33" s="1471"/>
      <c r="E33" s="1471"/>
      <c r="F33" s="1384"/>
      <c r="G33" s="1477"/>
      <c r="H33" s="1385"/>
    </row>
  </sheetData>
  <customSheetViews>
    <customSheetView guid="{BCBE45D4-3C45-4659-992E-5C5D3E9FD81C}" showGridLines="0" fitToPage="1" hiddenColumns="1" state="hidden">
      <selection activeCell="L14" sqref="L14"/>
      <pageMargins left="0.59055118110236227" right="0.43307086614173229" top="0.6692913385826772" bottom="0.94488188976377963" header="0.51181102362204722" footer="0.39370078740157483"/>
      <printOptions horizontalCentered="1"/>
      <pageSetup paperSize="9" scale="83" fitToHeight="999" orientation="portrait" blackAndWhite="1" r:id="rId1"/>
      <headerFooter alignWithMargins="0">
        <oddFooter>&amp;L&amp;8Copyright Crowe Horwath (Aust) Ltd 2016.  All rights reserved.
&amp;Z&amp;F[&amp;A]&amp;R&amp;8&amp;P/&amp;N</oddFooter>
      </headerFooter>
    </customSheetView>
    <customSheetView guid="{C24F3A9E-A8AA-4925-82D2-3EFABA416C15}" showGridLines="0" fitToPage="1" hiddenColumns="1" state="hidden">
      <selection activeCell="L14" sqref="L14"/>
      <pageMargins left="0.59055118110236227" right="0.43307086614173229" top="0.6692913385826772" bottom="0.94488188976377963" header="0.51181102362204722" footer="0.39370078740157483"/>
      <printOptions horizontalCentered="1"/>
      <pageSetup paperSize="9" scale="83" fitToHeight="999" orientation="portrait" blackAndWhite="1" r:id="rId2"/>
      <headerFooter alignWithMargins="0">
        <oddFooter>&amp;L&amp;8Copyright Crowe Horwath (Aust) Ltd 2016.  All rights reserved.
&amp;Z&amp;F[&amp;A]&amp;R&amp;8&amp;P/&amp;N</oddFooter>
      </headerFooter>
    </customSheetView>
  </customSheetViews>
  <conditionalFormatting sqref="I153">
    <cfRule type="expression" dxfId="7" priority="1" stopIfTrue="1">
      <formula>SUM($153:$153)=0</formula>
    </cfRule>
  </conditionalFormatting>
  <hyperlinks>
    <hyperlink ref="A9" location="ClientName" display="ClientName" xr:uid="{00000000-0004-0000-3600-000001000000}"/>
    <hyperlink ref="H8" location="'WPIndex'!A1" display="Back to Workpaper Index" xr:uid="{4125128C-E60C-4100-A2D2-65C2A8D6C939}"/>
  </hyperlinks>
  <printOptions horizontalCentered="1"/>
  <pageMargins left="0.59055118110236227" right="0.43307086614173229" top="0.6692913385826772" bottom="0.94488188976377963" header="0.51181102362204722" footer="0.39370078740157483"/>
  <pageSetup paperSize="9" scale="83" fitToHeight="999" orientation="portrait" blackAndWhite="1" r:id="rId3"/>
  <headerFooter alignWithMargins="0">
    <oddFooter>&amp;L&amp;8© Findex (Aust) Pty Ltd.  All rights reserved.&amp;R&amp;8&amp;P/&amp;N</oddFooter>
  </headerFooter>
  <drawing r:id="rId4"/>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ATO_Benchmark_Sheet">
    <tabColor theme="8" tint="0.79998168889431442"/>
  </sheetPr>
  <dimension ref="A1:I49"/>
  <sheetViews>
    <sheetView showGridLines="0" zoomScaleNormal="100" workbookViewId="0">
      <selection sqref="A1:F1"/>
    </sheetView>
  </sheetViews>
  <sheetFormatPr defaultColWidth="11.7109375" defaultRowHeight="12.75"/>
  <cols>
    <col min="1" max="1" width="11.7109375" style="827" customWidth="1"/>
    <col min="2" max="5" width="11.7109375" style="863" customWidth="1"/>
    <col min="6" max="6" width="11.7109375" style="864" customWidth="1"/>
    <col min="7" max="8" width="11.7109375" style="863" customWidth="1"/>
    <col min="9" max="9" width="8.28515625" style="1" hidden="1" customWidth="1"/>
    <col min="10" max="16384" width="11.7109375" style="827"/>
  </cols>
  <sheetData>
    <row r="1" spans="1:9">
      <c r="G1" s="2613" t="s">
        <v>2425</v>
      </c>
      <c r="H1" s="3576" t="s">
        <v>2758</v>
      </c>
    </row>
    <row r="2" spans="1:9" ht="18.75" customHeight="1">
      <c r="A2" s="826"/>
      <c r="B2" s="829"/>
      <c r="C2" s="829"/>
      <c r="D2" s="829"/>
      <c r="E2" s="829"/>
      <c r="F2" s="829"/>
      <c r="G2" s="71" t="s">
        <v>2426</v>
      </c>
      <c r="H2" s="2621"/>
    </row>
    <row r="3" spans="1:9" ht="18.75" customHeight="1">
      <c r="A3" s="826"/>
      <c r="B3" s="829"/>
      <c r="C3" s="829"/>
      <c r="D3" s="829"/>
      <c r="E3" s="829"/>
      <c r="F3" s="829"/>
      <c r="G3" s="40"/>
      <c r="H3" s="1"/>
    </row>
    <row r="4" spans="1:9">
      <c r="A4" s="826"/>
      <c r="B4" s="827"/>
      <c r="C4" s="827"/>
      <c r="D4" s="827"/>
      <c r="E4" s="827"/>
      <c r="F4" s="828"/>
      <c r="G4" s="2795" t="s">
        <v>1163</v>
      </c>
      <c r="H4" s="709" t="s">
        <v>1262</v>
      </c>
      <c r="I4" s="32"/>
    </row>
    <row r="5" spans="1:9" ht="17.25" customHeight="1">
      <c r="A5" s="826"/>
      <c r="B5" s="827"/>
      <c r="C5" s="827"/>
      <c r="D5" s="827"/>
      <c r="E5" s="827"/>
      <c r="F5" s="851" t="s">
        <v>332</v>
      </c>
      <c r="G5" s="2617" t="str">
        <f>IF(PreparedBy="","",PreparedBy)</f>
        <v/>
      </c>
      <c r="H5" s="2618" t="str">
        <f>IF(DatePrepared="","",DatePrepared)</f>
        <v/>
      </c>
      <c r="I5" s="32"/>
    </row>
    <row r="6" spans="1:9" ht="17.25" customHeight="1">
      <c r="A6" s="826"/>
      <c r="B6" s="827"/>
      <c r="C6" s="827"/>
      <c r="D6" s="827"/>
      <c r="E6" s="827"/>
      <c r="F6" s="851" t="s">
        <v>333</v>
      </c>
      <c r="G6" s="2619"/>
      <c r="H6" s="2620"/>
      <c r="I6" s="32"/>
    </row>
    <row r="7" spans="1:9" ht="3.95" customHeight="1">
      <c r="A7" s="826"/>
      <c r="B7" s="829"/>
      <c r="C7" s="829"/>
      <c r="D7" s="829"/>
      <c r="E7" s="829"/>
      <c r="F7" s="829"/>
      <c r="G7" s="829"/>
      <c r="H7" s="829"/>
      <c r="I7" s="32"/>
    </row>
    <row r="8" spans="1:9" ht="15.75">
      <c r="A8" s="1371" t="s">
        <v>1749</v>
      </c>
      <c r="B8" s="1372"/>
      <c r="C8" s="1372"/>
      <c r="D8" s="1372"/>
      <c r="E8" s="1372"/>
      <c r="F8" s="1372"/>
      <c r="G8" s="1372"/>
      <c r="H8" s="1373"/>
    </row>
    <row r="9" spans="1:9">
      <c r="H9" s="3248" t="s">
        <v>2526</v>
      </c>
    </row>
    <row r="10" spans="1:9" ht="15.75">
      <c r="A10" s="1167" t="str">
        <f>"CLIENT NAME:   "&amp;IF(ClientName="[ENTER CLIENT NAME]","",ClientName)</f>
        <v>CLIENT NAME:   Example Trust</v>
      </c>
    </row>
    <row r="11" spans="1:9">
      <c r="A11" s="831" t="str">
        <f>"CLIENT CODE:   "&amp;'WP Index'!E4</f>
        <v>CLIENT CODE:   99999</v>
      </c>
      <c r="G11" s="853" t="s">
        <v>951</v>
      </c>
      <c r="H11" s="865">
        <f>'Input Info'!F8</f>
        <v>45473</v>
      </c>
    </row>
    <row r="13" spans="1:9">
      <c r="I13" s="6" t="s">
        <v>1286</v>
      </c>
    </row>
    <row r="14" spans="1:9">
      <c r="A14" s="1363" t="s">
        <v>1750</v>
      </c>
      <c r="C14" s="4113"/>
      <c r="D14" s="4114"/>
      <c r="E14" s="4115"/>
    </row>
    <row r="15" spans="1:9">
      <c r="A15" s="970" t="s">
        <v>2043</v>
      </c>
    </row>
    <row r="17" spans="1:5">
      <c r="A17" s="1363" t="s">
        <v>1751</v>
      </c>
      <c r="C17" s="1358" t="s">
        <v>1752</v>
      </c>
      <c r="D17" s="1358" t="s">
        <v>1753</v>
      </c>
    </row>
    <row r="18" spans="1:5">
      <c r="A18" s="827" t="s">
        <v>1754</v>
      </c>
      <c r="C18" s="3027"/>
      <c r="D18" s="3027"/>
    </row>
    <row r="19" spans="1:5">
      <c r="A19" s="827" t="s">
        <v>1755</v>
      </c>
      <c r="C19" s="3027"/>
      <c r="D19" s="3027"/>
    </row>
    <row r="20" spans="1:5">
      <c r="A20" s="827" t="s">
        <v>1756</v>
      </c>
      <c r="C20" s="3027"/>
      <c r="D20" s="3027"/>
    </row>
    <row r="21" spans="1:5">
      <c r="A21" s="827" t="s">
        <v>1757</v>
      </c>
      <c r="C21" s="3027"/>
      <c r="D21" s="3027"/>
    </row>
    <row r="22" spans="1:5">
      <c r="A22" s="827" t="s">
        <v>1758</v>
      </c>
      <c r="C22" s="3027"/>
      <c r="D22" s="3027"/>
    </row>
    <row r="24" spans="1:5">
      <c r="A24" s="1363" t="s">
        <v>1759</v>
      </c>
      <c r="C24" s="1358">
        <f>D24-1</f>
        <v>2022</v>
      </c>
      <c r="D24" s="1358">
        <f>E24-1</f>
        <v>2023</v>
      </c>
      <c r="E24" s="1358">
        <f>YEAR(H11)</f>
        <v>2024</v>
      </c>
    </row>
    <row r="25" spans="1:5">
      <c r="A25" s="827" t="s">
        <v>471</v>
      </c>
      <c r="C25" s="3028"/>
      <c r="D25" s="3028"/>
      <c r="E25" s="3028"/>
    </row>
    <row r="26" spans="1:5">
      <c r="A26" s="827" t="s">
        <v>1760</v>
      </c>
      <c r="C26" s="3028"/>
      <c r="D26" s="3028"/>
      <c r="E26" s="3028"/>
    </row>
    <row r="27" spans="1:5">
      <c r="A27" s="827" t="s">
        <v>1761</v>
      </c>
      <c r="C27" s="3028"/>
      <c r="D27" s="3028"/>
      <c r="E27" s="3028"/>
    </row>
    <row r="28" spans="1:5">
      <c r="A28" s="827" t="s">
        <v>1046</v>
      </c>
      <c r="C28" s="3028"/>
      <c r="D28" s="3028"/>
      <c r="E28" s="3028"/>
    </row>
    <row r="29" spans="1:5">
      <c r="A29" s="827" t="s">
        <v>861</v>
      </c>
      <c r="C29" s="3028"/>
      <c r="D29" s="3028"/>
      <c r="E29" s="3028"/>
    </row>
    <row r="30" spans="1:5">
      <c r="A30" s="827" t="s">
        <v>858</v>
      </c>
      <c r="C30" s="3028"/>
      <c r="D30" s="3028"/>
      <c r="E30" s="3028"/>
    </row>
    <row r="32" spans="1:5">
      <c r="A32" s="1363" t="s">
        <v>1762</v>
      </c>
    </row>
    <row r="33" spans="1:8">
      <c r="A33" s="827" t="s">
        <v>1754</v>
      </c>
      <c r="C33" s="1359">
        <f t="shared" ref="C33:E37" si="0">IFERROR(C26/C$25,0)</f>
        <v>0</v>
      </c>
      <c r="D33" s="1359">
        <f t="shared" si="0"/>
        <v>0</v>
      </c>
      <c r="E33" s="1359">
        <f t="shared" si="0"/>
        <v>0</v>
      </c>
    </row>
    <row r="34" spans="1:8">
      <c r="A34" s="827" t="s">
        <v>1755</v>
      </c>
      <c r="C34" s="1359">
        <f t="shared" si="0"/>
        <v>0</v>
      </c>
      <c r="D34" s="1359">
        <f t="shared" si="0"/>
        <v>0</v>
      </c>
      <c r="E34" s="1359">
        <f t="shared" si="0"/>
        <v>0</v>
      </c>
    </row>
    <row r="35" spans="1:8">
      <c r="A35" s="827" t="s">
        <v>1756</v>
      </c>
      <c r="C35" s="1359">
        <f t="shared" si="0"/>
        <v>0</v>
      </c>
      <c r="D35" s="1359">
        <f t="shared" si="0"/>
        <v>0</v>
      </c>
      <c r="E35" s="1359">
        <f t="shared" si="0"/>
        <v>0</v>
      </c>
    </row>
    <row r="36" spans="1:8">
      <c r="A36" s="827" t="s">
        <v>1757</v>
      </c>
      <c r="C36" s="1359">
        <f t="shared" si="0"/>
        <v>0</v>
      </c>
      <c r="D36" s="1359">
        <f t="shared" si="0"/>
        <v>0</v>
      </c>
      <c r="E36" s="1359">
        <f t="shared" si="0"/>
        <v>0</v>
      </c>
    </row>
    <row r="37" spans="1:8">
      <c r="A37" s="827" t="s">
        <v>1758</v>
      </c>
      <c r="C37" s="1359">
        <f t="shared" si="0"/>
        <v>0</v>
      </c>
      <c r="D37" s="1359">
        <f t="shared" si="0"/>
        <v>0</v>
      </c>
      <c r="E37" s="1359">
        <f t="shared" si="0"/>
        <v>0</v>
      </c>
    </row>
    <row r="39" spans="1:8">
      <c r="A39" s="1363" t="s">
        <v>1763</v>
      </c>
    </row>
    <row r="40" spans="1:8">
      <c r="A40" s="827" t="s">
        <v>1754</v>
      </c>
      <c r="C40" s="3029" t="str">
        <f t="shared" ref="C40:E44" si="1">IF(($C18+$D18)=0,"NA",IF(C33&lt;$C18,"Below",IF(C33&gt;$D18,"Above","Within")))</f>
        <v>NA</v>
      </c>
      <c r="D40" s="3029" t="str">
        <f t="shared" si="1"/>
        <v>NA</v>
      </c>
      <c r="E40" s="3029" t="str">
        <f t="shared" si="1"/>
        <v>NA</v>
      </c>
    </row>
    <row r="41" spans="1:8">
      <c r="A41" s="827" t="s">
        <v>1755</v>
      </c>
      <c r="C41" s="3029" t="str">
        <f t="shared" si="1"/>
        <v>NA</v>
      </c>
      <c r="D41" s="3029" t="str">
        <f t="shared" si="1"/>
        <v>NA</v>
      </c>
      <c r="E41" s="3029" t="str">
        <f t="shared" si="1"/>
        <v>NA</v>
      </c>
    </row>
    <row r="42" spans="1:8">
      <c r="A42" s="827" t="s">
        <v>1756</v>
      </c>
      <c r="C42" s="3029" t="str">
        <f t="shared" si="1"/>
        <v>NA</v>
      </c>
      <c r="D42" s="3029" t="str">
        <f t="shared" si="1"/>
        <v>NA</v>
      </c>
      <c r="E42" s="3029" t="str">
        <f t="shared" si="1"/>
        <v>NA</v>
      </c>
    </row>
    <row r="43" spans="1:8">
      <c r="A43" s="827" t="s">
        <v>1757</v>
      </c>
      <c r="C43" s="3029" t="str">
        <f t="shared" si="1"/>
        <v>NA</v>
      </c>
      <c r="D43" s="3029" t="str">
        <f t="shared" si="1"/>
        <v>NA</v>
      </c>
      <c r="E43" s="3029" t="str">
        <f t="shared" si="1"/>
        <v>NA</v>
      </c>
    </row>
    <row r="44" spans="1:8">
      <c r="A44" s="827" t="s">
        <v>1758</v>
      </c>
      <c r="C44" s="3029" t="str">
        <f t="shared" si="1"/>
        <v>NA</v>
      </c>
      <c r="D44" s="3029" t="str">
        <f t="shared" si="1"/>
        <v>NA</v>
      </c>
      <c r="E44" s="3029" t="str">
        <f t="shared" si="1"/>
        <v>NA</v>
      </c>
    </row>
    <row r="46" spans="1:8">
      <c r="A46" s="827" t="s">
        <v>1764</v>
      </c>
    </row>
    <row r="48" spans="1:8">
      <c r="A48" s="3" t="s">
        <v>172</v>
      </c>
      <c r="B48" s="1"/>
      <c r="C48" s="1"/>
      <c r="D48" s="1"/>
      <c r="E48" s="1"/>
      <c r="F48" s="1"/>
      <c r="G48" s="1"/>
      <c r="H48" s="14"/>
    </row>
    <row r="49" spans="1:8" ht="45" customHeight="1">
      <c r="A49" s="3742"/>
      <c r="B49" s="3743"/>
      <c r="C49" s="3743"/>
      <c r="D49" s="3743"/>
      <c r="E49" s="3743"/>
      <c r="F49" s="3743"/>
      <c r="G49" s="3743"/>
      <c r="H49" s="3744"/>
    </row>
  </sheetData>
  <customSheetViews>
    <customSheetView guid="{BCBE45D4-3C45-4659-992E-5C5D3E9FD81C}" showGridLines="0" fitToPage="1" hiddenColumns="1" topLeftCell="A22">
      <selection activeCell="C38" sqref="C38:E42"/>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howGridLines="0" fitToPage="1" hiddenColumns="1">
      <selection activeCell="C50" sqref="C50"/>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2">
    <mergeCell ref="C14:E14"/>
    <mergeCell ref="A49:H49"/>
  </mergeCells>
  <conditionalFormatting sqref="I153">
    <cfRule type="expression" dxfId="6" priority="2" stopIfTrue="1">
      <formula>SUM($153:$153)=0</formula>
    </cfRule>
  </conditionalFormatting>
  <conditionalFormatting sqref="C40:E44">
    <cfRule type="expression" dxfId="5" priority="1" stopIfTrue="1">
      <formula>C40="Within"</formula>
    </cfRule>
  </conditionalFormatting>
  <hyperlinks>
    <hyperlink ref="A10" location="ClientName" display="ClientName" xr:uid="{00000000-0004-0000-3800-000001000000}"/>
    <hyperlink ref="A15" r:id="rId3" xr:uid="{084DFD72-E5AD-4B85-9149-8221F226D9FC}"/>
    <hyperlink ref="H9" location="'WPIndex'!A1" display="Back to Workpaper Index" xr:uid="{0176B8E0-87B9-4D42-843F-8370A2ACC350}"/>
  </hyperlinks>
  <printOptions horizontalCentered="1"/>
  <pageMargins left="0.59055118110236227" right="0.43307086614173229" top="0.6692913385826772" bottom="0.94488188976377963" header="0.51181102362204722" footer="0.39370078740157483"/>
  <pageSetup paperSize="9" fitToHeight="999" orientation="portrait" r:id="rId4"/>
  <headerFooter alignWithMargins="0">
    <oddFooter>&amp;L&amp;8© Findex (Aust) Pty Ltd.  All rights reserved.&amp;R&amp;8&amp;P/&amp;N</oddFooter>
  </headerFooter>
  <drawing r:id="rId5"/>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Net_Wealth_Sheet">
    <tabColor theme="8" tint="0.79998168889431442"/>
    <pageSetUpPr fitToPage="1"/>
  </sheetPr>
  <dimension ref="B2:Q83"/>
  <sheetViews>
    <sheetView showGridLines="0" zoomScaleNormal="100" workbookViewId="0"/>
  </sheetViews>
  <sheetFormatPr defaultColWidth="9.140625" defaultRowHeight="13.5"/>
  <cols>
    <col min="1" max="1" width="2.85546875" style="1153" customWidth="1"/>
    <col min="2" max="2" width="25.7109375" style="1153" customWidth="1"/>
    <col min="3" max="3" width="22.140625" style="1153" customWidth="1"/>
    <col min="4" max="6" width="14.28515625" style="1153" customWidth="1"/>
    <col min="7" max="7" width="3.28515625" style="1153" customWidth="1"/>
    <col min="8" max="8" width="29.42578125" style="1153" customWidth="1"/>
    <col min="9" max="9" width="16.140625" style="1153" customWidth="1"/>
    <col min="10" max="12" width="14.28515625" style="1153" customWidth="1"/>
    <col min="13" max="13" width="3.28515625" style="1164" customWidth="1"/>
    <col min="14" max="16" width="9.140625" style="1153"/>
    <col min="17" max="17" width="16.28515625" style="1153" bestFit="1" customWidth="1"/>
    <col min="18" max="16384" width="9.140625" style="1153"/>
  </cols>
  <sheetData>
    <row r="2" spans="2:17" ht="29.25">
      <c r="B2" s="1238" t="s">
        <v>1482</v>
      </c>
      <c r="C2" s="1238"/>
      <c r="Q2" s="3248" t="s">
        <v>2526</v>
      </c>
    </row>
    <row r="3" spans="2:17" ht="29.25">
      <c r="B3" s="1238" t="s">
        <v>1483</v>
      </c>
      <c r="C3" s="1238"/>
    </row>
    <row r="5" spans="2:17" ht="22.5">
      <c r="B5" s="1239" t="s">
        <v>1484</v>
      </c>
      <c r="C5" s="1239"/>
      <c r="D5" s="1239" t="str">
        <f>ClientName</f>
        <v>Example Trust</v>
      </c>
      <c r="E5" s="1240"/>
      <c r="I5" s="1154"/>
      <c r="J5" s="1241" t="s">
        <v>51</v>
      </c>
      <c r="K5" s="4116">
        <f>SUM(D32:F32)-SUM(J32:L32)</f>
        <v>0</v>
      </c>
      <c r="L5" s="4117"/>
      <c r="M5" s="1155"/>
    </row>
    <row r="6" spans="2:17" ht="14.25">
      <c r="B6" s="1242" t="s">
        <v>1485</v>
      </c>
      <c r="C6" s="1242"/>
      <c r="D6" s="1243" t="s">
        <v>1515</v>
      </c>
      <c r="E6" s="1156"/>
      <c r="H6" s="1157"/>
      <c r="I6" s="1157"/>
      <c r="J6" s="1157"/>
      <c r="K6" s="1157"/>
      <c r="L6" s="1158"/>
      <c r="M6" s="1155"/>
    </row>
    <row r="7" spans="2:17" ht="6.75" customHeight="1">
      <c r="D7" s="1229"/>
      <c r="E7" s="1229"/>
      <c r="F7" s="1229"/>
      <c r="H7" s="1159"/>
      <c r="I7" s="1159"/>
      <c r="J7" s="1159"/>
      <c r="K7" s="1159"/>
      <c r="L7" s="1160"/>
      <c r="M7" s="1155"/>
    </row>
    <row r="8" spans="2:17" ht="20.100000000000001" customHeight="1">
      <c r="B8" s="2063" t="s">
        <v>1486</v>
      </c>
      <c r="C8" s="2063"/>
      <c r="D8" s="2063" t="s">
        <v>1516</v>
      </c>
      <c r="E8" s="2063" t="s">
        <v>1517</v>
      </c>
      <c r="F8" s="2063" t="s">
        <v>1487</v>
      </c>
      <c r="H8" s="2063" t="s">
        <v>1488</v>
      </c>
      <c r="I8" s="2063"/>
      <c r="J8" s="2063" t="str">
        <f>+D8</f>
        <v>Client 1</v>
      </c>
      <c r="K8" s="2063" t="str">
        <f>+E8</f>
        <v>Client 2</v>
      </c>
      <c r="L8" s="2063" t="str">
        <f>+F8</f>
        <v>JOINT</v>
      </c>
      <c r="M8" s="1161"/>
    </row>
    <row r="9" spans="2:17" ht="20.100000000000001" customHeight="1">
      <c r="B9" s="1260" t="s">
        <v>52</v>
      </c>
      <c r="C9" s="1268"/>
      <c r="D9" s="1261" t="s">
        <v>53</v>
      </c>
      <c r="E9" s="1261" t="s">
        <v>53</v>
      </c>
      <c r="F9" s="1261" t="s">
        <v>53</v>
      </c>
      <c r="H9" s="1260" t="s">
        <v>1489</v>
      </c>
      <c r="I9" s="1165" t="s">
        <v>1363</v>
      </c>
      <c r="J9" s="1262" t="s">
        <v>53</v>
      </c>
      <c r="K9" s="1262" t="s">
        <v>53</v>
      </c>
      <c r="L9" s="1262" t="s">
        <v>53</v>
      </c>
      <c r="M9" s="1162"/>
    </row>
    <row r="10" spans="2:17" ht="20.100000000000001" customHeight="1">
      <c r="B10" s="1244" t="s">
        <v>2464</v>
      </c>
      <c r="C10" s="1269"/>
      <c r="D10" s="1451"/>
      <c r="E10" s="1451"/>
      <c r="F10" s="1452"/>
      <c r="H10" s="1244"/>
      <c r="I10" s="1245"/>
      <c r="J10" s="1451"/>
      <c r="K10" s="1451"/>
      <c r="L10" s="1452"/>
      <c r="M10" s="1162"/>
    </row>
    <row r="11" spans="2:17" ht="20.100000000000001" customHeight="1">
      <c r="B11" s="1244" t="s">
        <v>1514</v>
      </c>
      <c r="C11" s="1269"/>
      <c r="D11" s="1451"/>
      <c r="E11" s="1451"/>
      <c r="F11" s="1452"/>
      <c r="H11" s="1244"/>
      <c r="I11" s="1245"/>
      <c r="J11" s="1451"/>
      <c r="K11" s="1451"/>
      <c r="L11" s="1452"/>
      <c r="M11" s="1162"/>
    </row>
    <row r="12" spans="2:17" ht="20.100000000000001" customHeight="1">
      <c r="B12" s="1244"/>
      <c r="C12" s="1269"/>
      <c r="D12" s="1451"/>
      <c r="E12" s="1451"/>
      <c r="F12" s="1452"/>
      <c r="H12" s="1244"/>
      <c r="I12" s="1245"/>
      <c r="J12" s="1451"/>
      <c r="K12" s="1451"/>
      <c r="L12" s="1452"/>
      <c r="M12" s="1162"/>
    </row>
    <row r="13" spans="2:17" ht="20.100000000000001" customHeight="1">
      <c r="B13" s="1244"/>
      <c r="C13" s="1269"/>
      <c r="D13" s="1451"/>
      <c r="E13" s="1451"/>
      <c r="F13" s="1452"/>
      <c r="H13" s="1244"/>
      <c r="I13" s="1245"/>
      <c r="J13" s="1451"/>
      <c r="K13" s="1451"/>
      <c r="L13" s="1452"/>
      <c r="M13" s="1162"/>
    </row>
    <row r="14" spans="2:17" ht="20.100000000000001" customHeight="1">
      <c r="B14" s="1244"/>
      <c r="C14" s="1269"/>
      <c r="D14" s="1451"/>
      <c r="E14" s="1451"/>
      <c r="F14" s="1452"/>
      <c r="H14" s="1244"/>
      <c r="I14" s="1245"/>
      <c r="J14" s="1451"/>
      <c r="K14" s="1451"/>
      <c r="L14" s="1452"/>
      <c r="M14" s="1162"/>
    </row>
    <row r="15" spans="2:17" ht="20.100000000000001" customHeight="1">
      <c r="B15" s="1244"/>
      <c r="C15" s="1269"/>
      <c r="D15" s="1451"/>
      <c r="E15" s="1451"/>
      <c r="F15" s="1452"/>
      <c r="H15" s="1244"/>
      <c r="I15" s="1245"/>
      <c r="J15" s="1451"/>
      <c r="K15" s="1451"/>
      <c r="L15" s="1452"/>
      <c r="M15" s="1162"/>
    </row>
    <row r="16" spans="2:17" ht="20.100000000000001" customHeight="1">
      <c r="B16" s="1244"/>
      <c r="C16" s="1269"/>
      <c r="D16" s="1451"/>
      <c r="E16" s="1451"/>
      <c r="F16" s="1452"/>
      <c r="H16" s="1244"/>
      <c r="I16" s="1245"/>
      <c r="J16" s="1451"/>
      <c r="K16" s="1451"/>
      <c r="L16" s="1452"/>
      <c r="M16" s="1162"/>
    </row>
    <row r="17" spans="2:13" ht="20.100000000000001" customHeight="1">
      <c r="B17" s="1244"/>
      <c r="C17" s="1269"/>
      <c r="D17" s="1451"/>
      <c r="E17" s="1451"/>
      <c r="F17" s="1452"/>
      <c r="H17" s="1244"/>
      <c r="I17" s="1245"/>
      <c r="J17" s="1451"/>
      <c r="K17" s="1451"/>
      <c r="L17" s="1452"/>
      <c r="M17" s="1162"/>
    </row>
    <row r="18" spans="2:13" ht="20.100000000000001" customHeight="1">
      <c r="B18" s="1263" t="s">
        <v>63</v>
      </c>
      <c r="C18" s="1270"/>
      <c r="D18" s="1453"/>
      <c r="E18" s="1453"/>
      <c r="F18" s="1454"/>
      <c r="H18" s="1260" t="s">
        <v>60</v>
      </c>
      <c r="I18" s="1165"/>
      <c r="J18" s="1455"/>
      <c r="K18" s="1455"/>
      <c r="L18" s="1456"/>
      <c r="M18" s="1162"/>
    </row>
    <row r="19" spans="2:13" ht="20.100000000000001" customHeight="1">
      <c r="B19" s="1244" t="s">
        <v>1518</v>
      </c>
      <c r="C19" s="1269"/>
      <c r="D19" s="1451"/>
      <c r="E19" s="1451"/>
      <c r="F19" s="1452"/>
      <c r="H19" s="1244"/>
      <c r="I19" s="1245"/>
      <c r="J19" s="1451"/>
      <c r="K19" s="1451"/>
      <c r="L19" s="1452"/>
      <c r="M19" s="1162"/>
    </row>
    <row r="20" spans="2:13" ht="20.100000000000001" customHeight="1">
      <c r="B20" s="1244"/>
      <c r="C20" s="1269"/>
      <c r="D20" s="1451"/>
      <c r="E20" s="1451"/>
      <c r="F20" s="1452"/>
      <c r="H20" s="1244"/>
      <c r="I20" s="1245"/>
      <c r="J20" s="1451"/>
      <c r="K20" s="1451"/>
      <c r="L20" s="1452"/>
      <c r="M20" s="1162"/>
    </row>
    <row r="21" spans="2:13" ht="20.100000000000001" customHeight="1">
      <c r="B21" s="1244"/>
      <c r="C21" s="1269"/>
      <c r="D21" s="1451"/>
      <c r="E21" s="1451"/>
      <c r="F21" s="1452"/>
      <c r="H21" s="1244"/>
      <c r="I21" s="1245"/>
      <c r="J21" s="1451"/>
      <c r="K21" s="1451"/>
      <c r="L21" s="1452"/>
      <c r="M21" s="1162"/>
    </row>
    <row r="22" spans="2:13" ht="20.100000000000001" customHeight="1">
      <c r="B22" s="1244"/>
      <c r="C22" s="1269"/>
      <c r="D22" s="1451"/>
      <c r="E22" s="1451"/>
      <c r="F22" s="1452"/>
      <c r="H22" s="1244"/>
      <c r="I22" s="1245"/>
      <c r="J22" s="1451"/>
      <c r="K22" s="1451"/>
      <c r="L22" s="1452"/>
      <c r="M22" s="1162"/>
    </row>
    <row r="23" spans="2:13" ht="20.100000000000001" customHeight="1">
      <c r="B23" s="1244"/>
      <c r="C23" s="1269"/>
      <c r="D23" s="1451"/>
      <c r="E23" s="1451"/>
      <c r="F23" s="1452"/>
      <c r="H23" s="1244"/>
      <c r="I23" s="1245"/>
      <c r="J23" s="1451"/>
      <c r="K23" s="1451"/>
      <c r="L23" s="1452"/>
      <c r="M23" s="1162"/>
    </row>
    <row r="24" spans="2:13" ht="20.100000000000001" customHeight="1">
      <c r="B24" s="1244" t="s">
        <v>1274</v>
      </c>
      <c r="C24" s="1269"/>
      <c r="D24" s="1451"/>
      <c r="E24" s="1451"/>
      <c r="F24" s="1452"/>
      <c r="H24" s="1244"/>
      <c r="I24" s="1245"/>
      <c r="J24" s="1451"/>
      <c r="K24" s="1451"/>
      <c r="L24" s="1452"/>
      <c r="M24" s="1162"/>
    </row>
    <row r="25" spans="2:13" ht="20.100000000000001" customHeight="1">
      <c r="B25" s="1260" t="s">
        <v>68</v>
      </c>
      <c r="C25" s="1268"/>
      <c r="D25" s="1455"/>
      <c r="E25" s="1455"/>
      <c r="F25" s="1456"/>
      <c r="H25" s="1244"/>
      <c r="I25" s="1245"/>
      <c r="J25" s="1451"/>
      <c r="K25" s="1451"/>
      <c r="L25" s="1452"/>
      <c r="M25" s="1162"/>
    </row>
    <row r="26" spans="2:13" ht="20.100000000000001" customHeight="1">
      <c r="B26" s="1244" t="s">
        <v>1513</v>
      </c>
      <c r="C26" s="1269"/>
      <c r="D26" s="1451"/>
      <c r="E26" s="1451"/>
      <c r="F26" s="1452"/>
      <c r="H26" s="1244"/>
      <c r="I26" s="1245"/>
      <c r="J26" s="1451"/>
      <c r="K26" s="1451"/>
      <c r="L26" s="1452"/>
      <c r="M26" s="1162"/>
    </row>
    <row r="27" spans="2:13" ht="20.100000000000001" customHeight="1">
      <c r="B27" s="1244" t="s">
        <v>66</v>
      </c>
      <c r="C27" s="1269"/>
      <c r="D27" s="1451"/>
      <c r="E27" s="1451"/>
      <c r="F27" s="1452"/>
      <c r="H27" s="1244"/>
      <c r="I27" s="1245"/>
      <c r="J27" s="1451"/>
      <c r="K27" s="1451"/>
      <c r="L27" s="1452"/>
      <c r="M27" s="1162"/>
    </row>
    <row r="28" spans="2:13" ht="20.100000000000001" customHeight="1">
      <c r="B28" s="1244"/>
      <c r="C28" s="1269"/>
      <c r="D28" s="1451"/>
      <c r="E28" s="1451"/>
      <c r="F28" s="1452"/>
      <c r="H28" s="1244"/>
      <c r="I28" s="1246"/>
      <c r="J28" s="1452"/>
      <c r="K28" s="1451"/>
      <c r="L28" s="1452"/>
      <c r="M28" s="1162"/>
    </row>
    <row r="29" spans="2:13" ht="20.100000000000001" customHeight="1">
      <c r="B29" s="1244"/>
      <c r="C29" s="1269"/>
      <c r="D29" s="1451"/>
      <c r="E29" s="1451"/>
      <c r="F29" s="1452"/>
      <c r="H29" s="1244"/>
      <c r="I29" s="1246"/>
      <c r="J29" s="1452"/>
      <c r="K29" s="1451"/>
      <c r="L29" s="1452"/>
      <c r="M29" s="1162"/>
    </row>
    <row r="30" spans="2:13" ht="20.100000000000001" customHeight="1">
      <c r="B30" s="1244"/>
      <c r="C30" s="1269"/>
      <c r="D30" s="1451"/>
      <c r="E30" s="1451"/>
      <c r="F30" s="1452"/>
      <c r="H30" s="1244"/>
      <c r="I30" s="1247"/>
      <c r="J30" s="1451"/>
      <c r="K30" s="1451"/>
      <c r="L30" s="1452"/>
      <c r="M30" s="1162"/>
    </row>
    <row r="31" spans="2:13" ht="20.100000000000001" customHeight="1">
      <c r="B31" s="1248"/>
      <c r="C31" s="1271"/>
      <c r="D31" s="1457"/>
      <c r="E31" s="1457"/>
      <c r="F31" s="1458"/>
      <c r="H31" s="1249"/>
      <c r="I31" s="1247"/>
      <c r="J31" s="1459"/>
      <c r="K31" s="1459"/>
      <c r="L31" s="1460"/>
      <c r="M31" s="1162"/>
    </row>
    <row r="32" spans="2:13" ht="20.100000000000001" customHeight="1">
      <c r="B32" s="2064" t="s">
        <v>1490</v>
      </c>
      <c r="C32" s="2065"/>
      <c r="D32" s="1259">
        <f>SUM(D10:D31)</f>
        <v>0</v>
      </c>
      <c r="E32" s="1259">
        <f>SUM(E10:E31)</f>
        <v>0</v>
      </c>
      <c r="F32" s="1259">
        <f>SUM(F10:F31)</f>
        <v>0</v>
      </c>
      <c r="H32" s="4118" t="s">
        <v>1491</v>
      </c>
      <c r="I32" s="4119"/>
      <c r="J32" s="1259">
        <f>SUM(J10:J31)</f>
        <v>0</v>
      </c>
      <c r="K32" s="1259">
        <f>SUM(K10:K31)</f>
        <v>0</v>
      </c>
      <c r="L32" s="1259">
        <f>SUM(L10:L31)</f>
        <v>0</v>
      </c>
      <c r="M32" s="1162"/>
    </row>
    <row r="33" spans="2:13" ht="14.25">
      <c r="B33" s="1250"/>
      <c r="C33" s="1250"/>
      <c r="D33" s="1250"/>
      <c r="E33" s="1250"/>
      <c r="F33" s="1251"/>
      <c r="M33" s="1163"/>
    </row>
    <row r="34" spans="2:13" ht="19.5" customHeight="1">
      <c r="B34" s="4120" t="s">
        <v>1492</v>
      </c>
      <c r="C34" s="4121"/>
      <c r="D34" s="4121"/>
      <c r="E34" s="4121"/>
      <c r="F34" s="4122"/>
      <c r="I34" s="1154"/>
      <c r="J34" s="1241" t="s">
        <v>51</v>
      </c>
      <c r="K34" s="4116">
        <f>+K5</f>
        <v>0</v>
      </c>
      <c r="L34" s="4123"/>
      <c r="M34" s="1163"/>
    </row>
    <row r="35" spans="2:13" ht="19.5" customHeight="1">
      <c r="B35" s="2066" t="s">
        <v>1493</v>
      </c>
      <c r="C35" s="2067"/>
      <c r="D35" s="2068" t="str">
        <f>+D8</f>
        <v>Client 1</v>
      </c>
      <c r="E35" s="2068" t="str">
        <f>+E8</f>
        <v>Client 2</v>
      </c>
      <c r="F35" s="2068" t="str">
        <f>+F8</f>
        <v>JOINT</v>
      </c>
      <c r="M35" s="1163"/>
    </row>
    <row r="36" spans="2:13" ht="19.5" customHeight="1">
      <c r="B36" s="1244" t="s">
        <v>67</v>
      </c>
      <c r="C36" s="1269"/>
      <c r="D36" s="1451"/>
      <c r="E36" s="1451"/>
      <c r="F36" s="1452"/>
      <c r="M36" s="1163"/>
    </row>
    <row r="37" spans="2:13" ht="19.5" customHeight="1">
      <c r="B37" s="1244" t="s">
        <v>431</v>
      </c>
      <c r="C37" s="1269"/>
      <c r="D37" s="1451"/>
      <c r="E37" s="1451"/>
      <c r="F37" s="1452"/>
      <c r="M37" s="1163"/>
    </row>
    <row r="38" spans="2:13" ht="19.5" customHeight="1">
      <c r="B38" s="1272" t="s">
        <v>1494</v>
      </c>
      <c r="C38" s="1273"/>
      <c r="D38" s="1451"/>
      <c r="E38" s="1451"/>
      <c r="F38" s="1452"/>
      <c r="M38" s="1163"/>
    </row>
    <row r="39" spans="2:13" ht="20.25">
      <c r="B39" s="2064" t="s">
        <v>1495</v>
      </c>
      <c r="C39" s="2065"/>
      <c r="D39" s="1259">
        <f>SUM(D36:D38)</f>
        <v>0</v>
      </c>
      <c r="E39" s="1259">
        <f>SUM(E36:E38)</f>
        <v>0</v>
      </c>
      <c r="F39" s="1259">
        <f>SUM(F36:F38)</f>
        <v>0</v>
      </c>
      <c r="I39" s="1154"/>
      <c r="J39" s="1241" t="s">
        <v>1496</v>
      </c>
      <c r="K39" s="4116">
        <f>+D39+E39+F39</f>
        <v>0</v>
      </c>
      <c r="L39" s="4117"/>
      <c r="M39" s="1163"/>
    </row>
    <row r="40" spans="2:13" ht="14.25">
      <c r="B40" s="1250"/>
      <c r="C40" s="1250"/>
      <c r="D40" s="1250"/>
      <c r="E40" s="1250"/>
      <c r="F40" s="1251"/>
      <c r="M40" s="1163"/>
    </row>
    <row r="41" spans="2:13" ht="14.25">
      <c r="B41" s="1250"/>
      <c r="C41" s="1250"/>
      <c r="D41" s="1250"/>
      <c r="E41" s="1250"/>
      <c r="F41" s="1251"/>
      <c r="L41" s="1163"/>
      <c r="M41" s="1153"/>
    </row>
    <row r="42" spans="2:13" ht="19.5" customHeight="1">
      <c r="B42" s="4125" t="s">
        <v>1497</v>
      </c>
      <c r="C42" s="4125"/>
      <c r="D42" s="4125"/>
      <c r="E42" s="4125"/>
      <c r="F42" s="4125"/>
      <c r="G42" s="4125"/>
      <c r="H42" s="4125"/>
      <c r="I42" s="4125"/>
      <c r="J42" s="4125"/>
      <c r="K42" s="4125"/>
      <c r="L42" s="4125"/>
      <c r="M42" s="1153"/>
    </row>
    <row r="43" spans="2:13" ht="19.5" customHeight="1">
      <c r="B43" s="2069" t="s">
        <v>1498</v>
      </c>
      <c r="C43" s="2069"/>
      <c r="D43" s="2069" t="s">
        <v>1502</v>
      </c>
      <c r="E43" s="2070" t="s">
        <v>1503</v>
      </c>
      <c r="F43" s="2070" t="s">
        <v>1504</v>
      </c>
      <c r="H43" s="2071" t="s">
        <v>1499</v>
      </c>
      <c r="I43" s="2072" t="str">
        <f>+D8</f>
        <v>Client 1</v>
      </c>
      <c r="J43" s="2072" t="str">
        <f>+E8</f>
        <v>Client 2</v>
      </c>
      <c r="K43" s="4126" t="s">
        <v>1500</v>
      </c>
      <c r="L43" s="4127"/>
      <c r="M43" s="1153"/>
    </row>
    <row r="44" spans="2:13" ht="14.25">
      <c r="B44" s="1275" t="s">
        <v>1501</v>
      </c>
      <c r="C44" s="1274"/>
      <c r="D44" s="1276"/>
      <c r="E44" s="1277">
        <f t="shared" ref="E44:E57" si="0">IF(OR(ISERROR(ROUNDDOWN(($D$6-D44)/365, )),D44=""),0,ROUNDDOWN(($D$6-D44)/365, ))</f>
        <v>0</v>
      </c>
      <c r="F44" s="1278"/>
      <c r="H44" s="1244" t="s">
        <v>55</v>
      </c>
      <c r="I44" s="1461"/>
      <c r="J44" s="1462"/>
      <c r="K44" s="4124"/>
      <c r="L44" s="4124"/>
      <c r="M44" s="1153"/>
    </row>
    <row r="45" spans="2:13" ht="14.25">
      <c r="B45" s="1244"/>
      <c r="C45" s="1245"/>
      <c r="D45" s="1252"/>
      <c r="E45" s="1267">
        <f>IF(OR(ISERROR(ROUNDDOWN(($D$6-D45)/365, )),D45=""),0,ROUNDDOWN(($D$6-D45)/365, ))</f>
        <v>0</v>
      </c>
      <c r="F45" s="1254"/>
      <c r="H45" s="1244" t="s">
        <v>56</v>
      </c>
      <c r="I45" s="1461"/>
      <c r="J45" s="1462"/>
      <c r="K45" s="4124"/>
      <c r="L45" s="4124"/>
      <c r="M45" s="1153"/>
    </row>
    <row r="46" spans="2:13" ht="14.25">
      <c r="B46" s="1244"/>
      <c r="C46" s="1245"/>
      <c r="D46" s="1252"/>
      <c r="E46" s="1267">
        <f t="shared" si="0"/>
        <v>0</v>
      </c>
      <c r="F46" s="1253"/>
      <c r="H46" s="1244" t="s">
        <v>57</v>
      </c>
      <c r="I46" s="1461"/>
      <c r="J46" s="1462"/>
      <c r="K46" s="4124"/>
      <c r="L46" s="4124"/>
      <c r="M46" s="1153"/>
    </row>
    <row r="47" spans="2:13" ht="14.25">
      <c r="B47" s="1244"/>
      <c r="C47" s="1245"/>
      <c r="D47" s="1252"/>
      <c r="E47" s="1267">
        <f t="shared" si="0"/>
        <v>0</v>
      </c>
      <c r="F47" s="1253"/>
      <c r="H47" s="1244" t="s">
        <v>58</v>
      </c>
      <c r="I47" s="1461"/>
      <c r="J47" s="1462"/>
      <c r="K47" s="4124"/>
      <c r="L47" s="4124"/>
      <c r="M47" s="1153"/>
    </row>
    <row r="48" spans="2:13" ht="14.25">
      <c r="B48" s="1244"/>
      <c r="C48" s="1245"/>
      <c r="D48" s="1252"/>
      <c r="E48" s="1267">
        <f t="shared" si="0"/>
        <v>0</v>
      </c>
      <c r="F48" s="1253"/>
      <c r="H48" s="1244" t="s">
        <v>59</v>
      </c>
      <c r="I48" s="1461"/>
      <c r="J48" s="1462"/>
      <c r="K48" s="4124"/>
      <c r="L48" s="4124"/>
      <c r="M48" s="1153"/>
    </row>
    <row r="49" spans="2:13" ht="14.25">
      <c r="B49" s="1244"/>
      <c r="C49" s="1245"/>
      <c r="D49" s="1252"/>
      <c r="E49" s="1267">
        <f t="shared" si="0"/>
        <v>0</v>
      </c>
      <c r="F49" s="1253"/>
      <c r="H49" s="1244"/>
      <c r="I49" s="1461"/>
      <c r="J49" s="1462"/>
      <c r="K49" s="4124"/>
      <c r="L49" s="4124"/>
      <c r="M49" s="1153"/>
    </row>
    <row r="50" spans="2:13" ht="14.25">
      <c r="B50" s="1244"/>
      <c r="C50" s="1245"/>
      <c r="D50" s="1252"/>
      <c r="E50" s="1267">
        <f t="shared" si="0"/>
        <v>0</v>
      </c>
      <c r="F50" s="1253"/>
      <c r="H50" s="1244" t="s">
        <v>1505</v>
      </c>
      <c r="I50" s="1461"/>
      <c r="J50" s="1462"/>
      <c r="K50" s="4124"/>
      <c r="L50" s="4124"/>
      <c r="M50" s="1153"/>
    </row>
    <row r="51" spans="2:13" ht="14.25">
      <c r="B51" s="1244"/>
      <c r="C51" s="1245"/>
      <c r="D51" s="1252"/>
      <c r="E51" s="1267">
        <f t="shared" si="0"/>
        <v>0</v>
      </c>
      <c r="F51" s="1253"/>
      <c r="H51" s="1244" t="s">
        <v>1506</v>
      </c>
      <c r="I51" s="1461"/>
      <c r="J51" s="1462"/>
      <c r="K51" s="4124"/>
      <c r="L51" s="4124"/>
      <c r="M51" s="1153"/>
    </row>
    <row r="52" spans="2:13" ht="14.25">
      <c r="B52" s="1244"/>
      <c r="C52" s="1245"/>
      <c r="D52" s="1252"/>
      <c r="E52" s="1267">
        <f t="shared" si="0"/>
        <v>0</v>
      </c>
      <c r="F52" s="1253"/>
      <c r="H52" s="1244"/>
      <c r="I52" s="1461"/>
      <c r="J52" s="1462"/>
      <c r="K52" s="4124"/>
      <c r="L52" s="4124"/>
      <c r="M52" s="1153"/>
    </row>
    <row r="53" spans="2:13" ht="14.25">
      <c r="B53" s="1244"/>
      <c r="C53" s="1245"/>
      <c r="D53" s="1255"/>
      <c r="E53" s="1267">
        <f t="shared" si="0"/>
        <v>0</v>
      </c>
      <c r="F53" s="1254"/>
      <c r="H53" s="1244"/>
      <c r="I53" s="1461"/>
      <c r="J53" s="1462"/>
      <c r="K53" s="4124"/>
      <c r="L53" s="4124"/>
      <c r="M53" s="1153"/>
    </row>
    <row r="54" spans="2:13" ht="14.25">
      <c r="B54" s="1244"/>
      <c r="C54" s="1245"/>
      <c r="D54" s="1255"/>
      <c r="E54" s="1267">
        <f t="shared" si="0"/>
        <v>0</v>
      </c>
      <c r="F54" s="1254"/>
      <c r="H54" s="2071" t="s">
        <v>61</v>
      </c>
      <c r="I54" s="2072" t="str">
        <f>D8</f>
        <v>Client 1</v>
      </c>
      <c r="J54" s="2072" t="str">
        <f>E8</f>
        <v>Client 2</v>
      </c>
      <c r="K54" s="4126" t="str">
        <f>+K43</f>
        <v>AGENT NAME</v>
      </c>
      <c r="L54" s="4127"/>
      <c r="M54" s="1153"/>
    </row>
    <row r="55" spans="2:13" ht="14.25">
      <c r="B55" s="1244"/>
      <c r="C55" s="1245"/>
      <c r="D55" s="1255"/>
      <c r="E55" s="1267">
        <f t="shared" si="0"/>
        <v>0</v>
      </c>
      <c r="F55" s="1254"/>
      <c r="H55" s="1244" t="s">
        <v>62</v>
      </c>
      <c r="I55" s="1461"/>
      <c r="J55" s="1463"/>
      <c r="K55" s="4124"/>
      <c r="L55" s="4124"/>
      <c r="M55" s="1153"/>
    </row>
    <row r="56" spans="2:13" ht="14.25">
      <c r="B56" s="1244"/>
      <c r="C56" s="1245"/>
      <c r="D56" s="1255"/>
      <c r="E56" s="1267">
        <f t="shared" si="0"/>
        <v>0</v>
      </c>
      <c r="F56" s="1254"/>
      <c r="H56" s="1244" t="s">
        <v>64</v>
      </c>
      <c r="I56" s="1461"/>
      <c r="J56" s="1463"/>
      <c r="K56" s="4124"/>
      <c r="L56" s="4124"/>
      <c r="M56" s="1153"/>
    </row>
    <row r="57" spans="2:13" ht="14.25">
      <c r="B57" s="1244"/>
      <c r="C57" s="1245"/>
      <c r="D57" s="1255"/>
      <c r="E57" s="1267">
        <f t="shared" si="0"/>
        <v>0</v>
      </c>
      <c r="F57" s="1254"/>
      <c r="H57" s="1244" t="s">
        <v>65</v>
      </c>
      <c r="I57" s="1461"/>
      <c r="J57" s="1463"/>
      <c r="K57" s="4124"/>
      <c r="L57" s="4124"/>
      <c r="M57" s="1153"/>
    </row>
    <row r="58" spans="2:13">
      <c r="L58" s="1163"/>
      <c r="M58" s="1153"/>
    </row>
    <row r="59" spans="2:13" ht="19.5" customHeight="1">
      <c r="B59" s="4128" t="s">
        <v>1507</v>
      </c>
      <c r="C59" s="4129"/>
      <c r="D59" s="4129"/>
      <c r="E59" s="4129"/>
      <c r="F59" s="4129"/>
      <c r="G59" s="4129"/>
      <c r="H59" s="4129"/>
      <c r="I59" s="4129"/>
      <c r="J59" s="4129"/>
      <c r="K59" s="4129"/>
      <c r="L59" s="4129"/>
      <c r="M59" s="1153"/>
    </row>
    <row r="60" spans="2:13" ht="16.5" customHeight="1">
      <c r="B60" s="2073" t="s">
        <v>1508</v>
      </c>
      <c r="C60" s="2074"/>
      <c r="D60" s="2074"/>
      <c r="E60" s="2074"/>
      <c r="F60" s="2074"/>
      <c r="G60" s="2074"/>
      <c r="H60" s="2074"/>
      <c r="I60" s="2075" t="s">
        <v>1509</v>
      </c>
      <c r="J60" s="2076"/>
      <c r="K60" s="2074" t="s">
        <v>1510</v>
      </c>
      <c r="L60" s="2074"/>
      <c r="M60" s="1153"/>
    </row>
    <row r="61" spans="2:13" ht="16.5" customHeight="1">
      <c r="B61" s="4130"/>
      <c r="C61" s="4131"/>
      <c r="D61" s="4132"/>
      <c r="E61" s="4132"/>
      <c r="F61" s="4132"/>
      <c r="G61" s="4132"/>
      <c r="H61" s="4133"/>
      <c r="I61" s="4130"/>
      <c r="J61" s="4134"/>
      <c r="K61" s="4135"/>
      <c r="L61" s="4136"/>
      <c r="M61" s="1163"/>
    </row>
    <row r="62" spans="2:13" ht="16.5" customHeight="1">
      <c r="B62" s="4130"/>
      <c r="C62" s="4131"/>
      <c r="D62" s="4132"/>
      <c r="E62" s="4132"/>
      <c r="F62" s="4132"/>
      <c r="G62" s="4132"/>
      <c r="H62" s="4133"/>
      <c r="I62" s="4130"/>
      <c r="J62" s="4134"/>
      <c r="K62" s="4135"/>
      <c r="L62" s="4136"/>
      <c r="M62" s="1163"/>
    </row>
    <row r="63" spans="2:13" ht="16.5" customHeight="1">
      <c r="B63" s="4130"/>
      <c r="C63" s="4131"/>
      <c r="D63" s="4132"/>
      <c r="E63" s="4132"/>
      <c r="F63" s="4132"/>
      <c r="G63" s="4132"/>
      <c r="H63" s="4133"/>
      <c r="I63" s="4130"/>
      <c r="J63" s="4134"/>
      <c r="K63" s="4135"/>
      <c r="L63" s="4136"/>
      <c r="M63" s="1163"/>
    </row>
    <row r="64" spans="2:13" ht="16.5" customHeight="1">
      <c r="B64" s="4130"/>
      <c r="C64" s="4131"/>
      <c r="D64" s="4132"/>
      <c r="E64" s="4132"/>
      <c r="F64" s="4132"/>
      <c r="G64" s="4132"/>
      <c r="H64" s="4133"/>
      <c r="I64" s="4130"/>
      <c r="J64" s="4134"/>
      <c r="K64" s="4135"/>
      <c r="L64" s="4136"/>
      <c r="M64" s="1163"/>
    </row>
    <row r="65" spans="2:13" ht="16.5" customHeight="1">
      <c r="B65" s="4130"/>
      <c r="C65" s="4131"/>
      <c r="D65" s="4132"/>
      <c r="E65" s="4132"/>
      <c r="F65" s="4132"/>
      <c r="G65" s="4132"/>
      <c r="H65" s="4133"/>
      <c r="I65" s="4130"/>
      <c r="J65" s="4134"/>
      <c r="K65" s="4135"/>
      <c r="L65" s="4136"/>
      <c r="M65" s="1163"/>
    </row>
    <row r="66" spans="2:13" ht="16.5" customHeight="1">
      <c r="B66" s="4130"/>
      <c r="C66" s="4131"/>
      <c r="D66" s="4132"/>
      <c r="E66" s="4132"/>
      <c r="F66" s="4132"/>
      <c r="G66" s="4132"/>
      <c r="H66" s="4133"/>
      <c r="I66" s="4130"/>
      <c r="J66" s="4134"/>
      <c r="K66" s="4135"/>
      <c r="L66" s="4136"/>
      <c r="M66" s="1163"/>
    </row>
    <row r="67" spans="2:13" ht="16.5" customHeight="1">
      <c r="B67" s="4130"/>
      <c r="C67" s="4131"/>
      <c r="D67" s="4132"/>
      <c r="E67" s="4132"/>
      <c r="F67" s="4132"/>
      <c r="G67" s="4132"/>
      <c r="H67" s="4133"/>
      <c r="I67" s="4130"/>
      <c r="J67" s="4134"/>
      <c r="K67" s="4135"/>
      <c r="L67" s="4136"/>
      <c r="M67" s="1163"/>
    </row>
    <row r="68" spans="2:13" ht="16.5" customHeight="1">
      <c r="B68" s="4130"/>
      <c r="C68" s="4131"/>
      <c r="D68" s="4132"/>
      <c r="E68" s="4132"/>
      <c r="F68" s="4132"/>
      <c r="G68" s="4132"/>
      <c r="H68" s="4133"/>
      <c r="I68" s="4130"/>
      <c r="J68" s="4134"/>
      <c r="K68" s="4135"/>
      <c r="L68" s="4136"/>
      <c r="M68" s="1163"/>
    </row>
    <row r="69" spans="2:13" ht="14.25">
      <c r="B69" s="4130"/>
      <c r="C69" s="4131"/>
      <c r="D69" s="4132"/>
      <c r="E69" s="4132"/>
      <c r="F69" s="4132"/>
      <c r="G69" s="4132"/>
      <c r="H69" s="4133"/>
      <c r="I69" s="4130"/>
      <c r="J69" s="4134"/>
      <c r="K69" s="4135"/>
      <c r="L69" s="4136"/>
      <c r="M69" s="1163"/>
    </row>
    <row r="70" spans="2:13" ht="14.25">
      <c r="B70" s="4130"/>
      <c r="C70" s="4131"/>
      <c r="D70" s="4132"/>
      <c r="E70" s="4132"/>
      <c r="F70" s="4132"/>
      <c r="G70" s="4132"/>
      <c r="H70" s="4133"/>
      <c r="I70" s="4130"/>
      <c r="J70" s="4134"/>
      <c r="K70" s="4135"/>
      <c r="L70" s="4136"/>
      <c r="M70" s="1163"/>
    </row>
    <row r="71" spans="2:13" ht="14.25">
      <c r="B71" s="4130"/>
      <c r="C71" s="4131"/>
      <c r="D71" s="4132"/>
      <c r="E71" s="4132"/>
      <c r="F71" s="4132"/>
      <c r="G71" s="4132"/>
      <c r="H71" s="4133"/>
      <c r="I71" s="4130"/>
      <c r="J71" s="4134"/>
      <c r="K71" s="4135"/>
      <c r="L71" s="4136"/>
      <c r="M71" s="1163"/>
    </row>
    <row r="72" spans="2:13" ht="14.25">
      <c r="B72" s="4130"/>
      <c r="C72" s="4131"/>
      <c r="D72" s="4132"/>
      <c r="E72" s="4132"/>
      <c r="F72" s="4132"/>
      <c r="G72" s="4132"/>
      <c r="H72" s="4133"/>
      <c r="I72" s="4130"/>
      <c r="J72" s="4134"/>
      <c r="K72" s="4135"/>
      <c r="L72" s="4136"/>
      <c r="M72" s="1229"/>
    </row>
    <row r="73" spans="2:13" ht="14.25">
      <c r="B73" s="1264"/>
      <c r="C73" s="1264"/>
      <c r="D73" s="1265"/>
      <c r="E73" s="1265"/>
      <c r="F73" s="1265"/>
      <c r="G73" s="1265"/>
      <c r="H73" s="1265"/>
      <c r="I73" s="1264"/>
      <c r="J73" s="1264"/>
      <c r="K73" s="1266"/>
      <c r="L73" s="1266"/>
      <c r="M73" s="1229"/>
    </row>
    <row r="74" spans="2:13" ht="14.25">
      <c r="B74" s="1264"/>
      <c r="C74" s="1264"/>
      <c r="D74" s="1265"/>
      <c r="E74" s="1265"/>
      <c r="F74" s="1265"/>
      <c r="G74" s="1265"/>
      <c r="H74" s="1265"/>
      <c r="I74" s="1264"/>
      <c r="J74" s="1264"/>
      <c r="K74" s="1266"/>
      <c r="L74" s="1266"/>
      <c r="M74" s="1229"/>
    </row>
    <row r="75" spans="2:13">
      <c r="B75" s="1256" t="s">
        <v>1511</v>
      </c>
      <c r="C75" s="1256"/>
      <c r="D75" s="1229"/>
      <c r="E75" s="1229"/>
      <c r="F75" s="1229"/>
      <c r="G75" s="1229"/>
      <c r="H75" s="1256" t="s">
        <v>1511</v>
      </c>
    </row>
    <row r="76" spans="2:13">
      <c r="I76" s="1229"/>
      <c r="J76" s="1229"/>
      <c r="K76" s="1229"/>
      <c r="L76" s="1229"/>
      <c r="M76" s="1229"/>
    </row>
    <row r="77" spans="2:13">
      <c r="B77" s="1256" t="s">
        <v>1512</v>
      </c>
      <c r="C77" s="1256"/>
      <c r="D77" s="1229"/>
      <c r="E77" s="1229"/>
      <c r="F77" s="1229"/>
      <c r="G77" s="1229"/>
      <c r="H77" s="1256" t="s">
        <v>1512</v>
      </c>
    </row>
    <row r="79" spans="2:13" ht="14.25">
      <c r="B79" s="1201" t="s">
        <v>154</v>
      </c>
      <c r="C79" s="1201"/>
      <c r="H79" s="1257"/>
      <c r="I79" s="1257"/>
      <c r="J79" s="1257"/>
      <c r="K79" s="1257"/>
      <c r="L79" s="1257"/>
      <c r="M79" s="1257"/>
    </row>
    <row r="80" spans="2:13" ht="14.25">
      <c r="B80" s="1202" t="s">
        <v>155</v>
      </c>
      <c r="C80" s="1202"/>
      <c r="D80" s="1258"/>
      <c r="E80" s="1258"/>
      <c r="F80" s="1258"/>
      <c r="G80" s="1258"/>
      <c r="H80" s="1258"/>
      <c r="I80" s="1258"/>
      <c r="J80" s="1258"/>
      <c r="K80" s="1258"/>
      <c r="L80" s="1258"/>
      <c r="M80" s="1257"/>
    </row>
    <row r="81" spans="2:13" ht="14.25">
      <c r="B81" s="1202" t="s">
        <v>156</v>
      </c>
      <c r="C81" s="1202"/>
      <c r="D81" s="1258"/>
      <c r="E81" s="1258"/>
      <c r="F81" s="1258"/>
      <c r="G81" s="1258"/>
      <c r="H81" s="1258"/>
      <c r="I81" s="1258"/>
      <c r="J81" s="1258"/>
      <c r="K81" s="1258"/>
      <c r="L81" s="1258"/>
      <c r="M81" s="1257"/>
    </row>
    <row r="82" spans="2:13" ht="14.25">
      <c r="B82" s="1202" t="s">
        <v>157</v>
      </c>
      <c r="C82" s="1202"/>
      <c r="D82" s="1258"/>
      <c r="E82" s="1258"/>
      <c r="F82" s="1258"/>
      <c r="G82" s="1258"/>
      <c r="H82" s="1258"/>
      <c r="I82" s="1258"/>
      <c r="J82" s="1258"/>
      <c r="K82" s="1258"/>
      <c r="L82" s="1258"/>
    </row>
    <row r="83" spans="2:13">
      <c r="B83" s="1202" t="s">
        <v>1546</v>
      </c>
      <c r="C83" s="1202"/>
    </row>
  </sheetData>
  <customSheetViews>
    <customSheetView guid="{BCBE45D4-3C45-4659-992E-5C5D3E9FD81C}" scale="70" showGridLines="0" fitToPage="1" topLeftCell="A37">
      <selection activeCell="S61" sqref="S61"/>
      <pageMargins left="0.59055118110236227" right="0.43307086614173229" top="0.6692913385826772" bottom="0.94488188976377963" header="0.51181102362204722" footer="0.39370078740157483"/>
      <printOptions horizontalCentered="1"/>
      <pageSetup paperSize="9" scale="4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70" showGridLines="0" fitToPage="1">
      <selection activeCell="S61" sqref="S61"/>
      <pageMargins left="0.59055118110236227" right="0.43307086614173229" top="0.6692913385826772" bottom="0.94488188976377963" header="0.51181102362204722" footer="0.39370078740157483"/>
      <printOptions horizontalCentered="1"/>
      <pageSetup paperSize="9" scale="49" fitToHeight="999" orientation="portrait" blackAndWhite="1" r:id="rId2"/>
      <headerFooter alignWithMargins="0">
        <oddFooter>&amp;L&amp;8Copyright Crowe Horwath (Aust) Pty Ltd 2016.  All rights reserved.
&amp;Z&amp;F[&amp;A]&amp;R&amp;8&amp;P/&amp;N</oddFooter>
      </headerFooter>
    </customSheetView>
  </customSheetViews>
  <mergeCells count="58">
    <mergeCell ref="B72:H72"/>
    <mergeCell ref="I72:J72"/>
    <mergeCell ref="K72:L72"/>
    <mergeCell ref="B70:H70"/>
    <mergeCell ref="I70:J70"/>
    <mergeCell ref="K70:L70"/>
    <mergeCell ref="B71:H71"/>
    <mergeCell ref="I71:J71"/>
    <mergeCell ref="K71:L71"/>
    <mergeCell ref="B69:H69"/>
    <mergeCell ref="I69:J69"/>
    <mergeCell ref="K69:L69"/>
    <mergeCell ref="B67:H67"/>
    <mergeCell ref="I67:J67"/>
    <mergeCell ref="B66:H66"/>
    <mergeCell ref="I66:J66"/>
    <mergeCell ref="K66:L66"/>
    <mergeCell ref="K67:L67"/>
    <mergeCell ref="B68:H68"/>
    <mergeCell ref="I68:J68"/>
    <mergeCell ref="K68:L68"/>
    <mergeCell ref="B64:H64"/>
    <mergeCell ref="I64:J64"/>
    <mergeCell ref="K64:L64"/>
    <mergeCell ref="B65:H65"/>
    <mergeCell ref="I65:J65"/>
    <mergeCell ref="K65:L65"/>
    <mergeCell ref="B62:H62"/>
    <mergeCell ref="I62:J62"/>
    <mergeCell ref="K62:L62"/>
    <mergeCell ref="B63:H63"/>
    <mergeCell ref="I63:J63"/>
    <mergeCell ref="K63:L63"/>
    <mergeCell ref="K57:L57"/>
    <mergeCell ref="B59:L59"/>
    <mergeCell ref="B61:H61"/>
    <mergeCell ref="I61:J61"/>
    <mergeCell ref="K61:L61"/>
    <mergeCell ref="K53:L53"/>
    <mergeCell ref="K54:L54"/>
    <mergeCell ref="K55:L55"/>
    <mergeCell ref="K56:L56"/>
    <mergeCell ref="K49:L49"/>
    <mergeCell ref="K50:L50"/>
    <mergeCell ref="K51:L51"/>
    <mergeCell ref="K52:L52"/>
    <mergeCell ref="K46:L46"/>
    <mergeCell ref="K47:L47"/>
    <mergeCell ref="K48:L48"/>
    <mergeCell ref="K39:L39"/>
    <mergeCell ref="B42:L42"/>
    <mergeCell ref="K43:L43"/>
    <mergeCell ref="K44:L44"/>
    <mergeCell ref="K5:L5"/>
    <mergeCell ref="H32:I32"/>
    <mergeCell ref="B34:F34"/>
    <mergeCell ref="K34:L34"/>
    <mergeCell ref="K45:L45"/>
  </mergeCells>
  <phoneticPr fontId="26" type="noConversion"/>
  <conditionalFormatting sqref="K34 L6 K5 H7:K7 K39">
    <cfRule type="cellIs" dxfId="4" priority="1" stopIfTrue="1" operator="lessThan">
      <formula>0</formula>
    </cfRule>
  </conditionalFormatting>
  <hyperlinks>
    <hyperlink ref="Q2" location="'WPIndex'!A1" display="Back to Workpaper Index" xr:uid="{290A3C41-691B-4359-9E05-D73BB1741044}"/>
  </hyperlinks>
  <printOptions horizontalCentered="1"/>
  <pageMargins left="0.59055118110236227" right="0.43307086614173229" top="0.6692913385826772" bottom="0.94488188976377963" header="0.51181102362204722" footer="0.39370078740157483"/>
  <pageSetup paperSize="9" scale="50" fitToHeight="999" orientation="portrait" blackAndWhite="1" r:id="rId3"/>
  <headerFooter alignWithMargins="0">
    <oddFooter>&amp;L&amp;8© Findex (Aust) Pty Ltd.  All rights reserved.&amp;R&amp;8&amp;P/&amp;N</oddFooter>
  </headerFooter>
  <drawing r:id="rId4"/>
  <legacyDrawing r:id="rId5"/>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w_are_we_doing_Sheet">
    <tabColor theme="8" tint="0.79998168889431442"/>
    <pageSetUpPr fitToPage="1"/>
  </sheetPr>
  <dimension ref="A1:P24"/>
  <sheetViews>
    <sheetView showGridLines="0" zoomScaleNormal="100" workbookViewId="0"/>
  </sheetViews>
  <sheetFormatPr defaultRowHeight="12.75"/>
  <cols>
    <col min="1" max="1" width="23.7109375" customWidth="1"/>
    <col min="2" max="3" width="44.42578125" customWidth="1"/>
    <col min="4" max="4" width="12.42578125" bestFit="1" customWidth="1"/>
  </cols>
  <sheetData>
    <row r="1" spans="1:16" ht="30" customHeight="1">
      <c r="A1" s="2078" t="str">
        <f>ClientName</f>
        <v>Example Trust</v>
      </c>
      <c r="B1" s="1066"/>
      <c r="C1" s="1080"/>
      <c r="D1" s="3247" t="s">
        <v>2526</v>
      </c>
    </row>
    <row r="2" spans="1:16" ht="15.75">
      <c r="A2" s="222"/>
      <c r="B2" s="222"/>
      <c r="C2" s="222"/>
      <c r="D2" s="222"/>
    </row>
    <row r="3" spans="1:16" ht="20.25">
      <c r="A3" s="2078" t="s">
        <v>906</v>
      </c>
      <c r="B3" s="818"/>
      <c r="C3" s="818"/>
      <c r="D3" s="818"/>
      <c r="E3" s="818"/>
      <c r="F3" s="818"/>
      <c r="G3" s="818"/>
      <c r="H3" s="818"/>
      <c r="I3" s="818"/>
      <c r="J3" s="818"/>
      <c r="K3" s="818"/>
      <c r="L3" s="818"/>
      <c r="M3" s="818"/>
      <c r="N3" s="818"/>
      <c r="O3" s="818"/>
      <c r="P3" s="818"/>
    </row>
    <row r="4" spans="1:16">
      <c r="A4" s="2084" t="str">
        <f>CONCATENATE("for the year ended 30 June ",YEAR(Period_End))</f>
        <v>for the year ended 30 June 2024</v>
      </c>
      <c r="B4" s="820"/>
      <c r="C4" s="820"/>
      <c r="D4" s="820"/>
      <c r="E4" s="820"/>
      <c r="F4" s="820"/>
      <c r="G4" s="820"/>
      <c r="H4" s="820"/>
      <c r="I4" s="820"/>
      <c r="J4" s="820"/>
      <c r="K4" s="820"/>
      <c r="L4" s="820"/>
      <c r="M4" s="820"/>
      <c r="N4" s="820"/>
      <c r="O4" s="820"/>
      <c r="P4" s="820"/>
    </row>
    <row r="5" spans="1:16">
      <c r="A5" s="1065"/>
      <c r="B5" s="1065"/>
      <c r="C5" s="1065"/>
      <c r="D5" s="1065"/>
      <c r="E5" s="1065"/>
      <c r="F5" s="1065"/>
      <c r="G5" s="1065"/>
      <c r="H5" s="1065"/>
      <c r="I5" s="1065"/>
      <c r="J5" s="1065"/>
      <c r="K5" s="1065"/>
      <c r="L5" s="1065"/>
      <c r="M5" s="1065"/>
      <c r="N5" s="1065"/>
      <c r="O5" s="1065"/>
      <c r="P5" s="1065"/>
    </row>
    <row r="6" spans="1:16">
      <c r="A6" s="2082"/>
      <c r="B6" s="2082"/>
      <c r="C6" s="2082"/>
      <c r="D6" s="1065"/>
      <c r="E6" s="1065"/>
      <c r="F6" s="1065"/>
      <c r="G6" s="1065"/>
      <c r="H6" s="1065"/>
      <c r="I6" s="1065"/>
      <c r="J6" s="1065"/>
      <c r="K6" s="1065"/>
      <c r="L6" s="1065"/>
      <c r="M6" s="1065"/>
      <c r="N6" s="1065"/>
      <c r="O6" s="1065"/>
      <c r="P6" s="1065"/>
    </row>
    <row r="7" spans="1:16">
      <c r="A7" s="1065"/>
      <c r="B7" s="1065"/>
      <c r="C7" s="1065"/>
      <c r="D7" s="1065"/>
      <c r="E7" s="1065"/>
      <c r="F7" s="1065"/>
      <c r="G7" s="1065"/>
      <c r="H7" s="1065"/>
      <c r="I7" s="1065"/>
      <c r="J7" s="1065"/>
      <c r="K7" s="1065"/>
      <c r="L7" s="1065"/>
      <c r="M7" s="1065"/>
      <c r="N7" s="1065"/>
      <c r="O7" s="1065"/>
      <c r="P7" s="1065"/>
    </row>
    <row r="8" spans="1:16" ht="25.5" customHeight="1">
      <c r="A8" s="2083" t="s">
        <v>907</v>
      </c>
      <c r="B8" s="2083" t="s">
        <v>1042</v>
      </c>
      <c r="C8" s="2083" t="s">
        <v>908</v>
      </c>
    </row>
    <row r="9" spans="1:16" s="719" customFormat="1" ht="129" customHeight="1">
      <c r="A9" s="1081" t="s">
        <v>909</v>
      </c>
      <c r="B9" s="1082"/>
      <c r="C9" s="1083" t="s">
        <v>910</v>
      </c>
    </row>
    <row r="10" spans="1:16" s="719" customFormat="1" ht="129" customHeight="1">
      <c r="A10" s="1081" t="s">
        <v>911</v>
      </c>
      <c r="B10" s="1083"/>
      <c r="C10" s="1083" t="s">
        <v>910</v>
      </c>
    </row>
    <row r="11" spans="1:16" s="719" customFormat="1" ht="129" customHeight="1">
      <c r="A11" s="1081" t="s">
        <v>912</v>
      </c>
      <c r="B11" s="1083"/>
      <c r="C11" s="1083" t="s">
        <v>910</v>
      </c>
    </row>
    <row r="12" spans="1:16">
      <c r="A12" s="306"/>
      <c r="B12" s="306"/>
    </row>
    <row r="13" spans="1:16" s="1084" customFormat="1" ht="32.25" customHeight="1">
      <c r="A13" s="2083" t="s">
        <v>913</v>
      </c>
      <c r="B13" s="2083"/>
      <c r="C13" s="2083"/>
    </row>
    <row r="14" spans="1:16" ht="31.5" customHeight="1" thickBot="1">
      <c r="A14" s="1085"/>
      <c r="B14" s="1085"/>
      <c r="C14" s="1085" t="s">
        <v>910</v>
      </c>
    </row>
    <row r="15" spans="1:16" ht="31.5" customHeight="1" thickBot="1">
      <c r="A15" s="1085" t="s">
        <v>910</v>
      </c>
      <c r="B15" s="1085"/>
      <c r="C15" s="1085" t="s">
        <v>910</v>
      </c>
    </row>
    <row r="16" spans="1:16" ht="31.5" customHeight="1" thickBot="1">
      <c r="A16" s="1085" t="s">
        <v>910</v>
      </c>
      <c r="B16" s="1085"/>
      <c r="C16" s="1085" t="s">
        <v>910</v>
      </c>
    </row>
    <row r="17" spans="1:3" ht="31.5" customHeight="1" thickBot="1">
      <c r="A17" s="1085" t="s">
        <v>910</v>
      </c>
      <c r="B17" s="1085"/>
      <c r="C17" s="1085" t="s">
        <v>910</v>
      </c>
    </row>
    <row r="18" spans="1:3" ht="31.5" customHeight="1" thickBot="1">
      <c r="A18" s="1085" t="s">
        <v>910</v>
      </c>
      <c r="B18" s="1085"/>
      <c r="C18" s="1085" t="s">
        <v>910</v>
      </c>
    </row>
    <row r="19" spans="1:3" ht="31.5" customHeight="1" thickBot="1">
      <c r="A19" s="1085" t="s">
        <v>910</v>
      </c>
      <c r="B19" s="1085"/>
      <c r="C19" s="1085" t="s">
        <v>910</v>
      </c>
    </row>
    <row r="20" spans="1:3" ht="31.5" customHeight="1" thickBot="1">
      <c r="A20" s="1085" t="s">
        <v>910</v>
      </c>
      <c r="B20" s="1085"/>
      <c r="C20" s="1085" t="s">
        <v>910</v>
      </c>
    </row>
    <row r="21" spans="1:3" ht="31.5" customHeight="1" thickBot="1">
      <c r="A21" s="1085" t="s">
        <v>910</v>
      </c>
      <c r="B21" s="1085"/>
      <c r="C21" s="1085" t="s">
        <v>910</v>
      </c>
    </row>
    <row r="22" spans="1:3" ht="31.5" customHeight="1" thickBot="1">
      <c r="A22" s="1085" t="s">
        <v>910</v>
      </c>
      <c r="B22" s="1085"/>
      <c r="C22" s="1085" t="s">
        <v>910</v>
      </c>
    </row>
    <row r="23" spans="1:3" ht="20.25" customHeight="1">
      <c r="A23" s="1086"/>
      <c r="B23" s="1086"/>
      <c r="C23" s="1086"/>
    </row>
    <row r="24" spans="1:3">
      <c r="A24" s="1087" t="s">
        <v>914</v>
      </c>
      <c r="B24" s="1086"/>
    </row>
  </sheetData>
  <customSheetViews>
    <customSheetView guid="{BCBE45D4-3C45-4659-992E-5C5D3E9FD81C}" scale="70" showPageBreaks="1" showGridLines="0" fitToPage="1" printArea="1">
      <pageMargins left="0.59055118110236227" right="0.43307086614173229" top="0.6692913385826772" bottom="0.94488188976377963" header="0.51181102362204722" footer="0.39370078740157483"/>
      <printOptions horizontalCentered="1"/>
      <pageSetup paperSize="9" scale="83"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scale="70" showPageBreaks="1" showGridLines="0" fitToPage="1" printArea="1">
      <pageMargins left="0.59055118110236227" right="0.43307086614173229" top="0.6692913385826772" bottom="0.94488188976377963" header="0.51181102362204722" footer="0.39370078740157483"/>
      <printOptions horizontalCentered="1"/>
      <pageSetup paperSize="9" scale="83" fitToHeight="999" orientation="portrait" blackAndWhite="1" r:id="rId2"/>
      <headerFooter alignWithMargins="0">
        <oddFooter>&amp;L&amp;8Copyright Crowe Horwath (Aust) Pty Ltd 2016.  All rights reserved.
&amp;Z&amp;F[&amp;A]&amp;R&amp;8&amp;P/&amp;N</oddFooter>
      </headerFooter>
    </customSheetView>
  </customSheetViews>
  <phoneticPr fontId="26" type="noConversion"/>
  <hyperlinks>
    <hyperlink ref="D1" location="'WPIndex'!A1" display="Back to Workpaper Index" xr:uid="{5C1BEC77-96A4-4052-AD61-C152075478A7}"/>
  </hyperlinks>
  <printOptions horizontalCentered="1"/>
  <pageMargins left="0.59055118110236227" right="0.43307086614173229" top="0.6692913385826772" bottom="0.94488188976377963" header="0.51181102362204722" footer="0.39370078740157483"/>
  <pageSetup paperSize="9" scale="83" fitToHeight="999" orientation="portrait" blackAndWhite="1" r:id="rId3"/>
  <headerFooter alignWithMargins="0">
    <oddFooter>&amp;L&amp;8© Findex (Aust) Pty Ltd.  All rights reserved.&amp;R&amp;8&amp;P/&amp;N</oddFooter>
  </headerFooter>
  <drawing r:id="rId4"/>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45AB-1DBB-4E82-8408-06E979B0CB43}">
  <sheetPr codeName="Sheet14">
    <tabColor theme="8" tint="0.79998168889431442"/>
  </sheetPr>
  <dimension ref="A1:M170"/>
  <sheetViews>
    <sheetView zoomScaleNormal="100" zoomScaleSheetLayoutView="96" workbookViewId="0">
      <selection sqref="A1:F1"/>
    </sheetView>
  </sheetViews>
  <sheetFormatPr defaultColWidth="9.140625" defaultRowHeight="15"/>
  <cols>
    <col min="1" max="1" width="39.140625" style="3520" bestFit="1" customWidth="1"/>
    <col min="2" max="2" width="11.5703125" style="3520" bestFit="1" customWidth="1"/>
    <col min="3" max="3" width="11.85546875" style="3520" bestFit="1" customWidth="1"/>
    <col min="4" max="4" width="13.28515625" style="3520" bestFit="1" customWidth="1"/>
    <col min="5" max="11" width="9.140625" style="3520"/>
    <col min="12" max="12" width="10.85546875" style="3520" hidden="1" customWidth="1"/>
    <col min="13" max="13" width="10.5703125" style="3520" hidden="1" customWidth="1"/>
    <col min="14" max="16384" width="9.140625" style="3520"/>
  </cols>
  <sheetData>
    <row r="1" spans="1:13">
      <c r="F1" s="3711" t="s">
        <v>2526</v>
      </c>
      <c r="G1" s="3711"/>
    </row>
    <row r="2" spans="1:13">
      <c r="E2" s="3521" t="s">
        <v>2759</v>
      </c>
      <c r="F2" s="3576" t="s">
        <v>2758</v>
      </c>
    </row>
    <row r="6" spans="1:13" ht="23.25">
      <c r="A6" s="3541" t="s">
        <v>2644</v>
      </c>
      <c r="B6" s="3542"/>
      <c r="C6" s="3542"/>
      <c r="D6" s="3543"/>
    </row>
    <row r="7" spans="1:13">
      <c r="A7" s="3549" t="s">
        <v>1116</v>
      </c>
      <c r="B7" s="4138"/>
      <c r="C7" s="4138"/>
      <c r="D7" s="4138"/>
    </row>
    <row r="8" spans="1:13">
      <c r="A8" s="3550" t="s">
        <v>2645</v>
      </c>
      <c r="B8" s="4139"/>
      <c r="C8" s="4140"/>
      <c r="D8" s="4140"/>
    </row>
    <row r="9" spans="1:13">
      <c r="A9" s="3521"/>
    </row>
    <row r="10" spans="1:13">
      <c r="C10" s="3548" t="s">
        <v>2646</v>
      </c>
      <c r="D10" s="3552" t="s">
        <v>2647</v>
      </c>
    </row>
    <row r="11" spans="1:13">
      <c r="B11" s="3522"/>
      <c r="C11" s="3522"/>
      <c r="D11" s="3522"/>
    </row>
    <row r="12" spans="1:13" ht="18.75">
      <c r="A12" s="3553" t="s">
        <v>1213</v>
      </c>
      <c r="B12" s="3554" t="s">
        <v>976</v>
      </c>
      <c r="C12" s="3554" t="s">
        <v>180</v>
      </c>
      <c r="D12" s="3554" t="s">
        <v>1129</v>
      </c>
    </row>
    <row r="13" spans="1:13">
      <c r="A13" s="3544" t="s">
        <v>2648</v>
      </c>
      <c r="B13" s="3551"/>
      <c r="C13" s="3552"/>
      <c r="D13" s="3545">
        <f t="shared" ref="D13:D23" si="0">IF(OR(ISBLANK(B13),ISBLANK(C13)),0,B13*VLOOKUP(C13,$L$13:$M$19,2,0)/VLOOKUP($D$10,$L$13:$M$19,2,0))</f>
        <v>0</v>
      </c>
      <c r="L13" s="3523" t="s">
        <v>2649</v>
      </c>
      <c r="M13" s="3524">
        <v>52</v>
      </c>
    </row>
    <row r="14" spans="1:13">
      <c r="A14" s="3544" t="s">
        <v>2650</v>
      </c>
      <c r="B14" s="3551"/>
      <c r="C14" s="3552"/>
      <c r="D14" s="3545">
        <f t="shared" si="0"/>
        <v>0</v>
      </c>
      <c r="L14" s="3523" t="s">
        <v>2651</v>
      </c>
      <c r="M14" s="3524">
        <v>26</v>
      </c>
    </row>
    <row r="15" spans="1:13">
      <c r="A15" s="3544" t="s">
        <v>2652</v>
      </c>
      <c r="B15" s="3551"/>
      <c r="C15" s="3552"/>
      <c r="D15" s="3545">
        <f t="shared" si="0"/>
        <v>0</v>
      </c>
      <c r="L15" s="3523" t="s">
        <v>2647</v>
      </c>
      <c r="M15" s="3524">
        <v>12</v>
      </c>
    </row>
    <row r="16" spans="1:13">
      <c r="A16" s="3544" t="s">
        <v>2653</v>
      </c>
      <c r="B16" s="3551"/>
      <c r="C16" s="3552"/>
      <c r="D16" s="3545">
        <f t="shared" si="0"/>
        <v>0</v>
      </c>
      <c r="L16" s="3523" t="s">
        <v>2654</v>
      </c>
      <c r="M16" s="3524">
        <v>4</v>
      </c>
    </row>
    <row r="17" spans="1:13">
      <c r="A17" s="3544" t="s">
        <v>2655</v>
      </c>
      <c r="B17" s="3551"/>
      <c r="C17" s="3552"/>
      <c r="D17" s="3545">
        <f t="shared" si="0"/>
        <v>0</v>
      </c>
      <c r="L17" s="3523" t="s">
        <v>2656</v>
      </c>
      <c r="M17" s="3524">
        <v>3</v>
      </c>
    </row>
    <row r="18" spans="1:13">
      <c r="A18" s="3544" t="s">
        <v>2657</v>
      </c>
      <c r="B18" s="3551"/>
      <c r="C18" s="3552"/>
      <c r="D18" s="3545">
        <f t="shared" si="0"/>
        <v>0</v>
      </c>
      <c r="L18" s="3523" t="s">
        <v>2658</v>
      </c>
      <c r="M18" s="3524">
        <v>2</v>
      </c>
    </row>
    <row r="19" spans="1:13">
      <c r="A19" s="3544" t="s">
        <v>2659</v>
      </c>
      <c r="B19" s="3551"/>
      <c r="C19" s="3552"/>
      <c r="D19" s="3545">
        <f t="shared" si="0"/>
        <v>0</v>
      </c>
      <c r="L19" s="3523" t="s">
        <v>1011</v>
      </c>
      <c r="M19" s="3524">
        <v>1</v>
      </c>
    </row>
    <row r="20" spans="1:13">
      <c r="A20" s="3544" t="s">
        <v>2660</v>
      </c>
      <c r="B20" s="3551"/>
      <c r="C20" s="3552"/>
      <c r="D20" s="3545">
        <f t="shared" si="0"/>
        <v>0</v>
      </c>
    </row>
    <row r="21" spans="1:13">
      <c r="A21" s="3544" t="s">
        <v>2661</v>
      </c>
      <c r="B21" s="3551"/>
      <c r="C21" s="3552"/>
      <c r="D21" s="3545">
        <f t="shared" si="0"/>
        <v>0</v>
      </c>
    </row>
    <row r="22" spans="1:13">
      <c r="A22" s="3544" t="s">
        <v>2662</v>
      </c>
      <c r="B22" s="3551"/>
      <c r="C22" s="3552"/>
      <c r="D22" s="3545">
        <f t="shared" si="0"/>
        <v>0</v>
      </c>
      <c r="M22" s="3525"/>
    </row>
    <row r="23" spans="1:13">
      <c r="A23" s="3544" t="s">
        <v>2663</v>
      </c>
      <c r="B23" s="3551"/>
      <c r="C23" s="3552"/>
      <c r="D23" s="3545">
        <f t="shared" si="0"/>
        <v>0</v>
      </c>
    </row>
    <row r="24" spans="1:13">
      <c r="A24" s="3546"/>
      <c r="B24" s="3526"/>
      <c r="C24" s="3555" t="s">
        <v>1129</v>
      </c>
      <c r="D24" s="3547">
        <f>SUM(D13:D23)</f>
        <v>0</v>
      </c>
    </row>
    <row r="25" spans="1:13">
      <c r="A25" s="3546"/>
      <c r="B25" s="3526"/>
      <c r="C25" s="3546"/>
      <c r="D25" s="3546"/>
    </row>
    <row r="26" spans="1:13" ht="18.75">
      <c r="A26" s="3553" t="s">
        <v>2664</v>
      </c>
      <c r="B26" s="3554" t="s">
        <v>976</v>
      </c>
      <c r="C26" s="3554" t="s">
        <v>180</v>
      </c>
      <c r="D26" s="3554" t="s">
        <v>1129</v>
      </c>
    </row>
    <row r="27" spans="1:13">
      <c r="A27" s="3544" t="s">
        <v>2665</v>
      </c>
      <c r="B27" s="3551"/>
      <c r="C27" s="3552"/>
      <c r="D27" s="3545">
        <f t="shared" ref="D27:D43" si="1">IF(OR(ISBLANK(B27),ISBLANK(C27)),0,B27*VLOOKUP(C27,$L$13:$M$19,2,0)/VLOOKUP($D$10,$L$13:$M$19,2,0))</f>
        <v>0</v>
      </c>
    </row>
    <row r="28" spans="1:13">
      <c r="A28" s="3544" t="s">
        <v>336</v>
      </c>
      <c r="B28" s="3551"/>
      <c r="C28" s="3552"/>
      <c r="D28" s="3545">
        <f t="shared" si="1"/>
        <v>0</v>
      </c>
    </row>
    <row r="29" spans="1:13">
      <c r="A29" s="3544" t="s">
        <v>2135</v>
      </c>
      <c r="B29" s="3551"/>
      <c r="C29" s="3552"/>
      <c r="D29" s="3545">
        <f t="shared" si="1"/>
        <v>0</v>
      </c>
    </row>
    <row r="30" spans="1:13">
      <c r="A30" s="3544" t="s">
        <v>1119</v>
      </c>
      <c r="B30" s="3551"/>
      <c r="C30" s="3552"/>
      <c r="D30" s="3545">
        <f t="shared" si="1"/>
        <v>0</v>
      </c>
    </row>
    <row r="31" spans="1:13">
      <c r="A31" s="3544" t="s">
        <v>2666</v>
      </c>
      <c r="B31" s="3551"/>
      <c r="C31" s="3552"/>
      <c r="D31" s="3545">
        <f t="shared" si="1"/>
        <v>0</v>
      </c>
    </row>
    <row r="32" spans="1:13">
      <c r="A32" s="3544" t="s">
        <v>2667</v>
      </c>
      <c r="B32" s="3551"/>
      <c r="C32" s="3552"/>
      <c r="D32" s="3545">
        <f t="shared" si="1"/>
        <v>0</v>
      </c>
    </row>
    <row r="33" spans="1:4">
      <c r="A33" s="3544" t="s">
        <v>2113</v>
      </c>
      <c r="B33" s="3551"/>
      <c r="C33" s="3552"/>
      <c r="D33" s="3545">
        <f t="shared" si="1"/>
        <v>0</v>
      </c>
    </row>
    <row r="34" spans="1:4">
      <c r="A34" s="3544" t="s">
        <v>2668</v>
      </c>
      <c r="B34" s="3551"/>
      <c r="C34" s="3552"/>
      <c r="D34" s="3545">
        <f t="shared" si="1"/>
        <v>0</v>
      </c>
    </row>
    <row r="35" spans="1:4">
      <c r="A35" s="3544" t="s">
        <v>2103</v>
      </c>
      <c r="B35" s="3551"/>
      <c r="C35" s="3552"/>
      <c r="D35" s="3545">
        <f t="shared" si="1"/>
        <v>0</v>
      </c>
    </row>
    <row r="36" spans="1:4">
      <c r="A36" s="3544" t="s">
        <v>2669</v>
      </c>
      <c r="B36" s="3551"/>
      <c r="C36" s="3552"/>
      <c r="D36" s="3545">
        <f t="shared" si="1"/>
        <v>0</v>
      </c>
    </row>
    <row r="37" spans="1:4">
      <c r="A37" s="3544" t="s">
        <v>2670</v>
      </c>
      <c r="B37" s="3551"/>
      <c r="C37" s="3552"/>
      <c r="D37" s="3545">
        <f t="shared" si="1"/>
        <v>0</v>
      </c>
    </row>
    <row r="38" spans="1:4">
      <c r="A38" s="3544" t="s">
        <v>2671</v>
      </c>
      <c r="B38" s="3551"/>
      <c r="C38" s="3552"/>
      <c r="D38" s="3545">
        <f t="shared" si="1"/>
        <v>0</v>
      </c>
    </row>
    <row r="39" spans="1:4">
      <c r="A39" s="3544" t="s">
        <v>861</v>
      </c>
      <c r="B39" s="3551"/>
      <c r="C39" s="3552"/>
      <c r="D39" s="3545">
        <f t="shared" si="1"/>
        <v>0</v>
      </c>
    </row>
    <row r="40" spans="1:4">
      <c r="A40" s="3544" t="s">
        <v>862</v>
      </c>
      <c r="B40" s="3551"/>
      <c r="C40" s="3552"/>
      <c r="D40" s="3545">
        <f t="shared" si="1"/>
        <v>0</v>
      </c>
    </row>
    <row r="41" spans="1:4">
      <c r="A41" s="3544" t="s">
        <v>468</v>
      </c>
      <c r="B41" s="3551"/>
      <c r="C41" s="3552"/>
      <c r="D41" s="3545">
        <f t="shared" si="1"/>
        <v>0</v>
      </c>
    </row>
    <row r="42" spans="1:4">
      <c r="A42" s="3544" t="s">
        <v>2136</v>
      </c>
      <c r="B42" s="3551"/>
      <c r="C42" s="3552"/>
      <c r="D42" s="3545">
        <f t="shared" si="1"/>
        <v>0</v>
      </c>
    </row>
    <row r="43" spans="1:4">
      <c r="A43" s="3544" t="s">
        <v>1274</v>
      </c>
      <c r="B43" s="3551"/>
      <c r="C43" s="3552"/>
      <c r="D43" s="3545">
        <f t="shared" si="1"/>
        <v>0</v>
      </c>
    </row>
    <row r="44" spans="1:4">
      <c r="A44" s="3546"/>
      <c r="B44" s="3526"/>
      <c r="C44" s="3555" t="s">
        <v>1129</v>
      </c>
      <c r="D44" s="3547">
        <f>SUM(D27:D43)</f>
        <v>0</v>
      </c>
    </row>
    <row r="45" spans="1:4">
      <c r="A45" s="3546"/>
      <c r="B45" s="3526"/>
      <c r="C45" s="3546"/>
      <c r="D45" s="3546"/>
    </row>
    <row r="46" spans="1:4" ht="18.75">
      <c r="A46" s="3553" t="s">
        <v>1270</v>
      </c>
      <c r="B46" s="3554" t="s">
        <v>976</v>
      </c>
      <c r="C46" s="3554" t="s">
        <v>180</v>
      </c>
      <c r="D46" s="3554" t="s">
        <v>1129</v>
      </c>
    </row>
    <row r="47" spans="1:4">
      <c r="A47" s="3544" t="s">
        <v>2672</v>
      </c>
      <c r="B47" s="3551"/>
      <c r="C47" s="3552"/>
      <c r="D47" s="3545">
        <f t="shared" ref="D47:D55" si="2">IF(OR(ISBLANK(B47),ISBLANK(C47)),0,B47*VLOOKUP(C47,$L$13:$M$19,2,0)/VLOOKUP($D$10,$L$13:$M$19,2,0))</f>
        <v>0</v>
      </c>
    </row>
    <row r="48" spans="1:4">
      <c r="A48" s="3544" t="s">
        <v>2673</v>
      </c>
      <c r="B48" s="3551"/>
      <c r="C48" s="3552"/>
      <c r="D48" s="3545">
        <f t="shared" si="2"/>
        <v>0</v>
      </c>
    </row>
    <row r="49" spans="1:4">
      <c r="A49" s="3544" t="s">
        <v>2674</v>
      </c>
      <c r="B49" s="3551"/>
      <c r="C49" s="3552"/>
      <c r="D49" s="3545">
        <f t="shared" si="2"/>
        <v>0</v>
      </c>
    </row>
    <row r="50" spans="1:4">
      <c r="A50" s="3544" t="s">
        <v>2675</v>
      </c>
      <c r="B50" s="3551"/>
      <c r="C50" s="3552"/>
      <c r="D50" s="3545">
        <f t="shared" si="2"/>
        <v>0</v>
      </c>
    </row>
    <row r="51" spans="1:4">
      <c r="A51" s="3544" t="s">
        <v>2676</v>
      </c>
      <c r="B51" s="3551"/>
      <c r="C51" s="3552"/>
      <c r="D51" s="3545">
        <f t="shared" si="2"/>
        <v>0</v>
      </c>
    </row>
    <row r="52" spans="1:4">
      <c r="A52" s="3544" t="s">
        <v>2677</v>
      </c>
      <c r="B52" s="3551"/>
      <c r="C52" s="3552"/>
      <c r="D52" s="3545">
        <f t="shared" si="2"/>
        <v>0</v>
      </c>
    </row>
    <row r="53" spans="1:4">
      <c r="A53" s="3544" t="s">
        <v>2678</v>
      </c>
      <c r="B53" s="3551"/>
      <c r="C53" s="3552"/>
      <c r="D53" s="3545">
        <f t="shared" si="2"/>
        <v>0</v>
      </c>
    </row>
    <row r="54" spans="1:4">
      <c r="A54" s="3544" t="s">
        <v>2679</v>
      </c>
      <c r="B54" s="3551"/>
      <c r="C54" s="3552"/>
      <c r="D54" s="3545">
        <f t="shared" si="2"/>
        <v>0</v>
      </c>
    </row>
    <row r="55" spans="1:4">
      <c r="A55" s="3544" t="s">
        <v>1274</v>
      </c>
      <c r="B55" s="3551"/>
      <c r="C55" s="3552"/>
      <c r="D55" s="3545">
        <f t="shared" si="2"/>
        <v>0</v>
      </c>
    </row>
    <row r="56" spans="1:4">
      <c r="A56" s="3546"/>
      <c r="B56" s="3526"/>
      <c r="C56" s="3555" t="s">
        <v>1129</v>
      </c>
      <c r="D56" s="3547">
        <f>SUM(D47:D55)</f>
        <v>0</v>
      </c>
    </row>
    <row r="57" spans="1:4">
      <c r="A57" s="3546"/>
      <c r="B57" s="3526"/>
      <c r="C57" s="3546"/>
      <c r="D57" s="3546"/>
    </row>
    <row r="58" spans="1:4" ht="18.75">
      <c r="A58" s="3553" t="s">
        <v>2680</v>
      </c>
      <c r="B58" s="3554" t="s">
        <v>976</v>
      </c>
      <c r="C58" s="3554" t="s">
        <v>180</v>
      </c>
      <c r="D58" s="3554" t="s">
        <v>1129</v>
      </c>
    </row>
    <row r="59" spans="1:4">
      <c r="A59" s="3544" t="s">
        <v>2681</v>
      </c>
      <c r="B59" s="3551"/>
      <c r="C59" s="3552"/>
      <c r="D59" s="3545">
        <f t="shared" ref="D59:D66" si="3">IF(OR(ISBLANK(B59),ISBLANK(C59)),0,B59*VLOOKUP(C59,$L$13:$M$19,2,0)/VLOOKUP($D$10,$L$13:$M$19,2,0))</f>
        <v>0</v>
      </c>
    </row>
    <row r="60" spans="1:4">
      <c r="A60" s="3544" t="s">
        <v>2682</v>
      </c>
      <c r="B60" s="3551"/>
      <c r="C60" s="3552"/>
      <c r="D60" s="3545">
        <f t="shared" si="3"/>
        <v>0</v>
      </c>
    </row>
    <row r="61" spans="1:4">
      <c r="A61" s="3544" t="s">
        <v>2683</v>
      </c>
      <c r="B61" s="3551"/>
      <c r="C61" s="3552"/>
      <c r="D61" s="3545">
        <f t="shared" si="3"/>
        <v>0</v>
      </c>
    </row>
    <row r="62" spans="1:4">
      <c r="A62" s="3544" t="s">
        <v>855</v>
      </c>
      <c r="B62" s="3551"/>
      <c r="C62" s="3552"/>
      <c r="D62" s="3545">
        <f t="shared" si="3"/>
        <v>0</v>
      </c>
    </row>
    <row r="63" spans="1:4">
      <c r="A63" s="3544" t="s">
        <v>2684</v>
      </c>
      <c r="B63" s="3551"/>
      <c r="C63" s="3552"/>
      <c r="D63" s="3545">
        <f t="shared" si="3"/>
        <v>0</v>
      </c>
    </row>
    <row r="64" spans="1:4">
      <c r="A64" s="3544" t="s">
        <v>2685</v>
      </c>
      <c r="B64" s="3551"/>
      <c r="C64" s="3552"/>
      <c r="D64" s="3545">
        <f t="shared" si="3"/>
        <v>0</v>
      </c>
    </row>
    <row r="65" spans="1:4">
      <c r="A65" s="3544" t="s">
        <v>2686</v>
      </c>
      <c r="B65" s="3551"/>
      <c r="C65" s="3552"/>
      <c r="D65" s="3545">
        <f t="shared" si="3"/>
        <v>0</v>
      </c>
    </row>
    <row r="66" spans="1:4">
      <c r="A66" s="3544" t="s">
        <v>1274</v>
      </c>
      <c r="B66" s="3551"/>
      <c r="C66" s="3552"/>
      <c r="D66" s="3545">
        <f t="shared" si="3"/>
        <v>0</v>
      </c>
    </row>
    <row r="67" spans="1:4">
      <c r="A67" s="3546"/>
      <c r="B67" s="3526"/>
      <c r="C67" s="3555" t="s">
        <v>1129</v>
      </c>
      <c r="D67" s="3547">
        <f>SUM(D59:D66)</f>
        <v>0</v>
      </c>
    </row>
    <row r="68" spans="1:4">
      <c r="A68" s="3546"/>
      <c r="B68" s="3526"/>
      <c r="C68" s="3546"/>
      <c r="D68" s="3526"/>
    </row>
    <row r="69" spans="1:4" ht="18.75">
      <c r="A69" s="3553" t="s">
        <v>2687</v>
      </c>
      <c r="B69" s="3554" t="s">
        <v>976</v>
      </c>
      <c r="C69" s="3554" t="s">
        <v>180</v>
      </c>
      <c r="D69" s="3554" t="s">
        <v>1129</v>
      </c>
    </row>
    <row r="70" spans="1:4">
      <c r="A70" s="3544" t="s">
        <v>2688</v>
      </c>
      <c r="B70" s="3551"/>
      <c r="C70" s="3552"/>
      <c r="D70" s="3545">
        <f t="shared" ref="D70:D74" si="4">IF(OR(ISBLANK(B70),ISBLANK(C70)),0,B70*VLOOKUP(C70,$L$13:$M$19,2,0)/VLOOKUP($D$10,$L$13:$M$19,2,0))</f>
        <v>0</v>
      </c>
    </row>
    <row r="71" spans="1:4">
      <c r="A71" s="3544" t="s">
        <v>2689</v>
      </c>
      <c r="B71" s="3551"/>
      <c r="C71" s="3552"/>
      <c r="D71" s="3545">
        <f t="shared" si="4"/>
        <v>0</v>
      </c>
    </row>
    <row r="72" spans="1:4">
      <c r="A72" s="3544" t="s">
        <v>2690</v>
      </c>
      <c r="B72" s="3551"/>
      <c r="C72" s="3552"/>
      <c r="D72" s="3545">
        <f t="shared" si="4"/>
        <v>0</v>
      </c>
    </row>
    <row r="73" spans="1:4">
      <c r="A73" s="3544" t="s">
        <v>2691</v>
      </c>
      <c r="B73" s="3551"/>
      <c r="C73" s="3552"/>
      <c r="D73" s="3545">
        <f t="shared" si="4"/>
        <v>0</v>
      </c>
    </row>
    <row r="74" spans="1:4">
      <c r="A74" s="3544" t="s">
        <v>1274</v>
      </c>
      <c r="B74" s="3551"/>
      <c r="C74" s="3552"/>
      <c r="D74" s="3545">
        <f t="shared" si="4"/>
        <v>0</v>
      </c>
    </row>
    <row r="75" spans="1:4">
      <c r="A75" s="3546"/>
      <c r="B75" s="3526"/>
      <c r="C75" s="3555" t="s">
        <v>1129</v>
      </c>
      <c r="D75" s="3547">
        <f>SUM(D70:D74)</f>
        <v>0</v>
      </c>
    </row>
    <row r="76" spans="1:4">
      <c r="A76" s="3546"/>
      <c r="B76" s="3526"/>
      <c r="C76" s="3546"/>
      <c r="D76" s="3526"/>
    </row>
    <row r="77" spans="1:4" ht="18.75">
      <c r="A77" s="3553" t="s">
        <v>2692</v>
      </c>
      <c r="B77" s="3554" t="s">
        <v>976</v>
      </c>
      <c r="C77" s="3554" t="s">
        <v>180</v>
      </c>
      <c r="D77" s="3554" t="s">
        <v>1129</v>
      </c>
    </row>
    <row r="78" spans="1:4">
      <c r="A78" s="3544" t="s">
        <v>2693</v>
      </c>
      <c r="B78" s="3551"/>
      <c r="C78" s="3552"/>
      <c r="D78" s="3545">
        <f t="shared" ref="D78:D88" si="5">IF(OR(ISBLANK(B78),ISBLANK(C78)),0,B78*VLOOKUP(C78,$L$13:$M$19,2,0)/VLOOKUP($D$10,$L$13:$M$19,2,0))</f>
        <v>0</v>
      </c>
    </row>
    <row r="79" spans="1:4">
      <c r="A79" s="3544" t="s">
        <v>2694</v>
      </c>
      <c r="B79" s="3551"/>
      <c r="C79" s="3552"/>
      <c r="D79" s="3545">
        <f t="shared" si="5"/>
        <v>0</v>
      </c>
    </row>
    <row r="80" spans="1:4">
      <c r="A80" s="3544" t="s">
        <v>2695</v>
      </c>
      <c r="B80" s="3551"/>
      <c r="C80" s="3552"/>
      <c r="D80" s="3545">
        <f t="shared" si="5"/>
        <v>0</v>
      </c>
    </row>
    <row r="81" spans="1:4">
      <c r="A81" s="3544" t="s">
        <v>2696</v>
      </c>
      <c r="B81" s="3551"/>
      <c r="C81" s="3552"/>
      <c r="D81" s="3545">
        <f t="shared" si="5"/>
        <v>0</v>
      </c>
    </row>
    <row r="82" spans="1:4">
      <c r="A82" s="3544" t="s">
        <v>2697</v>
      </c>
      <c r="B82" s="3551"/>
      <c r="C82" s="3552"/>
      <c r="D82" s="3545">
        <f t="shared" si="5"/>
        <v>0</v>
      </c>
    </row>
    <row r="83" spans="1:4">
      <c r="A83" s="3544" t="s">
        <v>2698</v>
      </c>
      <c r="B83" s="3551"/>
      <c r="C83" s="3552"/>
      <c r="D83" s="3545">
        <f t="shared" si="5"/>
        <v>0</v>
      </c>
    </row>
    <row r="84" spans="1:4">
      <c r="A84" s="3544" t="s">
        <v>2699</v>
      </c>
      <c r="B84" s="3551"/>
      <c r="C84" s="3552"/>
      <c r="D84" s="3545">
        <f t="shared" si="5"/>
        <v>0</v>
      </c>
    </row>
    <row r="85" spans="1:4">
      <c r="A85" s="3544" t="s">
        <v>2700</v>
      </c>
      <c r="B85" s="3551"/>
      <c r="C85" s="3552"/>
      <c r="D85" s="3545">
        <f t="shared" si="5"/>
        <v>0</v>
      </c>
    </row>
    <row r="86" spans="1:4">
      <c r="A86" s="3544" t="s">
        <v>2701</v>
      </c>
      <c r="B86" s="3551"/>
      <c r="C86" s="3552"/>
      <c r="D86" s="3545">
        <f t="shared" si="5"/>
        <v>0</v>
      </c>
    </row>
    <row r="87" spans="1:4">
      <c r="A87" s="3544" t="s">
        <v>2702</v>
      </c>
      <c r="B87" s="3551"/>
      <c r="C87" s="3552"/>
      <c r="D87" s="3545">
        <f t="shared" si="5"/>
        <v>0</v>
      </c>
    </row>
    <row r="88" spans="1:4">
      <c r="A88" s="3544" t="s">
        <v>2703</v>
      </c>
      <c r="B88" s="3551"/>
      <c r="C88" s="3552"/>
      <c r="D88" s="3545">
        <f t="shared" si="5"/>
        <v>0</v>
      </c>
    </row>
    <row r="89" spans="1:4">
      <c r="A89" s="3544" t="s">
        <v>1274</v>
      </c>
      <c r="B89" s="3551"/>
      <c r="C89" s="3552"/>
      <c r="D89" s="3545">
        <f>IF(OR(ISBLANK(B89),ISBLANK(C89)),0,B89*VLOOKUP(C89,$L$13:$M$19,2,0)/VLOOKUP($D$10,$L$13:$M$19,2,0))</f>
        <v>0</v>
      </c>
    </row>
    <row r="90" spans="1:4">
      <c r="A90" s="3546"/>
      <c r="B90" s="3526"/>
      <c r="C90" s="3555" t="s">
        <v>1129</v>
      </c>
      <c r="D90" s="3547">
        <f>SUM(D78:D89)</f>
        <v>0</v>
      </c>
    </row>
    <row r="91" spans="1:4">
      <c r="A91" s="3546"/>
      <c r="B91" s="3526"/>
      <c r="C91" s="3546"/>
      <c r="D91" s="3526"/>
    </row>
    <row r="92" spans="1:4" ht="18.75">
      <c r="A92" s="3553" t="s">
        <v>2704</v>
      </c>
      <c r="B92" s="3554" t="s">
        <v>976</v>
      </c>
      <c r="C92" s="3554" t="s">
        <v>180</v>
      </c>
      <c r="D92" s="3554" t="s">
        <v>1129</v>
      </c>
    </row>
    <row r="93" spans="1:4">
      <c r="A93" s="3544" t="s">
        <v>2705</v>
      </c>
      <c r="B93" s="3551"/>
      <c r="C93" s="3552"/>
      <c r="D93" s="3545">
        <f t="shared" ref="D93:D98" si="6">IF(OR(ISBLANK(B93),ISBLANK(C93)),0,B93*VLOOKUP(C93,$L$13:$M$19,2,0)/VLOOKUP($D$10,$L$13:$M$19,2,0))</f>
        <v>0</v>
      </c>
    </row>
    <row r="94" spans="1:4">
      <c r="A94" s="3544" t="s">
        <v>2706</v>
      </c>
      <c r="B94" s="3551"/>
      <c r="C94" s="3552"/>
      <c r="D94" s="3545">
        <f t="shared" si="6"/>
        <v>0</v>
      </c>
    </row>
    <row r="95" spans="1:4">
      <c r="A95" s="3544" t="s">
        <v>2707</v>
      </c>
      <c r="B95" s="3551"/>
      <c r="C95" s="3552"/>
      <c r="D95" s="3545">
        <f t="shared" si="6"/>
        <v>0</v>
      </c>
    </row>
    <row r="96" spans="1:4">
      <c r="A96" s="3544" t="s">
        <v>2708</v>
      </c>
      <c r="B96" s="3551"/>
      <c r="C96" s="3552"/>
      <c r="D96" s="3545">
        <f t="shared" si="6"/>
        <v>0</v>
      </c>
    </row>
    <row r="97" spans="1:4">
      <c r="A97" s="3544" t="s">
        <v>2709</v>
      </c>
      <c r="B97" s="3551"/>
      <c r="C97" s="3552"/>
      <c r="D97" s="3545">
        <f t="shared" si="6"/>
        <v>0</v>
      </c>
    </row>
    <row r="98" spans="1:4">
      <c r="A98" s="3544" t="s">
        <v>2710</v>
      </c>
      <c r="B98" s="3551"/>
      <c r="C98" s="3552"/>
      <c r="D98" s="3545">
        <f t="shared" si="6"/>
        <v>0</v>
      </c>
    </row>
    <row r="99" spans="1:4">
      <c r="A99" s="3544" t="s">
        <v>1274</v>
      </c>
      <c r="B99" s="3551"/>
      <c r="C99" s="3552"/>
      <c r="D99" s="3545">
        <f>IF(OR(ISBLANK(B99),ISBLANK(C99)),0,B99*VLOOKUP(C99,$L$13:$M$19,2,0)/VLOOKUP($D$10,$L$13:$M$19,2,0))</f>
        <v>0</v>
      </c>
    </row>
    <row r="100" spans="1:4">
      <c r="A100" s="3546"/>
      <c r="B100" s="3526"/>
      <c r="C100" s="3555" t="s">
        <v>1129</v>
      </c>
      <c r="D100" s="3547">
        <f>SUM(D93:D99)</f>
        <v>0</v>
      </c>
    </row>
    <row r="101" spans="1:4">
      <c r="A101" s="3546"/>
      <c r="B101" s="3526"/>
      <c r="C101" s="3546"/>
      <c r="D101" s="3526"/>
    </row>
    <row r="102" spans="1:4" ht="18.75">
      <c r="A102" s="3553" t="s">
        <v>2711</v>
      </c>
      <c r="B102" s="3554" t="s">
        <v>976</v>
      </c>
      <c r="C102" s="3554" t="s">
        <v>180</v>
      </c>
      <c r="D102" s="3554" t="s">
        <v>1129</v>
      </c>
    </row>
    <row r="103" spans="1:4">
      <c r="A103" s="3544" t="s">
        <v>2712</v>
      </c>
      <c r="B103" s="3551"/>
      <c r="C103" s="3552"/>
      <c r="D103" s="3545">
        <f t="shared" ref="D103:D118" si="7">IF(OR(ISBLANK(B103),ISBLANK(C103)),0,B103*VLOOKUP(C103,$L$13:$M$19,2,0)/VLOOKUP($D$10,$L$13:$M$19,2,0))</f>
        <v>0</v>
      </c>
    </row>
    <row r="104" spans="1:4">
      <c r="A104" s="3544" t="s">
        <v>2713</v>
      </c>
      <c r="B104" s="3551"/>
      <c r="C104" s="3552"/>
      <c r="D104" s="3545">
        <f t="shared" si="7"/>
        <v>0</v>
      </c>
    </row>
    <row r="105" spans="1:4">
      <c r="A105" s="3544" t="s">
        <v>2714</v>
      </c>
      <c r="B105" s="3551"/>
      <c r="C105" s="3552"/>
      <c r="D105" s="3545">
        <f t="shared" si="7"/>
        <v>0</v>
      </c>
    </row>
    <row r="106" spans="1:4">
      <c r="A106" s="3544" t="s">
        <v>2715</v>
      </c>
      <c r="B106" s="3551"/>
      <c r="C106" s="3552"/>
      <c r="D106" s="3545">
        <f t="shared" si="7"/>
        <v>0</v>
      </c>
    </row>
    <row r="107" spans="1:4">
      <c r="A107" s="3544" t="s">
        <v>2716</v>
      </c>
      <c r="B107" s="3551"/>
      <c r="C107" s="3552"/>
      <c r="D107" s="3545">
        <f t="shared" si="7"/>
        <v>0</v>
      </c>
    </row>
    <row r="108" spans="1:4">
      <c r="A108" s="3544" t="s">
        <v>2717</v>
      </c>
      <c r="B108" s="3551"/>
      <c r="C108" s="3552"/>
      <c r="D108" s="3545">
        <f t="shared" si="7"/>
        <v>0</v>
      </c>
    </row>
    <row r="109" spans="1:4">
      <c r="A109" s="3544" t="s">
        <v>2718</v>
      </c>
      <c r="B109" s="3551"/>
      <c r="C109" s="3552"/>
      <c r="D109" s="3545">
        <f t="shared" si="7"/>
        <v>0</v>
      </c>
    </row>
    <row r="110" spans="1:4">
      <c r="A110" s="3544" t="s">
        <v>2719</v>
      </c>
      <c r="B110" s="3551"/>
      <c r="C110" s="3552"/>
      <c r="D110" s="3545">
        <f t="shared" si="7"/>
        <v>0</v>
      </c>
    </row>
    <row r="111" spans="1:4">
      <c r="A111" s="3544" t="s">
        <v>2720</v>
      </c>
      <c r="B111" s="3551"/>
      <c r="C111" s="3552"/>
      <c r="D111" s="3545">
        <f t="shared" si="7"/>
        <v>0</v>
      </c>
    </row>
    <row r="112" spans="1:4">
      <c r="A112" s="3544" t="s">
        <v>2721</v>
      </c>
      <c r="B112" s="3551"/>
      <c r="C112" s="3552"/>
      <c r="D112" s="3545">
        <f t="shared" si="7"/>
        <v>0</v>
      </c>
    </row>
    <row r="113" spans="1:4">
      <c r="A113" s="3544" t="s">
        <v>2722</v>
      </c>
      <c r="B113" s="3551"/>
      <c r="C113" s="3552"/>
      <c r="D113" s="3545">
        <f t="shared" si="7"/>
        <v>0</v>
      </c>
    </row>
    <row r="114" spans="1:4">
      <c r="A114" s="3544" t="s">
        <v>2723</v>
      </c>
      <c r="B114" s="3551"/>
      <c r="C114" s="3552"/>
      <c r="D114" s="3545">
        <f t="shared" si="7"/>
        <v>0</v>
      </c>
    </row>
    <row r="115" spans="1:4">
      <c r="A115" s="3544" t="s">
        <v>2724</v>
      </c>
      <c r="B115" s="3551"/>
      <c r="C115" s="3552"/>
      <c r="D115" s="3545">
        <f t="shared" si="7"/>
        <v>0</v>
      </c>
    </row>
    <row r="116" spans="1:4">
      <c r="A116" s="3544" t="s">
        <v>2725</v>
      </c>
      <c r="B116" s="3551"/>
      <c r="C116" s="3552"/>
      <c r="D116" s="3545">
        <f t="shared" si="7"/>
        <v>0</v>
      </c>
    </row>
    <row r="117" spans="1:4">
      <c r="A117" s="3544" t="s">
        <v>2726</v>
      </c>
      <c r="B117" s="3551"/>
      <c r="C117" s="3552"/>
      <c r="D117" s="3545">
        <f t="shared" si="7"/>
        <v>0</v>
      </c>
    </row>
    <row r="118" spans="1:4">
      <c r="A118" s="3544" t="s">
        <v>1274</v>
      </c>
      <c r="B118" s="3551"/>
      <c r="C118" s="3552"/>
      <c r="D118" s="3545">
        <f t="shared" si="7"/>
        <v>0</v>
      </c>
    </row>
    <row r="119" spans="1:4">
      <c r="A119" s="3546"/>
      <c r="B119" s="3526"/>
      <c r="C119" s="3555" t="s">
        <v>1129</v>
      </c>
      <c r="D119" s="3547">
        <f>SUM(D103:D118)</f>
        <v>0</v>
      </c>
    </row>
    <row r="120" spans="1:4">
      <c r="A120" s="3546"/>
      <c r="B120" s="3526"/>
      <c r="C120" s="3546"/>
      <c r="D120" s="3526"/>
    </row>
    <row r="121" spans="1:4" ht="18.75">
      <c r="A121" s="3553" t="s">
        <v>2727</v>
      </c>
      <c r="B121" s="3554" t="s">
        <v>976</v>
      </c>
      <c r="C121" s="3554" t="s">
        <v>180</v>
      </c>
      <c r="D121" s="3554" t="s">
        <v>1129</v>
      </c>
    </row>
    <row r="122" spans="1:4">
      <c r="A122" s="3544" t="s">
        <v>2728</v>
      </c>
      <c r="B122" s="3551"/>
      <c r="C122" s="3552"/>
      <c r="D122" s="3545">
        <f>IF(OR(ISBLANK(B122),ISBLANK(#REF!)),0,B122*VLOOKUP(#REF!,$L$13:$M$19,2,0)/VLOOKUP($D$10,$L$13:$M$19,2,0))</f>
        <v>0</v>
      </c>
    </row>
    <row r="123" spans="1:4">
      <c r="A123" s="3544" t="s">
        <v>2729</v>
      </c>
      <c r="B123" s="3551"/>
      <c r="C123" s="3552"/>
      <c r="D123" s="3545">
        <f>IF(OR(ISBLANK(B123),ISBLANK(C122)),0,B123*VLOOKUP(C122,$L$13:$M$19,2,0)/VLOOKUP($D$10,$L$13:$M$19,2,0))</f>
        <v>0</v>
      </c>
    </row>
    <row r="124" spans="1:4">
      <c r="A124" s="3544" t="s">
        <v>2730</v>
      </c>
      <c r="B124" s="3551"/>
      <c r="C124" s="3552"/>
      <c r="D124" s="3545">
        <f t="shared" ref="D124:D133" si="8">IF(OR(ISBLANK(B124),ISBLANK(C124)),0,B124*VLOOKUP(C124,$L$13:$M$19,2,0)/VLOOKUP($D$10,$L$13:$M$19,2,0))</f>
        <v>0</v>
      </c>
    </row>
    <row r="125" spans="1:4">
      <c r="A125" s="3544" t="s">
        <v>2731</v>
      </c>
      <c r="B125" s="3551"/>
      <c r="C125" s="3552"/>
      <c r="D125" s="3545">
        <f t="shared" si="8"/>
        <v>0</v>
      </c>
    </row>
    <row r="126" spans="1:4">
      <c r="A126" s="3544" t="s">
        <v>1292</v>
      </c>
      <c r="B126" s="3551"/>
      <c r="C126" s="3552"/>
      <c r="D126" s="3545">
        <f t="shared" si="8"/>
        <v>0</v>
      </c>
    </row>
    <row r="127" spans="1:4">
      <c r="A127" s="3544" t="s">
        <v>2732</v>
      </c>
      <c r="B127" s="3551"/>
      <c r="C127" s="3552"/>
      <c r="D127" s="3545">
        <f t="shared" si="8"/>
        <v>0</v>
      </c>
    </row>
    <row r="128" spans="1:4">
      <c r="A128" s="3544" t="s">
        <v>2733</v>
      </c>
      <c r="B128" s="3551"/>
      <c r="C128" s="3552"/>
      <c r="D128" s="3545">
        <f t="shared" si="8"/>
        <v>0</v>
      </c>
    </row>
    <row r="129" spans="1:4">
      <c r="A129" s="3544" t="s">
        <v>2734</v>
      </c>
      <c r="B129" s="3551"/>
      <c r="C129" s="3552"/>
      <c r="D129" s="3545">
        <f t="shared" si="8"/>
        <v>0</v>
      </c>
    </row>
    <row r="130" spans="1:4">
      <c r="A130" s="3544" t="s">
        <v>2735</v>
      </c>
      <c r="B130" s="3551"/>
      <c r="C130" s="3552"/>
      <c r="D130" s="3545">
        <f t="shared" si="8"/>
        <v>0</v>
      </c>
    </row>
    <row r="131" spans="1:4">
      <c r="A131" s="3544" t="s">
        <v>2736</v>
      </c>
      <c r="B131" s="3551"/>
      <c r="C131" s="3552"/>
      <c r="D131" s="3545">
        <f t="shared" si="8"/>
        <v>0</v>
      </c>
    </row>
    <row r="132" spans="1:4">
      <c r="A132" s="3544" t="s">
        <v>2737</v>
      </c>
      <c r="B132" s="3551"/>
      <c r="C132" s="3552"/>
      <c r="D132" s="3545">
        <f t="shared" si="8"/>
        <v>0</v>
      </c>
    </row>
    <row r="133" spans="1:4">
      <c r="A133" s="3544" t="s">
        <v>1274</v>
      </c>
      <c r="B133" s="3551"/>
      <c r="C133" s="3552"/>
      <c r="D133" s="3545">
        <f t="shared" si="8"/>
        <v>0</v>
      </c>
    </row>
    <row r="134" spans="1:4">
      <c r="A134" s="3546"/>
      <c r="B134" s="3526"/>
      <c r="C134" s="3555" t="s">
        <v>1129</v>
      </c>
      <c r="D134" s="3547">
        <f>SUM(D122:D133)</f>
        <v>0</v>
      </c>
    </row>
    <row r="135" spans="1:4">
      <c r="A135" s="3546"/>
      <c r="B135" s="3526"/>
      <c r="C135" s="3546"/>
      <c r="D135" s="3526"/>
    </row>
    <row r="136" spans="1:4" ht="18.75">
      <c r="A136" s="3553" t="s">
        <v>2738</v>
      </c>
      <c r="B136" s="3554" t="s">
        <v>976</v>
      </c>
      <c r="C136" s="3554" t="s">
        <v>180</v>
      </c>
      <c r="D136" s="3554" t="s">
        <v>1129</v>
      </c>
    </row>
    <row r="137" spans="1:4">
      <c r="A137" s="3544" t="s">
        <v>2739</v>
      </c>
      <c r="B137" s="3551"/>
      <c r="C137" s="3552"/>
      <c r="D137" s="3545">
        <f t="shared" ref="D137:D147" si="9">IF(OR(ISBLANK(B137),ISBLANK(C137)),0,B137*VLOOKUP(C137,$L$13:$M$19,2,0)/VLOOKUP($D$10,$L$13:$M$19,2,0))</f>
        <v>0</v>
      </c>
    </row>
    <row r="138" spans="1:4">
      <c r="A138" s="3544" t="s">
        <v>2740</v>
      </c>
      <c r="B138" s="3551"/>
      <c r="C138" s="3552"/>
      <c r="D138" s="3545">
        <f t="shared" si="9"/>
        <v>0</v>
      </c>
    </row>
    <row r="139" spans="1:4">
      <c r="A139" s="3544" t="s">
        <v>2321</v>
      </c>
      <c r="B139" s="3551"/>
      <c r="C139" s="3552"/>
      <c r="D139" s="3545">
        <f t="shared" si="9"/>
        <v>0</v>
      </c>
    </row>
    <row r="140" spans="1:4">
      <c r="A140" s="3544" t="s">
        <v>2741</v>
      </c>
      <c r="B140" s="3551"/>
      <c r="C140" s="3552"/>
      <c r="D140" s="3545">
        <f t="shared" si="9"/>
        <v>0</v>
      </c>
    </row>
    <row r="141" spans="1:4">
      <c r="A141" s="3544" t="s">
        <v>2742</v>
      </c>
      <c r="B141" s="3551"/>
      <c r="C141" s="3552"/>
      <c r="D141" s="3545">
        <f t="shared" si="9"/>
        <v>0</v>
      </c>
    </row>
    <row r="142" spans="1:4">
      <c r="A142" s="3544" t="s">
        <v>2743</v>
      </c>
      <c r="B142" s="3551"/>
      <c r="C142" s="3552"/>
      <c r="D142" s="3545">
        <f t="shared" si="9"/>
        <v>0</v>
      </c>
    </row>
    <row r="143" spans="1:4">
      <c r="A143" s="3544" t="s">
        <v>2744</v>
      </c>
      <c r="B143" s="3551"/>
      <c r="C143" s="3552"/>
      <c r="D143" s="3545">
        <f t="shared" si="9"/>
        <v>0</v>
      </c>
    </row>
    <row r="144" spans="1:4">
      <c r="A144" s="3544" t="s">
        <v>2745</v>
      </c>
      <c r="B144" s="3551"/>
      <c r="C144" s="3552"/>
      <c r="D144" s="3545">
        <f t="shared" si="9"/>
        <v>0</v>
      </c>
    </row>
    <row r="145" spans="1:4">
      <c r="A145" s="3544" t="s">
        <v>2746</v>
      </c>
      <c r="B145" s="3551"/>
      <c r="C145" s="3552"/>
      <c r="D145" s="3545">
        <f t="shared" si="9"/>
        <v>0</v>
      </c>
    </row>
    <row r="146" spans="1:4">
      <c r="A146" s="3544" t="s">
        <v>2747</v>
      </c>
      <c r="B146" s="3551"/>
      <c r="C146" s="3552"/>
      <c r="D146" s="3545">
        <f t="shared" si="9"/>
        <v>0</v>
      </c>
    </row>
    <row r="147" spans="1:4">
      <c r="A147" s="3544" t="s">
        <v>1274</v>
      </c>
      <c r="B147" s="3551"/>
      <c r="C147" s="3552"/>
      <c r="D147" s="3545">
        <f t="shared" si="9"/>
        <v>0</v>
      </c>
    </row>
    <row r="148" spans="1:4">
      <c r="A148" s="3546"/>
      <c r="B148" s="3526"/>
      <c r="C148" s="3555" t="s">
        <v>1129</v>
      </c>
      <c r="D148" s="3547">
        <f>SUM(D137:D147)</f>
        <v>0</v>
      </c>
    </row>
    <row r="149" spans="1:4">
      <c r="A149" s="3546"/>
      <c r="B149" s="3526"/>
      <c r="C149" s="3546"/>
      <c r="D149" s="3526"/>
    </row>
    <row r="151" spans="1:4" ht="23.25">
      <c r="A151" s="4141" t="s">
        <v>2748</v>
      </c>
      <c r="B151" s="4141"/>
      <c r="C151" s="4141"/>
      <c r="D151" s="4141"/>
    </row>
    <row r="152" spans="1:4" ht="18.75">
      <c r="A152" s="4137" t="str">
        <f>IF(ISBLANK(B7),"",B7)</f>
        <v/>
      </c>
      <c r="B152" s="4137"/>
      <c r="C152" s="4137"/>
      <c r="D152" s="4137"/>
    </row>
    <row r="153" spans="1:4" ht="18.75">
      <c r="A153" s="4137" t="str">
        <f>IF(ISBLANK(B8),"",TEXT(B8,"dd/mm/yyyy"))</f>
        <v/>
      </c>
      <c r="B153" s="4137"/>
      <c r="C153" s="4137"/>
      <c r="D153" s="4137"/>
    </row>
    <row r="155" spans="1:4" ht="15.75">
      <c r="A155" s="3527" t="str">
        <f>"Total Income ("&amp;$D$10&amp;")"</f>
        <v>Total Income (Month)</v>
      </c>
      <c r="B155" s="3528"/>
      <c r="C155" s="3529">
        <f>D24</f>
        <v>0</v>
      </c>
      <c r="D155" s="3530">
        <f>IFERROR(C155/$C$155,0)</f>
        <v>0</v>
      </c>
    </row>
    <row r="156" spans="1:4" ht="15.75">
      <c r="A156" s="3527"/>
      <c r="B156" s="3528"/>
      <c r="C156" s="3531"/>
      <c r="D156" s="3528"/>
    </row>
    <row r="157" spans="1:4" ht="15.75">
      <c r="A157" s="3527" t="s">
        <v>313</v>
      </c>
      <c r="B157" s="3528"/>
      <c r="C157" s="3531"/>
      <c r="D157" s="3528"/>
    </row>
    <row r="158" spans="1:4" ht="15.75">
      <c r="A158" s="3520" t="str">
        <f>A26</f>
        <v>Household Expenses</v>
      </c>
      <c r="C158" s="3532">
        <f>D44</f>
        <v>0</v>
      </c>
      <c r="D158" s="3533">
        <f>IFERROR(C158/$C$155,0)</f>
        <v>0</v>
      </c>
    </row>
    <row r="159" spans="1:4" ht="15.75">
      <c r="A159" s="3520" t="str">
        <f>A46</f>
        <v>Insurance</v>
      </c>
      <c r="C159" s="3532">
        <f>D56</f>
        <v>0</v>
      </c>
      <c r="D159" s="3533">
        <f t="shared" ref="D159:D166" si="10">IFERROR(C159/$C$155,0)</f>
        <v>0</v>
      </c>
    </row>
    <row r="160" spans="1:4" ht="15.75">
      <c r="A160" s="3520" t="str">
        <f>A58</f>
        <v>Financial</v>
      </c>
      <c r="C160" s="3532">
        <f>D67</f>
        <v>0</v>
      </c>
      <c r="D160" s="3533">
        <f t="shared" si="10"/>
        <v>0</v>
      </c>
    </row>
    <row r="161" spans="1:4" ht="15.75">
      <c r="A161" s="3520" t="str">
        <f>A69</f>
        <v>Savings and Investments</v>
      </c>
      <c r="C161" s="3532">
        <f>D75</f>
        <v>0</v>
      </c>
      <c r="D161" s="3533">
        <f t="shared" si="10"/>
        <v>0</v>
      </c>
    </row>
    <row r="162" spans="1:4" ht="15.75">
      <c r="A162" s="3520" t="str">
        <f>A77</f>
        <v>Personal Expenses</v>
      </c>
      <c r="C162" s="3532">
        <f>D90</f>
        <v>0</v>
      </c>
      <c r="D162" s="3533">
        <f t="shared" si="10"/>
        <v>0</v>
      </c>
    </row>
    <row r="163" spans="1:4" ht="15.75">
      <c r="A163" s="3520" t="str">
        <f>A92</f>
        <v>Health</v>
      </c>
      <c r="C163" s="3532">
        <f>D100</f>
        <v>0</v>
      </c>
      <c r="D163" s="3533">
        <f t="shared" si="10"/>
        <v>0</v>
      </c>
    </row>
    <row r="164" spans="1:4" ht="15.75">
      <c r="A164" s="3520" t="str">
        <f>A102</f>
        <v>Entertainment</v>
      </c>
      <c r="C164" s="3532">
        <f>D119</f>
        <v>0</v>
      </c>
      <c r="D164" s="3533">
        <f t="shared" si="10"/>
        <v>0</v>
      </c>
    </row>
    <row r="165" spans="1:4" ht="15.75">
      <c r="A165" s="3520" t="str">
        <f>A121</f>
        <v>Transport</v>
      </c>
      <c r="C165" s="3532">
        <f>D134</f>
        <v>0</v>
      </c>
      <c r="D165" s="3533">
        <f t="shared" si="10"/>
        <v>0</v>
      </c>
    </row>
    <row r="166" spans="1:4" ht="15.75">
      <c r="A166" s="3520" t="str">
        <f>A136</f>
        <v>Children</v>
      </c>
      <c r="C166" s="3534">
        <f>D148</f>
        <v>0</v>
      </c>
      <c r="D166" s="3535">
        <f t="shared" si="10"/>
        <v>0</v>
      </c>
    </row>
    <row r="167" spans="1:4" ht="15.75">
      <c r="A167" s="3527" t="str">
        <f>"Total Expenses ("&amp;$D$10&amp;")"</f>
        <v>Total Expenses (Month)</v>
      </c>
      <c r="B167" s="3528"/>
      <c r="C167" s="3529">
        <f>SUM(C158:C166)</f>
        <v>0</v>
      </c>
      <c r="D167" s="3536">
        <f>SUM(D158:D166)</f>
        <v>0</v>
      </c>
    </row>
    <row r="168" spans="1:4" ht="15.75">
      <c r="A168" s="3527"/>
      <c r="B168" s="3528"/>
      <c r="C168" s="3531"/>
      <c r="D168" s="3537"/>
    </row>
    <row r="169" spans="1:4" ht="16.5" thickBot="1">
      <c r="A169" s="3527" t="str">
        <f>IF(C169&gt;=0,"Net Surplus ("&amp;$D$10&amp;")","Net Deficit ("&amp;$D$10&amp;")")</f>
        <v>Net Surplus (Month)</v>
      </c>
      <c r="B169" s="3528"/>
      <c r="C169" s="3538">
        <f>C155-C167</f>
        <v>0</v>
      </c>
      <c r="D169" s="3539">
        <f>IFERROR(C169/$C$155,0)</f>
        <v>0</v>
      </c>
    </row>
    <row r="170" spans="1:4" ht="16.5" thickTop="1">
      <c r="A170" s="3527"/>
      <c r="B170" s="3528"/>
      <c r="C170" s="3528"/>
      <c r="D170" s="3540"/>
    </row>
  </sheetData>
  <mergeCells count="6">
    <mergeCell ref="A153:D153"/>
    <mergeCell ref="F1:G1"/>
    <mergeCell ref="B7:D7"/>
    <mergeCell ref="B8:D8"/>
    <mergeCell ref="A151:D151"/>
    <mergeCell ref="A152:D152"/>
  </mergeCells>
  <dataValidations count="1">
    <dataValidation type="list" allowBlank="1" showInputMessage="1" showErrorMessage="1" sqref="C13:C23 D10 C137:C147 C47:C55 C27:C43 C59:C66 C103:C118 C70:C74 C78:C89 C93:C99 C122:C133" xr:uid="{8FA25270-BB7F-4B27-A7F9-06809964AA8D}">
      <formula1>$L$13:$L$19</formula1>
    </dataValidation>
  </dataValidations>
  <hyperlinks>
    <hyperlink ref="F1" location="'WP Index'!A1" display="Back to Workpaper Index" xr:uid="{AE91B7C6-AEB3-4B51-8434-1EB0B36E19B1}"/>
    <hyperlink ref="F1:G1" location="'WPIndex'!A1" display="Back to Workpaper Index" xr:uid="{DCF20278-0843-414F-B32E-CCEE6439BFF1}"/>
  </hyperlinks>
  <printOptions horizontalCentered="1"/>
  <pageMargins left="0.70866141732283472" right="0.70866141732283472" top="0.74803149606299213" bottom="0.74803149606299213" header="0.31496062992125984" footer="0.31496062992125984"/>
  <pageSetup paperSize="9" fitToHeight="0" orientation="portrait" r:id="rId1"/>
  <headerFooter>
    <oddFooter>&amp;L© Findex (Aust) Pty Ltd.  All rights reserved.&amp;R&amp;P/&amp;N</oddFooter>
  </headerFooter>
  <rowBreaks count="4" manualBreakCount="4">
    <brk id="44" max="16383" man="1"/>
    <brk id="90" max="16383" man="1"/>
    <brk id="134" max="16383" man="1"/>
    <brk id="149" max="16383" man="1"/>
  </rowBreaks>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Rental_Sheet1">
    <tabColor theme="8" tint="0.79998168889431442"/>
    <pageSetUpPr fitToPage="1"/>
  </sheetPr>
  <dimension ref="A1:AH59"/>
  <sheetViews>
    <sheetView zoomScaleNormal="100" workbookViewId="0">
      <selection sqref="A1:F1"/>
    </sheetView>
  </sheetViews>
  <sheetFormatPr defaultColWidth="9.140625" defaultRowHeight="12.75"/>
  <cols>
    <col min="1" max="1" width="25.7109375" style="1919" customWidth="1"/>
    <col min="2" max="2" width="11.5703125" style="1919" customWidth="1"/>
    <col min="3" max="4" width="11.5703125" style="1919" hidden="1" customWidth="1"/>
    <col min="5" max="5" width="11.5703125" style="124" hidden="1" customWidth="1"/>
    <col min="6" max="6" width="11.5703125" style="1919" hidden="1" customWidth="1"/>
    <col min="7" max="11" width="11.5703125" style="124" hidden="1" customWidth="1"/>
    <col min="12" max="14" width="14.7109375" style="124" customWidth="1"/>
    <col min="15" max="15" width="11.5703125" style="124" customWidth="1"/>
    <col min="16" max="16" width="11.5703125" style="1919" customWidth="1"/>
    <col min="17" max="17" width="2" style="1919" customWidth="1"/>
    <col min="18" max="18" width="9.140625" style="1919" customWidth="1"/>
    <col min="19" max="19" width="2.7109375" style="1919" customWidth="1"/>
    <col min="20" max="20" width="9.140625" style="1919"/>
    <col min="21" max="23" width="15" style="1919" customWidth="1"/>
    <col min="24" max="30" width="9.140625" style="1919"/>
    <col min="31" max="31" width="32.28515625" style="1919" customWidth="1"/>
    <col min="32" max="32" width="17.28515625" style="1919" customWidth="1"/>
    <col min="33" max="16384" width="9.140625" style="1919"/>
  </cols>
  <sheetData>
    <row r="1" spans="1:15">
      <c r="N1" s="2613" t="s">
        <v>2425</v>
      </c>
      <c r="O1" s="3576" t="s">
        <v>2758</v>
      </c>
    </row>
    <row r="2" spans="1:15" ht="15.75">
      <c r="A2" s="1917"/>
      <c r="B2" s="1917"/>
      <c r="C2" s="1918"/>
      <c r="D2" s="1918"/>
      <c r="E2" s="1918"/>
      <c r="F2" s="1918"/>
      <c r="G2" s="1918"/>
      <c r="H2" s="1918"/>
      <c r="I2" s="1918"/>
      <c r="J2" s="1918"/>
      <c r="K2" s="1918"/>
      <c r="L2" s="1918"/>
      <c r="M2" s="1918"/>
      <c r="N2" s="40"/>
      <c r="O2" s="1"/>
    </row>
    <row r="3" spans="1:15" s="1921" customFormat="1">
      <c r="A3" s="1920"/>
      <c r="M3" s="1922"/>
      <c r="N3" s="2795" t="s">
        <v>1163</v>
      </c>
      <c r="O3" s="709" t="s">
        <v>1262</v>
      </c>
    </row>
    <row r="4" spans="1:15" s="1921" customFormat="1" ht="17.25" customHeight="1">
      <c r="A4" s="1920"/>
      <c r="M4" s="1923" t="s">
        <v>332</v>
      </c>
      <c r="N4" s="2617" t="str">
        <f>IF(PreparedBy="","",PreparedBy)</f>
        <v/>
      </c>
      <c r="O4" s="2618" t="str">
        <f>IF(DatePrepared="","",DatePrepared)</f>
        <v/>
      </c>
    </row>
    <row r="5" spans="1:15" s="1921" customFormat="1" ht="17.25" customHeight="1">
      <c r="A5" s="1920"/>
      <c r="M5" s="1923" t="s">
        <v>333</v>
      </c>
      <c r="N5" s="2619"/>
      <c r="O5" s="2620"/>
    </row>
    <row r="6" spans="1:15" s="1921" customFormat="1" ht="3.95" customHeight="1">
      <c r="A6" s="1920"/>
      <c r="B6" s="1924"/>
      <c r="C6" s="1924"/>
      <c r="D6" s="1924"/>
      <c r="E6" s="1924"/>
    </row>
    <row r="7" spans="1:15" ht="15.75">
      <c r="A7" s="4153" t="s">
        <v>1075</v>
      </c>
      <c r="B7" s="4154"/>
      <c r="C7" s="4154"/>
      <c r="D7" s="4154"/>
      <c r="E7" s="4154"/>
      <c r="F7" s="4154"/>
      <c r="G7" s="4154"/>
      <c r="H7" s="4154"/>
      <c r="I7" s="4154"/>
      <c r="J7" s="4154"/>
      <c r="K7" s="4154"/>
      <c r="L7" s="4154"/>
      <c r="M7" s="4154"/>
      <c r="N7" s="4154"/>
      <c r="O7" s="4155"/>
    </row>
    <row r="8" spans="1:15">
      <c r="E8" s="1919"/>
      <c r="G8" s="1919"/>
      <c r="H8" s="1919"/>
      <c r="I8" s="1919"/>
      <c r="J8" s="1919"/>
      <c r="K8" s="1919"/>
      <c r="L8" s="1919"/>
      <c r="M8" s="1919"/>
      <c r="N8" s="1919"/>
      <c r="O8" s="1919"/>
    </row>
    <row r="9" spans="1:15">
      <c r="M9" s="3832" t="s">
        <v>2526</v>
      </c>
      <c r="N9" s="3832"/>
      <c r="O9" s="3832"/>
    </row>
    <row r="10" spans="1:15">
      <c r="M10" s="3214"/>
      <c r="N10" s="3214"/>
      <c r="O10" s="3214"/>
    </row>
    <row r="11" spans="1:15" ht="15.75">
      <c r="A11" s="1925" t="s">
        <v>2010</v>
      </c>
      <c r="N11" s="1926" t="s">
        <v>951</v>
      </c>
      <c r="O11" s="1926">
        <f>Period_End</f>
        <v>45473</v>
      </c>
    </row>
    <row r="12" spans="1:15">
      <c r="A12" s="1927" t="s">
        <v>948</v>
      </c>
      <c r="O12" s="3248"/>
    </row>
    <row r="14" spans="1:15">
      <c r="A14" s="1928" t="s">
        <v>1116</v>
      </c>
      <c r="C14" s="4156" t="str">
        <f>_xlfn.SINGLE(_APS_Client)</f>
        <v>KEJAN TRUST NO 2 @Mildura</v>
      </c>
      <c r="D14" s="4157"/>
      <c r="E14" s="4157"/>
      <c r="F14" s="4157"/>
      <c r="G14" s="4157"/>
      <c r="H14" s="4157"/>
      <c r="I14" s="4157"/>
      <c r="J14" s="4157"/>
      <c r="K14" s="4157"/>
      <c r="L14" s="4157"/>
      <c r="M14" s="4157"/>
      <c r="N14" s="4157"/>
      <c r="O14" s="4158"/>
    </row>
    <row r="15" spans="1:15">
      <c r="A15" s="1919" t="s">
        <v>1117</v>
      </c>
      <c r="C15" s="4159"/>
      <c r="D15" s="4160"/>
      <c r="E15" s="4160"/>
      <c r="F15" s="4160"/>
      <c r="G15" s="4160"/>
      <c r="H15" s="4160"/>
      <c r="I15" s="4160"/>
      <c r="J15" s="4160"/>
      <c r="K15" s="4160"/>
      <c r="L15" s="4160"/>
      <c r="M15" s="4160"/>
      <c r="N15" s="4160"/>
      <c r="O15" s="4161"/>
    </row>
    <row r="17" spans="1:34" s="3055" customFormat="1" ht="25.5" hidden="1">
      <c r="E17" s="3663"/>
      <c r="G17" s="3663"/>
      <c r="H17" s="3663"/>
      <c r="I17" s="3663"/>
      <c r="J17" s="3663"/>
      <c r="K17" s="3663"/>
      <c r="L17" s="3663" t="s">
        <v>2011</v>
      </c>
      <c r="M17" s="3663" t="s">
        <v>2012</v>
      </c>
      <c r="N17" s="3663" t="s">
        <v>1013</v>
      </c>
      <c r="O17" s="3663"/>
      <c r="AG17" s="1919"/>
      <c r="AH17" s="1919"/>
    </row>
    <row r="18" spans="1:34" s="3055" customFormat="1" ht="12.75" customHeight="1">
      <c r="A18" s="4162" t="s">
        <v>1287</v>
      </c>
      <c r="B18" s="4163"/>
      <c r="C18" s="4163"/>
      <c r="D18" s="4163"/>
      <c r="E18" s="4163"/>
      <c r="F18" s="4163"/>
      <c r="G18" s="4163"/>
      <c r="H18" s="4163"/>
      <c r="I18" s="4163"/>
      <c r="J18" s="4163"/>
      <c r="K18" s="4163"/>
      <c r="L18" s="4163"/>
      <c r="M18" s="4163"/>
      <c r="N18" s="4163"/>
      <c r="O18" s="4164"/>
      <c r="T18" s="4142" t="s">
        <v>2416</v>
      </c>
      <c r="U18" s="4143"/>
      <c r="V18" s="3056"/>
      <c r="W18" s="3056"/>
      <c r="X18" s="4142" t="s">
        <v>2417</v>
      </c>
      <c r="Y18" s="4144"/>
      <c r="Z18" s="4144"/>
      <c r="AA18" s="4143"/>
      <c r="AB18" s="3056"/>
      <c r="AE18" s="4147" t="s">
        <v>2793</v>
      </c>
      <c r="AF18" s="4148"/>
      <c r="AG18" s="1919"/>
      <c r="AH18" s="1919"/>
    </row>
    <row r="19" spans="1:34" s="3055" customFormat="1" ht="26.25" thickBot="1">
      <c r="A19" s="3146"/>
      <c r="B19" s="3146"/>
      <c r="C19" s="3146"/>
      <c r="D19" s="3146"/>
      <c r="E19" s="3146"/>
      <c r="F19" s="3146"/>
      <c r="G19" s="3146"/>
      <c r="H19" s="3146"/>
      <c r="I19" s="3146"/>
      <c r="J19" s="3146"/>
      <c r="K19" s="3146"/>
      <c r="L19" s="3146"/>
      <c r="M19" s="3146"/>
      <c r="N19" s="3146"/>
      <c r="O19" s="3146"/>
      <c r="R19" s="3056"/>
      <c r="S19" s="3056"/>
      <c r="T19" s="3056"/>
      <c r="V19" s="2253"/>
      <c r="W19" s="2253" t="s">
        <v>2418</v>
      </c>
      <c r="X19" s="3147">
        <v>0</v>
      </c>
      <c r="Y19" s="3147">
        <v>0</v>
      </c>
      <c r="Z19" s="3147">
        <v>0</v>
      </c>
      <c r="AA19" s="3147">
        <v>0</v>
      </c>
      <c r="AB19" s="2247" t="str">
        <f>IF(SUM(X19:AA19)=100%,"OK","ERROR")</f>
        <v>ERROR</v>
      </c>
      <c r="AE19" s="3666" t="s">
        <v>2794</v>
      </c>
      <c r="AF19" s="3667">
        <v>0</v>
      </c>
      <c r="AG19" s="1919"/>
      <c r="AH19" s="1919"/>
    </row>
    <row r="20" spans="1:34" s="1929" customFormat="1" ht="24">
      <c r="C20" s="3662" t="s">
        <v>1105</v>
      </c>
      <c r="D20" s="3662" t="s">
        <v>973</v>
      </c>
      <c r="E20" s="3662" t="s">
        <v>974</v>
      </c>
      <c r="F20" s="3662" t="s">
        <v>1106</v>
      </c>
      <c r="G20" s="3662" t="s">
        <v>975</v>
      </c>
      <c r="H20" s="3662" t="s">
        <v>1279</v>
      </c>
      <c r="I20" s="3662" t="s">
        <v>1108</v>
      </c>
      <c r="J20" s="3662" t="s">
        <v>1280</v>
      </c>
      <c r="K20" s="3662" t="s">
        <v>1281</v>
      </c>
      <c r="L20" s="3664" t="s">
        <v>2011</v>
      </c>
      <c r="M20" s="3664" t="s">
        <v>2012</v>
      </c>
      <c r="N20" s="3664" t="s">
        <v>1013</v>
      </c>
      <c r="O20" s="3664" t="s">
        <v>1115</v>
      </c>
      <c r="P20" s="3664" t="s">
        <v>2792</v>
      </c>
      <c r="Q20" s="3665"/>
      <c r="R20" s="3676" t="s">
        <v>1129</v>
      </c>
      <c r="S20" s="1930"/>
      <c r="T20" s="2606">
        <f>YEAR(O11)-1</f>
        <v>2023</v>
      </c>
      <c r="U20" s="945" t="s">
        <v>1339</v>
      </c>
      <c r="V20" s="3682"/>
      <c r="W20" s="2253" t="s">
        <v>2419</v>
      </c>
      <c r="X20" s="3048" t="s">
        <v>2420</v>
      </c>
      <c r="Y20" s="3048" t="s">
        <v>2420</v>
      </c>
      <c r="Z20" s="3048" t="s">
        <v>2420</v>
      </c>
      <c r="AA20" s="3048" t="s">
        <v>2420</v>
      </c>
      <c r="AD20" s="2247"/>
      <c r="AE20" s="3668" t="s">
        <v>2795</v>
      </c>
      <c r="AF20" s="3669">
        <f>O11-(DATE(YEAR(O11)-1,MONTH(O11)+1,1))+1</f>
        <v>366</v>
      </c>
      <c r="AG20" s="1919"/>
      <c r="AH20" s="1919"/>
    </row>
    <row r="21" spans="1:34">
      <c r="C21" s="1931"/>
      <c r="D21" s="1931"/>
      <c r="E21" s="1931"/>
      <c r="F21" s="1931"/>
      <c r="G21" s="1931"/>
      <c r="H21" s="1931"/>
      <c r="I21" s="1931"/>
      <c r="J21" s="1931"/>
      <c r="K21" s="1931"/>
      <c r="L21" s="1931"/>
      <c r="M21" s="1931"/>
      <c r="N21" s="1931"/>
      <c r="O21" s="1931"/>
      <c r="P21" s="1931"/>
      <c r="Q21" s="3665"/>
      <c r="R21" s="3677"/>
      <c r="T21" s="1479"/>
      <c r="U21" s="1479"/>
      <c r="V21" s="1479"/>
      <c r="W21" s="1479"/>
      <c r="X21" s="1479"/>
      <c r="Y21" s="1479"/>
      <c r="Z21" s="1479"/>
      <c r="AA21" s="1479"/>
      <c r="AD21" s="1479"/>
      <c r="AE21" s="3668" t="s">
        <v>2796</v>
      </c>
      <c r="AF21" s="3670">
        <f>AF19/AF20</f>
        <v>0</v>
      </c>
    </row>
    <row r="22" spans="1:34">
      <c r="A22" s="1919" t="s">
        <v>1114</v>
      </c>
      <c r="C22" s="3049"/>
      <c r="D22" s="3049"/>
      <c r="E22" s="3049"/>
      <c r="F22" s="3049"/>
      <c r="G22" s="3049"/>
      <c r="H22" s="3049"/>
      <c r="I22" s="3049"/>
      <c r="J22" s="3049"/>
      <c r="K22" s="3049"/>
      <c r="L22" s="3049"/>
      <c r="M22" s="3049"/>
      <c r="N22" s="3049"/>
      <c r="O22" s="1931"/>
      <c r="P22" s="1931"/>
      <c r="Q22" s="3665"/>
      <c r="R22" s="3678">
        <f>SUM(C22:P22)</f>
        <v>0</v>
      </c>
      <c r="T22" s="3051"/>
      <c r="U22" s="2607">
        <f>SUM(R22)-T22</f>
        <v>0</v>
      </c>
      <c r="V22" s="2607"/>
      <c r="W22" s="1479"/>
      <c r="X22" s="1932">
        <f>R22*$X$19</f>
        <v>0</v>
      </c>
      <c r="Y22" s="1932">
        <f>R22*$Y$19</f>
        <v>0</v>
      </c>
      <c r="Z22" s="1932">
        <f>R22*$Z$19</f>
        <v>0</v>
      </c>
      <c r="AA22" s="1932">
        <f>R22*$AA$19</f>
        <v>0</v>
      </c>
      <c r="AD22" s="1479"/>
      <c r="AE22" s="1479" t="s">
        <v>1276</v>
      </c>
      <c r="AF22" s="3672">
        <f>1-AF21</f>
        <v>1</v>
      </c>
      <c r="AG22" s="1479"/>
      <c r="AH22" s="1479"/>
    </row>
    <row r="23" spans="1:34">
      <c r="A23" s="1919" t="s">
        <v>968</v>
      </c>
      <c r="C23" s="3050"/>
      <c r="D23" s="3050"/>
      <c r="E23" s="3050"/>
      <c r="F23" s="3050"/>
      <c r="G23" s="3050"/>
      <c r="H23" s="3050"/>
      <c r="I23" s="3050"/>
      <c r="J23" s="3050"/>
      <c r="K23" s="3050"/>
      <c r="L23" s="3050"/>
      <c r="M23" s="3050"/>
      <c r="N23" s="3050"/>
      <c r="O23" s="1931"/>
      <c r="P23" s="1931"/>
      <c r="Q23" s="3665"/>
      <c r="R23" s="3678">
        <f>SUM(C23:P23)</f>
        <v>0</v>
      </c>
      <c r="T23" s="3052"/>
      <c r="U23" s="2607">
        <f t="shared" ref="U23:U24" si="0">SUM(R23)-T23</f>
        <v>0</v>
      </c>
      <c r="V23" s="2607"/>
      <c r="W23" s="1479"/>
      <c r="X23" s="1932">
        <f>R23*$X$19</f>
        <v>0</v>
      </c>
      <c r="Y23" s="1932">
        <f>R23*$Y$19</f>
        <v>0</v>
      </c>
      <c r="Z23" s="1932">
        <f>R23*$Z$19</f>
        <v>0</v>
      </c>
      <c r="AA23" s="1932">
        <f>R23*$AA$19</f>
        <v>0</v>
      </c>
      <c r="AD23" s="1479"/>
      <c r="AE23" s="1479"/>
      <c r="AF23" s="1479"/>
      <c r="AG23" s="1479"/>
      <c r="AH23" s="1479"/>
    </row>
    <row r="24" spans="1:34">
      <c r="A24" s="1928" t="s">
        <v>1173</v>
      </c>
      <c r="C24" s="717">
        <f>SUM(C22:C23)</f>
        <v>0</v>
      </c>
      <c r="D24" s="717">
        <f t="shared" ref="D24:P24" si="1">SUM(D22:D23)</f>
        <v>0</v>
      </c>
      <c r="E24" s="717">
        <f t="shared" si="1"/>
        <v>0</v>
      </c>
      <c r="F24" s="717">
        <f t="shared" si="1"/>
        <v>0</v>
      </c>
      <c r="G24" s="717">
        <f t="shared" si="1"/>
        <v>0</v>
      </c>
      <c r="H24" s="717">
        <f t="shared" si="1"/>
        <v>0</v>
      </c>
      <c r="I24" s="717">
        <f t="shared" si="1"/>
        <v>0</v>
      </c>
      <c r="J24" s="717">
        <f t="shared" si="1"/>
        <v>0</v>
      </c>
      <c r="K24" s="717">
        <f t="shared" si="1"/>
        <v>0</v>
      </c>
      <c r="L24" s="717">
        <f t="shared" si="1"/>
        <v>0</v>
      </c>
      <c r="M24" s="717">
        <f t="shared" si="1"/>
        <v>0</v>
      </c>
      <c r="N24" s="717">
        <f t="shared" si="1"/>
        <v>0</v>
      </c>
      <c r="O24" s="717">
        <f t="shared" si="1"/>
        <v>0</v>
      </c>
      <c r="P24" s="717">
        <f t="shared" si="1"/>
        <v>0</v>
      </c>
      <c r="Q24" s="3665"/>
      <c r="R24" s="3679">
        <f>SUM(R22:R23)</f>
        <v>0</v>
      </c>
      <c r="T24" s="2608">
        <f>SUM(T22:T23)</f>
        <v>0</v>
      </c>
      <c r="U24" s="2607">
        <f t="shared" si="0"/>
        <v>0</v>
      </c>
      <c r="V24" s="2607"/>
      <c r="W24" s="1479"/>
      <c r="X24" s="2608">
        <f>R24*$X$19</f>
        <v>0</v>
      </c>
      <c r="Y24" s="2608">
        <f>R24*$Y$19</f>
        <v>0</v>
      </c>
      <c r="Z24" s="2608">
        <f>R24*$Z$19</f>
        <v>0</v>
      </c>
      <c r="AA24" s="2608">
        <f>R24*$AA$19</f>
        <v>0</v>
      </c>
      <c r="AD24" s="1479"/>
      <c r="AE24" s="574"/>
      <c r="AF24" s="3660" t="s">
        <v>2797</v>
      </c>
      <c r="AG24" s="3056"/>
      <c r="AH24" s="3056"/>
    </row>
    <row r="25" spans="1:34">
      <c r="C25" s="1932"/>
      <c r="D25" s="1932"/>
      <c r="E25" s="1932"/>
      <c r="F25" s="1932"/>
      <c r="G25" s="1932"/>
      <c r="H25" s="1932"/>
      <c r="I25" s="1932"/>
      <c r="J25" s="1932"/>
      <c r="K25" s="1932"/>
      <c r="L25" s="1932"/>
      <c r="M25" s="1932"/>
      <c r="N25" s="1932"/>
      <c r="O25" s="1931"/>
      <c r="P25" s="1932"/>
      <c r="Q25" s="3665"/>
      <c r="R25" s="3678"/>
      <c r="T25" s="1932"/>
      <c r="U25" s="2607"/>
      <c r="V25" s="2607"/>
      <c r="W25" s="3"/>
      <c r="X25" s="1932"/>
      <c r="Y25" s="1932"/>
      <c r="Z25" s="1932"/>
      <c r="AA25" s="1932"/>
      <c r="AD25" s="1479"/>
      <c r="AE25" s="45"/>
      <c r="AF25" s="1479"/>
      <c r="AG25" s="1479"/>
      <c r="AH25" s="1479"/>
    </row>
    <row r="26" spans="1:34">
      <c r="A26" s="1919" t="s">
        <v>1059</v>
      </c>
      <c r="C26" s="3053"/>
      <c r="D26" s="3053"/>
      <c r="E26" s="3053"/>
      <c r="F26" s="3053"/>
      <c r="G26" s="3053"/>
      <c r="H26" s="3053"/>
      <c r="I26" s="3053"/>
      <c r="J26" s="3053"/>
      <c r="K26" s="3053"/>
      <c r="L26" s="3053"/>
      <c r="M26" s="3053"/>
      <c r="N26" s="3053"/>
      <c r="O26" s="1931"/>
      <c r="P26" s="1932">
        <f>(SUM(L26:O26)*(1-AF26))*-1</f>
        <v>0</v>
      </c>
      <c r="Q26" s="3665"/>
      <c r="R26" s="3678">
        <f>SUM(C26:P26)</f>
        <v>0</v>
      </c>
      <c r="T26" s="3051"/>
      <c r="U26" s="2607">
        <f>SUM(R26)-T26</f>
        <v>0</v>
      </c>
      <c r="V26" s="2607"/>
      <c r="W26" s="1479"/>
      <c r="X26" s="1932">
        <f t="shared" ref="X26:X48" si="2">R26*$X$19</f>
        <v>0</v>
      </c>
      <c r="Y26" s="1932">
        <f t="shared" ref="Y26:Y48" si="3">R26*$Y$19</f>
        <v>0</v>
      </c>
      <c r="Z26" s="1932">
        <f t="shared" ref="Z26:Z48" si="4">R26*$Z$19</f>
        <v>0</v>
      </c>
      <c r="AA26" s="1932">
        <f t="shared" ref="AA26:AA48" si="5">R26*$AA$19</f>
        <v>0</v>
      </c>
      <c r="AD26" s="1479"/>
      <c r="AE26" s="1479" t="str">
        <f>A26</f>
        <v>Advertising for tenants</v>
      </c>
      <c r="AF26" s="3671">
        <v>1</v>
      </c>
      <c r="AG26" s="1479"/>
      <c r="AH26" s="1479"/>
    </row>
    <row r="27" spans="1:34">
      <c r="A27" s="1919" t="s">
        <v>978</v>
      </c>
      <c r="C27" s="3054"/>
      <c r="D27" s="3054"/>
      <c r="E27" s="3054"/>
      <c r="F27" s="3054"/>
      <c r="G27" s="3054"/>
      <c r="H27" s="3054"/>
      <c r="I27" s="3054"/>
      <c r="J27" s="3054"/>
      <c r="K27" s="3054"/>
      <c r="L27" s="3054"/>
      <c r="M27" s="3054"/>
      <c r="N27" s="3054"/>
      <c r="O27" s="1931"/>
      <c r="P27" s="1932">
        <f t="shared" ref="P27:P47" si="6">(SUM(L27:O27)*(1-AF27))*-1</f>
        <v>0</v>
      </c>
      <c r="Q27" s="3665"/>
      <c r="R27" s="3678">
        <f t="shared" ref="R27:R47" si="7">SUM(C27:P27)</f>
        <v>0</v>
      </c>
      <c r="T27" s="3052"/>
      <c r="U27" s="2607">
        <f t="shared" ref="U27:U50" si="8">SUM(R27)-T27</f>
        <v>0</v>
      </c>
      <c r="V27" s="2607"/>
      <c r="W27" s="1479"/>
      <c r="X27" s="1932">
        <f t="shared" si="2"/>
        <v>0</v>
      </c>
      <c r="Y27" s="1932">
        <f t="shared" si="3"/>
        <v>0</v>
      </c>
      <c r="Z27" s="1932">
        <f t="shared" si="4"/>
        <v>0</v>
      </c>
      <c r="AA27" s="1932">
        <f t="shared" si="5"/>
        <v>0</v>
      </c>
      <c r="AD27" s="1479"/>
      <c r="AE27" s="1479" t="str">
        <f t="shared" ref="AE27:AE47" si="9">A27</f>
        <v>Body Corp (Maint) Levy</v>
      </c>
      <c r="AF27" s="3671">
        <f>1-$AF$17</f>
        <v>1</v>
      </c>
      <c r="AG27" s="1479"/>
      <c r="AH27" s="1479"/>
    </row>
    <row r="28" spans="1:34">
      <c r="A28" s="1919" t="s">
        <v>335</v>
      </c>
      <c r="C28" s="3054"/>
      <c r="D28" s="3054"/>
      <c r="E28" s="3054"/>
      <c r="F28" s="3054"/>
      <c r="G28" s="3054"/>
      <c r="H28" s="3054"/>
      <c r="I28" s="3054"/>
      <c r="J28" s="3054"/>
      <c r="K28" s="3054"/>
      <c r="L28" s="3054"/>
      <c r="M28" s="3054"/>
      <c r="N28" s="3054"/>
      <c r="O28" s="1931"/>
      <c r="P28" s="1932">
        <f t="shared" si="6"/>
        <v>0</v>
      </c>
      <c r="Q28" s="3665"/>
      <c r="R28" s="3678">
        <f t="shared" si="7"/>
        <v>0</v>
      </c>
      <c r="T28" s="3051"/>
      <c r="U28" s="2607">
        <f t="shared" si="8"/>
        <v>0</v>
      </c>
      <c r="V28" s="2607"/>
      <c r="W28" s="1479"/>
      <c r="X28" s="1932">
        <f t="shared" si="2"/>
        <v>0</v>
      </c>
      <c r="Y28" s="1932">
        <f t="shared" si="3"/>
        <v>0</v>
      </c>
      <c r="Z28" s="1932">
        <f t="shared" si="4"/>
        <v>0</v>
      </c>
      <c r="AA28" s="1932">
        <f t="shared" si="5"/>
        <v>0</v>
      </c>
      <c r="AD28" s="1479"/>
      <c r="AE28" s="1479" t="str">
        <f t="shared" si="9"/>
        <v>Borrowing Expenses</v>
      </c>
      <c r="AF28" s="3671">
        <f t="shared" ref="AF28:AF47" si="10">1-$AF$17</f>
        <v>1</v>
      </c>
      <c r="AG28" s="1479"/>
      <c r="AH28" s="1479"/>
    </row>
    <row r="29" spans="1:34">
      <c r="A29" s="1919" t="s">
        <v>336</v>
      </c>
      <c r="C29" s="3054"/>
      <c r="D29" s="3054"/>
      <c r="E29" s="3054"/>
      <c r="F29" s="3054"/>
      <c r="G29" s="3054"/>
      <c r="H29" s="3054"/>
      <c r="I29" s="3054"/>
      <c r="J29" s="3054"/>
      <c r="K29" s="3054"/>
      <c r="L29" s="3054"/>
      <c r="M29" s="3054"/>
      <c r="N29" s="3054"/>
      <c r="O29" s="1931"/>
      <c r="P29" s="1932">
        <f t="shared" si="6"/>
        <v>0</v>
      </c>
      <c r="Q29" s="3665"/>
      <c r="R29" s="3678">
        <f t="shared" si="7"/>
        <v>0</v>
      </c>
      <c r="T29" s="3052"/>
      <c r="U29" s="2607">
        <f t="shared" si="8"/>
        <v>0</v>
      </c>
      <c r="V29" s="2607"/>
      <c r="W29" s="1479"/>
      <c r="X29" s="1932">
        <f t="shared" si="2"/>
        <v>0</v>
      </c>
      <c r="Y29" s="1932">
        <f t="shared" si="3"/>
        <v>0</v>
      </c>
      <c r="Z29" s="1932">
        <f t="shared" si="4"/>
        <v>0</v>
      </c>
      <c r="AA29" s="1932">
        <f t="shared" si="5"/>
        <v>0</v>
      </c>
      <c r="AD29" s="1479"/>
      <c r="AE29" s="1479" t="str">
        <f t="shared" si="9"/>
        <v>Cleaning</v>
      </c>
      <c r="AF29" s="3671">
        <f t="shared" si="10"/>
        <v>1</v>
      </c>
      <c r="AG29" s="1479"/>
      <c r="AH29" s="1479"/>
    </row>
    <row r="30" spans="1:34">
      <c r="A30" s="1919" t="s">
        <v>970</v>
      </c>
      <c r="C30" s="3054"/>
      <c r="D30" s="3054"/>
      <c r="E30" s="3054"/>
      <c r="F30" s="3054"/>
      <c r="G30" s="3054"/>
      <c r="H30" s="3054"/>
      <c r="I30" s="3054"/>
      <c r="J30" s="3054"/>
      <c r="K30" s="3054"/>
      <c r="L30" s="3054"/>
      <c r="M30" s="3054"/>
      <c r="N30" s="3054"/>
      <c r="O30" s="1931"/>
      <c r="P30" s="1932">
        <f t="shared" si="6"/>
        <v>0</v>
      </c>
      <c r="Q30" s="3665"/>
      <c r="R30" s="3678">
        <f t="shared" si="7"/>
        <v>0</v>
      </c>
      <c r="T30" s="3051"/>
      <c r="U30" s="2607">
        <f t="shared" si="8"/>
        <v>0</v>
      </c>
      <c r="V30" s="2607"/>
      <c r="W30" s="1479"/>
      <c r="X30" s="1932">
        <f t="shared" si="2"/>
        <v>0</v>
      </c>
      <c r="Y30" s="1932">
        <f t="shared" si="3"/>
        <v>0</v>
      </c>
      <c r="Z30" s="1932">
        <f t="shared" si="4"/>
        <v>0</v>
      </c>
      <c r="AA30" s="1932">
        <f t="shared" si="5"/>
        <v>0</v>
      </c>
      <c r="AD30" s="1479"/>
      <c r="AE30" s="1479" t="str">
        <f t="shared" si="9"/>
        <v>Council Rates</v>
      </c>
      <c r="AF30" s="3671">
        <f t="shared" si="10"/>
        <v>1</v>
      </c>
      <c r="AG30" s="1479"/>
      <c r="AH30" s="1479"/>
    </row>
    <row r="31" spans="1:34">
      <c r="A31" s="1919" t="s">
        <v>337</v>
      </c>
      <c r="C31" s="3054"/>
      <c r="D31" s="3054"/>
      <c r="E31" s="3054"/>
      <c r="F31" s="3054"/>
      <c r="G31" s="3054"/>
      <c r="H31" s="3054"/>
      <c r="I31" s="3054"/>
      <c r="J31" s="3054"/>
      <c r="K31" s="3054"/>
      <c r="L31" s="3054"/>
      <c r="M31" s="3054"/>
      <c r="N31" s="3054"/>
      <c r="O31" s="3054"/>
      <c r="P31" s="1932">
        <f t="shared" si="6"/>
        <v>0</v>
      </c>
      <c r="Q31" s="3665"/>
      <c r="R31" s="3678">
        <f t="shared" si="7"/>
        <v>0</v>
      </c>
      <c r="T31" s="3052"/>
      <c r="U31" s="2607">
        <f t="shared" si="8"/>
        <v>0</v>
      </c>
      <c r="V31" s="2607"/>
      <c r="W31" s="1479"/>
      <c r="X31" s="1932">
        <f t="shared" si="2"/>
        <v>0</v>
      </c>
      <c r="Y31" s="1932">
        <f t="shared" si="3"/>
        <v>0</v>
      </c>
      <c r="Z31" s="1932">
        <f t="shared" si="4"/>
        <v>0</v>
      </c>
      <c r="AA31" s="1932">
        <f t="shared" si="5"/>
        <v>0</v>
      </c>
      <c r="AD31" s="1479"/>
      <c r="AE31" s="1479" t="str">
        <f t="shared" si="9"/>
        <v>Capital Allowances - depn</v>
      </c>
      <c r="AF31" s="3671">
        <f t="shared" si="10"/>
        <v>1</v>
      </c>
      <c r="AG31" s="1479"/>
      <c r="AH31" s="1479"/>
    </row>
    <row r="32" spans="1:34">
      <c r="A32" s="1919" t="s">
        <v>338</v>
      </c>
      <c r="C32" s="3054"/>
      <c r="D32" s="3054"/>
      <c r="E32" s="3054"/>
      <c r="F32" s="3054"/>
      <c r="G32" s="3054"/>
      <c r="H32" s="3054"/>
      <c r="I32" s="3054"/>
      <c r="J32" s="3054"/>
      <c r="K32" s="3054"/>
      <c r="L32" s="3054"/>
      <c r="M32" s="3054"/>
      <c r="N32" s="3054"/>
      <c r="O32" s="1931"/>
      <c r="P32" s="1932">
        <f t="shared" si="6"/>
        <v>0</v>
      </c>
      <c r="Q32" s="3665"/>
      <c r="R32" s="3678">
        <f t="shared" si="7"/>
        <v>0</v>
      </c>
      <c r="T32" s="3051"/>
      <c r="U32" s="2607">
        <f t="shared" si="8"/>
        <v>0</v>
      </c>
      <c r="V32" s="2607"/>
      <c r="W32" s="1479"/>
      <c r="X32" s="1932">
        <f t="shared" si="2"/>
        <v>0</v>
      </c>
      <c r="Y32" s="1932">
        <f t="shared" si="3"/>
        <v>0</v>
      </c>
      <c r="Z32" s="1932">
        <f t="shared" si="4"/>
        <v>0</v>
      </c>
      <c r="AA32" s="1932">
        <f t="shared" si="5"/>
        <v>0</v>
      </c>
      <c r="AD32" s="1479"/>
      <c r="AE32" s="1479" t="str">
        <f t="shared" si="9"/>
        <v>Gardening/Lawn</v>
      </c>
      <c r="AF32" s="3671">
        <f t="shared" si="10"/>
        <v>1</v>
      </c>
      <c r="AG32" s="1479"/>
      <c r="AH32" s="1479"/>
    </row>
    <row r="33" spans="1:34">
      <c r="A33" s="1919" t="s">
        <v>1270</v>
      </c>
      <c r="C33" s="3054"/>
      <c r="D33" s="3054"/>
      <c r="E33" s="3054"/>
      <c r="F33" s="3054"/>
      <c r="G33" s="3054"/>
      <c r="H33" s="3054"/>
      <c r="I33" s="3054"/>
      <c r="J33" s="3054"/>
      <c r="K33" s="3054"/>
      <c r="L33" s="3054"/>
      <c r="M33" s="3054"/>
      <c r="N33" s="3054"/>
      <c r="O33" s="1931"/>
      <c r="P33" s="1932">
        <f t="shared" si="6"/>
        <v>0</v>
      </c>
      <c r="Q33" s="3665"/>
      <c r="R33" s="3678">
        <f t="shared" si="7"/>
        <v>0</v>
      </c>
      <c r="T33" s="3052"/>
      <c r="U33" s="2607">
        <f t="shared" si="8"/>
        <v>0</v>
      </c>
      <c r="V33" s="2607"/>
      <c r="W33" s="1479"/>
      <c r="X33" s="1932">
        <f t="shared" si="2"/>
        <v>0</v>
      </c>
      <c r="Y33" s="1932">
        <f t="shared" si="3"/>
        <v>0</v>
      </c>
      <c r="Z33" s="1932">
        <f t="shared" si="4"/>
        <v>0</v>
      </c>
      <c r="AA33" s="1932">
        <f t="shared" si="5"/>
        <v>0</v>
      </c>
      <c r="AD33" s="1479"/>
      <c r="AE33" s="1479" t="str">
        <f t="shared" si="9"/>
        <v>Insurance</v>
      </c>
      <c r="AF33" s="3671">
        <f t="shared" si="10"/>
        <v>1</v>
      </c>
      <c r="AG33" s="1479"/>
      <c r="AH33" s="1479"/>
    </row>
    <row r="34" spans="1:34">
      <c r="A34" s="1919" t="s">
        <v>1156</v>
      </c>
      <c r="C34" s="3054"/>
      <c r="D34" s="3054"/>
      <c r="E34" s="3054"/>
      <c r="F34" s="3054"/>
      <c r="G34" s="3054"/>
      <c r="H34" s="3054"/>
      <c r="I34" s="3054"/>
      <c r="J34" s="3054"/>
      <c r="K34" s="3054"/>
      <c r="L34" s="3054"/>
      <c r="M34" s="3054"/>
      <c r="N34" s="3054"/>
      <c r="O34" s="1931"/>
      <c r="P34" s="1932">
        <f t="shared" si="6"/>
        <v>0</v>
      </c>
      <c r="Q34" s="3665"/>
      <c r="R34" s="3678">
        <f t="shared" si="7"/>
        <v>0</v>
      </c>
      <c r="T34" s="3051"/>
      <c r="U34" s="2607">
        <f t="shared" si="8"/>
        <v>0</v>
      </c>
      <c r="V34" s="2607"/>
      <c r="W34" s="1479"/>
      <c r="X34" s="1932">
        <f t="shared" si="2"/>
        <v>0</v>
      </c>
      <c r="Y34" s="1932">
        <f t="shared" si="3"/>
        <v>0</v>
      </c>
      <c r="Z34" s="1932">
        <f t="shared" si="4"/>
        <v>0</v>
      </c>
      <c r="AA34" s="1932">
        <f t="shared" si="5"/>
        <v>0</v>
      </c>
      <c r="AD34" s="1479"/>
      <c r="AE34" s="1479" t="str">
        <f t="shared" si="9"/>
        <v>Interest on loan</v>
      </c>
      <c r="AF34" s="3671">
        <f t="shared" si="10"/>
        <v>1</v>
      </c>
      <c r="AG34" s="1479"/>
      <c r="AH34" s="1479"/>
    </row>
    <row r="35" spans="1:34">
      <c r="A35" s="1919" t="s">
        <v>339</v>
      </c>
      <c r="C35" s="3054"/>
      <c r="D35" s="3054"/>
      <c r="E35" s="3054"/>
      <c r="F35" s="3054"/>
      <c r="G35" s="3054"/>
      <c r="H35" s="3054"/>
      <c r="I35" s="3054"/>
      <c r="J35" s="3054"/>
      <c r="K35" s="3054"/>
      <c r="L35" s="3054"/>
      <c r="M35" s="3054"/>
      <c r="N35" s="3054"/>
      <c r="O35" s="1931"/>
      <c r="P35" s="1932">
        <f t="shared" si="6"/>
        <v>0</v>
      </c>
      <c r="Q35" s="3665"/>
      <c r="R35" s="3678">
        <f t="shared" si="7"/>
        <v>0</v>
      </c>
      <c r="T35" s="3052"/>
      <c r="U35" s="2607">
        <f t="shared" si="8"/>
        <v>0</v>
      </c>
      <c r="V35" s="2607"/>
      <c r="W35" s="1479"/>
      <c r="X35" s="1932">
        <f t="shared" si="2"/>
        <v>0</v>
      </c>
      <c r="Y35" s="1932">
        <f t="shared" si="3"/>
        <v>0</v>
      </c>
      <c r="Z35" s="1932">
        <f t="shared" si="4"/>
        <v>0</v>
      </c>
      <c r="AA35" s="1932">
        <f t="shared" si="5"/>
        <v>0</v>
      </c>
      <c r="AD35" s="1479"/>
      <c r="AE35" s="1479" t="str">
        <f t="shared" si="9"/>
        <v>Land Tax</v>
      </c>
      <c r="AF35" s="3671">
        <f t="shared" si="10"/>
        <v>1</v>
      </c>
      <c r="AG35" s="1479"/>
      <c r="AH35" s="1479"/>
    </row>
    <row r="36" spans="1:34">
      <c r="A36" s="1919" t="s">
        <v>340</v>
      </c>
      <c r="C36" s="3054"/>
      <c r="D36" s="3054"/>
      <c r="E36" s="3054"/>
      <c r="F36" s="3054"/>
      <c r="G36" s="3054"/>
      <c r="H36" s="3054"/>
      <c r="I36" s="3054"/>
      <c r="J36" s="3054"/>
      <c r="K36" s="3054"/>
      <c r="L36" s="3054"/>
      <c r="M36" s="3054"/>
      <c r="N36" s="3054"/>
      <c r="O36" s="1931"/>
      <c r="P36" s="1932">
        <f t="shared" si="6"/>
        <v>0</v>
      </c>
      <c r="Q36" s="3665"/>
      <c r="R36" s="3678">
        <f t="shared" si="7"/>
        <v>0</v>
      </c>
      <c r="T36" s="3051"/>
      <c r="U36" s="2607">
        <f t="shared" si="8"/>
        <v>0</v>
      </c>
      <c r="V36" s="2607"/>
      <c r="W36" s="1479"/>
      <c r="X36" s="1932">
        <f t="shared" si="2"/>
        <v>0</v>
      </c>
      <c r="Y36" s="1932">
        <f t="shared" si="3"/>
        <v>0</v>
      </c>
      <c r="Z36" s="1932">
        <f t="shared" si="4"/>
        <v>0</v>
      </c>
      <c r="AA36" s="1932">
        <f t="shared" si="5"/>
        <v>0</v>
      </c>
      <c r="AD36" s="1479"/>
      <c r="AE36" s="1479" t="str">
        <f t="shared" si="9"/>
        <v>Legal Fees</v>
      </c>
      <c r="AF36" s="3671">
        <f t="shared" si="10"/>
        <v>1</v>
      </c>
      <c r="AG36" s="1479"/>
      <c r="AH36" s="1479"/>
    </row>
    <row r="37" spans="1:34">
      <c r="A37" s="1919" t="s">
        <v>969</v>
      </c>
      <c r="C37" s="3054"/>
      <c r="D37" s="3054"/>
      <c r="E37" s="3054"/>
      <c r="F37" s="3054"/>
      <c r="G37" s="3054"/>
      <c r="H37" s="3054"/>
      <c r="I37" s="3054"/>
      <c r="J37" s="3054"/>
      <c r="K37" s="3054"/>
      <c r="L37" s="3054"/>
      <c r="M37" s="3054"/>
      <c r="N37" s="3054"/>
      <c r="O37" s="1931"/>
      <c r="P37" s="1932">
        <f t="shared" si="6"/>
        <v>0</v>
      </c>
      <c r="Q37" s="3665"/>
      <c r="R37" s="3678">
        <f t="shared" si="7"/>
        <v>0</v>
      </c>
      <c r="T37" s="3052"/>
      <c r="U37" s="2607">
        <f t="shared" si="8"/>
        <v>0</v>
      </c>
      <c r="V37" s="2607"/>
      <c r="W37" s="1479"/>
      <c r="X37" s="1932">
        <f t="shared" si="2"/>
        <v>0</v>
      </c>
      <c r="Y37" s="1932">
        <f t="shared" si="3"/>
        <v>0</v>
      </c>
      <c r="Z37" s="1932">
        <f t="shared" si="4"/>
        <v>0</v>
      </c>
      <c r="AA37" s="1932">
        <f t="shared" si="5"/>
        <v>0</v>
      </c>
      <c r="AD37" s="1479"/>
      <c r="AE37" s="1479" t="str">
        <f t="shared" si="9"/>
        <v>Pest Control</v>
      </c>
      <c r="AF37" s="3671">
        <f t="shared" si="10"/>
        <v>1</v>
      </c>
      <c r="AG37" s="1479"/>
      <c r="AH37" s="1479"/>
    </row>
    <row r="38" spans="1:34">
      <c r="A38" s="1919" t="s">
        <v>341</v>
      </c>
      <c r="C38" s="3054"/>
      <c r="D38" s="3054"/>
      <c r="E38" s="3054"/>
      <c r="F38" s="3054"/>
      <c r="G38" s="3054"/>
      <c r="H38" s="3054"/>
      <c r="I38" s="3054"/>
      <c r="J38" s="3054"/>
      <c r="K38" s="3054"/>
      <c r="L38" s="3054"/>
      <c r="M38" s="3054"/>
      <c r="N38" s="3054"/>
      <c r="O38" s="1931"/>
      <c r="P38" s="1932">
        <f t="shared" si="6"/>
        <v>0</v>
      </c>
      <c r="Q38" s="3665"/>
      <c r="R38" s="3678">
        <f t="shared" si="7"/>
        <v>0</v>
      </c>
      <c r="T38" s="3051"/>
      <c r="U38" s="2607">
        <f t="shared" si="8"/>
        <v>0</v>
      </c>
      <c r="V38" s="2607"/>
      <c r="W38" s="1479"/>
      <c r="X38" s="1932">
        <f t="shared" si="2"/>
        <v>0</v>
      </c>
      <c r="Y38" s="1932">
        <f t="shared" si="3"/>
        <v>0</v>
      </c>
      <c r="Z38" s="1932">
        <f t="shared" si="4"/>
        <v>0</v>
      </c>
      <c r="AA38" s="1932">
        <f t="shared" si="5"/>
        <v>0</v>
      </c>
      <c r="AD38" s="1479"/>
      <c r="AE38" s="1479" t="str">
        <f t="shared" si="9"/>
        <v>Property Agent Fees</v>
      </c>
      <c r="AF38" s="3671">
        <f t="shared" si="10"/>
        <v>1</v>
      </c>
      <c r="AG38" s="1479"/>
      <c r="AH38" s="1479"/>
    </row>
    <row r="39" spans="1:34">
      <c r="A39" s="1919" t="s">
        <v>1118</v>
      </c>
      <c r="C39" s="3054"/>
      <c r="D39" s="3054"/>
      <c r="E39" s="3054"/>
      <c r="F39" s="3054"/>
      <c r="G39" s="3054"/>
      <c r="H39" s="3054"/>
      <c r="I39" s="3054"/>
      <c r="J39" s="3054"/>
      <c r="K39" s="3054"/>
      <c r="L39" s="3054"/>
      <c r="M39" s="3054"/>
      <c r="N39" s="3054"/>
      <c r="O39" s="1931"/>
      <c r="P39" s="1932">
        <f t="shared" si="6"/>
        <v>0</v>
      </c>
      <c r="Q39" s="3665"/>
      <c r="R39" s="3678">
        <f t="shared" si="7"/>
        <v>0</v>
      </c>
      <c r="T39" s="3052"/>
      <c r="U39" s="2607">
        <f t="shared" si="8"/>
        <v>0</v>
      </c>
      <c r="V39" s="2607"/>
      <c r="W39" s="1479"/>
      <c r="X39" s="1932">
        <f t="shared" si="2"/>
        <v>0</v>
      </c>
      <c r="Y39" s="1932">
        <f t="shared" si="3"/>
        <v>0</v>
      </c>
      <c r="Z39" s="1932">
        <f t="shared" si="4"/>
        <v>0</v>
      </c>
      <c r="AA39" s="1932">
        <f t="shared" si="5"/>
        <v>0</v>
      </c>
      <c r="AD39" s="1479"/>
      <c r="AE39" s="1479" t="str">
        <f t="shared" si="9"/>
        <v>Repairs &amp; Maintenance</v>
      </c>
      <c r="AF39" s="3671">
        <f t="shared" si="10"/>
        <v>1</v>
      </c>
      <c r="AG39" s="1479"/>
      <c r="AH39" s="1479"/>
    </row>
    <row r="40" spans="1:34">
      <c r="A40" s="1919" t="s">
        <v>342</v>
      </c>
      <c r="C40" s="3054"/>
      <c r="D40" s="3054"/>
      <c r="E40" s="3054"/>
      <c r="F40" s="3054"/>
      <c r="G40" s="3054"/>
      <c r="H40" s="3054"/>
      <c r="I40" s="3054"/>
      <c r="J40" s="3054"/>
      <c r="K40" s="3054"/>
      <c r="L40" s="3054"/>
      <c r="M40" s="3054"/>
      <c r="N40" s="3054"/>
      <c r="O40" s="3054"/>
      <c r="P40" s="1932">
        <f t="shared" si="6"/>
        <v>0</v>
      </c>
      <c r="Q40" s="3665"/>
      <c r="R40" s="3678">
        <f t="shared" si="7"/>
        <v>0</v>
      </c>
      <c r="T40" s="3051"/>
      <c r="U40" s="2607">
        <f t="shared" si="8"/>
        <v>0</v>
      </c>
      <c r="V40" s="2607"/>
      <c r="W40" s="1479"/>
      <c r="X40" s="1932">
        <f t="shared" si="2"/>
        <v>0</v>
      </c>
      <c r="Y40" s="1932">
        <f t="shared" si="3"/>
        <v>0</v>
      </c>
      <c r="Z40" s="1932">
        <f t="shared" si="4"/>
        <v>0</v>
      </c>
      <c r="AA40" s="1932">
        <f t="shared" si="5"/>
        <v>0</v>
      </c>
      <c r="AD40" s="1479"/>
      <c r="AE40" s="1479" t="str">
        <f t="shared" si="9"/>
        <v>Capital Works Deduction</v>
      </c>
      <c r="AF40" s="3671">
        <f t="shared" si="10"/>
        <v>1</v>
      </c>
      <c r="AG40" s="1479"/>
      <c r="AH40" s="1479"/>
    </row>
    <row r="41" spans="1:34">
      <c r="A41" s="1919" t="s">
        <v>1977</v>
      </c>
      <c r="C41" s="3054"/>
      <c r="D41" s="3054"/>
      <c r="E41" s="3054"/>
      <c r="F41" s="3054"/>
      <c r="G41" s="3054"/>
      <c r="H41" s="3054"/>
      <c r="I41" s="3054"/>
      <c r="J41" s="3054"/>
      <c r="K41" s="3054"/>
      <c r="L41" s="3054"/>
      <c r="M41" s="3054"/>
      <c r="N41" s="3054"/>
      <c r="O41" s="1931"/>
      <c r="P41" s="1932">
        <f t="shared" si="6"/>
        <v>0</v>
      </c>
      <c r="Q41" s="3665"/>
      <c r="R41" s="3678">
        <f t="shared" si="7"/>
        <v>0</v>
      </c>
      <c r="T41" s="3052"/>
      <c r="U41" s="2607">
        <f t="shared" si="8"/>
        <v>0</v>
      </c>
      <c r="V41" s="2607"/>
      <c r="W41" s="1479"/>
      <c r="X41" s="1932">
        <f t="shared" si="2"/>
        <v>0</v>
      </c>
      <c r="Y41" s="1932">
        <f t="shared" si="3"/>
        <v>0</v>
      </c>
      <c r="Z41" s="1932">
        <f t="shared" si="4"/>
        <v>0</v>
      </c>
      <c r="AA41" s="1932">
        <f t="shared" si="5"/>
        <v>0</v>
      </c>
      <c r="AD41" s="1479"/>
      <c r="AE41" s="1479" t="str">
        <f t="shared" si="9"/>
        <v>Stationery/Phone/Postage</v>
      </c>
      <c r="AF41" s="3671">
        <f t="shared" si="10"/>
        <v>1</v>
      </c>
      <c r="AG41" s="1479"/>
      <c r="AH41" s="1479"/>
    </row>
    <row r="42" spans="1:34">
      <c r="A42" s="1919" t="s">
        <v>343</v>
      </c>
      <c r="C42" s="3054"/>
      <c r="D42" s="3054"/>
      <c r="E42" s="3054"/>
      <c r="F42" s="3054"/>
      <c r="G42" s="3054"/>
      <c r="H42" s="3054"/>
      <c r="I42" s="3054"/>
      <c r="J42" s="3054"/>
      <c r="K42" s="3054"/>
      <c r="L42" s="3054"/>
      <c r="M42" s="3054"/>
      <c r="N42" s="3054"/>
      <c r="O42" s="1931"/>
      <c r="P42" s="1932">
        <f t="shared" si="6"/>
        <v>0</v>
      </c>
      <c r="Q42" s="3665"/>
      <c r="R42" s="3678">
        <f t="shared" si="7"/>
        <v>0</v>
      </c>
      <c r="T42" s="3051"/>
      <c r="U42" s="2607">
        <f t="shared" si="8"/>
        <v>0</v>
      </c>
      <c r="V42" s="2607"/>
      <c r="W42" s="1479"/>
      <c r="X42" s="1932">
        <f t="shared" si="2"/>
        <v>0</v>
      </c>
      <c r="Y42" s="1932">
        <f t="shared" si="3"/>
        <v>0</v>
      </c>
      <c r="Z42" s="1932">
        <f t="shared" si="4"/>
        <v>0</v>
      </c>
      <c r="AA42" s="1932">
        <f t="shared" si="5"/>
        <v>0</v>
      </c>
      <c r="AD42" s="1479"/>
      <c r="AE42" s="1479" t="str">
        <f t="shared" si="9"/>
        <v>Travel Expenses</v>
      </c>
      <c r="AF42" s="3671">
        <f t="shared" si="10"/>
        <v>1</v>
      </c>
      <c r="AG42" s="1479"/>
      <c r="AH42" s="1479"/>
    </row>
    <row r="43" spans="1:34">
      <c r="A43" s="1919" t="s">
        <v>971</v>
      </c>
      <c r="C43" s="3054"/>
      <c r="D43" s="3054"/>
      <c r="E43" s="3054"/>
      <c r="F43" s="3054"/>
      <c r="G43" s="3054"/>
      <c r="H43" s="3054"/>
      <c r="I43" s="3054"/>
      <c r="J43" s="3054"/>
      <c r="K43" s="3054"/>
      <c r="L43" s="3054"/>
      <c r="M43" s="3054"/>
      <c r="N43" s="3054"/>
      <c r="O43" s="1931"/>
      <c r="P43" s="1932">
        <f t="shared" si="6"/>
        <v>0</v>
      </c>
      <c r="Q43" s="3665"/>
      <c r="R43" s="3678">
        <f t="shared" si="7"/>
        <v>0</v>
      </c>
      <c r="T43" s="3052"/>
      <c r="U43" s="2607">
        <f t="shared" si="8"/>
        <v>0</v>
      </c>
      <c r="V43" s="2607"/>
      <c r="W43" s="1479"/>
      <c r="X43" s="1932">
        <f t="shared" si="2"/>
        <v>0</v>
      </c>
      <c r="Y43" s="1932">
        <f t="shared" si="3"/>
        <v>0</v>
      </c>
      <c r="Z43" s="1932">
        <f t="shared" si="4"/>
        <v>0</v>
      </c>
      <c r="AA43" s="1932">
        <f t="shared" si="5"/>
        <v>0</v>
      </c>
      <c r="AD43" s="1479"/>
      <c r="AE43" s="1479" t="str">
        <f t="shared" si="9"/>
        <v>Water Charges</v>
      </c>
      <c r="AF43" s="3671">
        <f t="shared" si="10"/>
        <v>1</v>
      </c>
      <c r="AG43" s="1479"/>
      <c r="AH43" s="1479"/>
    </row>
    <row r="44" spans="1:34">
      <c r="A44" s="1919" t="s">
        <v>344</v>
      </c>
      <c r="C44" s="3054"/>
      <c r="D44" s="3054"/>
      <c r="E44" s="3054"/>
      <c r="F44" s="3054"/>
      <c r="G44" s="3054"/>
      <c r="H44" s="3054"/>
      <c r="I44" s="3054"/>
      <c r="J44" s="3054"/>
      <c r="K44" s="3054"/>
      <c r="L44" s="3054"/>
      <c r="M44" s="3054"/>
      <c r="N44" s="3054"/>
      <c r="O44" s="1931"/>
      <c r="P44" s="1932">
        <f t="shared" si="6"/>
        <v>0</v>
      </c>
      <c r="Q44" s="3665"/>
      <c r="R44" s="3678">
        <f t="shared" si="7"/>
        <v>0</v>
      </c>
      <c r="T44" s="3051"/>
      <c r="U44" s="2607">
        <f t="shared" si="8"/>
        <v>0</v>
      </c>
      <c r="V44" s="2607"/>
      <c r="W44" s="1479"/>
      <c r="X44" s="1932">
        <f t="shared" si="2"/>
        <v>0</v>
      </c>
      <c r="Y44" s="1932">
        <f t="shared" si="3"/>
        <v>0</v>
      </c>
      <c r="Z44" s="1932">
        <f t="shared" si="4"/>
        <v>0</v>
      </c>
      <c r="AA44" s="1932">
        <f t="shared" si="5"/>
        <v>0</v>
      </c>
      <c r="AD44" s="1479"/>
      <c r="AE44" s="1479" t="str">
        <f t="shared" si="9"/>
        <v>Sundry Rental Expenses</v>
      </c>
      <c r="AF44" s="3671">
        <f t="shared" si="10"/>
        <v>1</v>
      </c>
      <c r="AG44" s="1479"/>
      <c r="AH44" s="1479"/>
    </row>
    <row r="45" spans="1:34">
      <c r="A45" s="4152" t="s">
        <v>345</v>
      </c>
      <c r="B45" s="4152"/>
      <c r="C45" s="3054"/>
      <c r="D45" s="3054"/>
      <c r="E45" s="3054"/>
      <c r="F45" s="3054"/>
      <c r="G45" s="3054"/>
      <c r="H45" s="3054"/>
      <c r="I45" s="3054"/>
      <c r="J45" s="3054"/>
      <c r="K45" s="3054"/>
      <c r="L45" s="3054"/>
      <c r="M45" s="3054"/>
      <c r="N45" s="3054"/>
      <c r="O45" s="1931"/>
      <c r="P45" s="1932">
        <f t="shared" si="6"/>
        <v>0</v>
      </c>
      <c r="Q45" s="3665"/>
      <c r="R45" s="3678">
        <f t="shared" si="7"/>
        <v>0</v>
      </c>
      <c r="T45" s="3052"/>
      <c r="U45" s="2607">
        <f t="shared" si="8"/>
        <v>0</v>
      </c>
      <c r="V45" s="2607"/>
      <c r="W45" s="1479"/>
      <c r="X45" s="1932">
        <f t="shared" si="2"/>
        <v>0</v>
      </c>
      <c r="Y45" s="1932">
        <f t="shared" si="3"/>
        <v>0</v>
      </c>
      <c r="Z45" s="1932">
        <f t="shared" si="4"/>
        <v>0</v>
      </c>
      <c r="AA45" s="1932">
        <f t="shared" si="5"/>
        <v>0</v>
      </c>
      <c r="AD45" s="1479"/>
      <c r="AE45" s="1479" t="str">
        <f t="shared" si="9"/>
        <v>Sundry 1</v>
      </c>
      <c r="AF45" s="3671">
        <f t="shared" si="10"/>
        <v>1</v>
      </c>
      <c r="AG45" s="1479"/>
      <c r="AH45" s="1479"/>
    </row>
    <row r="46" spans="1:34">
      <c r="A46" s="4145" t="s">
        <v>346</v>
      </c>
      <c r="B46" s="4145"/>
      <c r="C46" s="3054"/>
      <c r="D46" s="3054"/>
      <c r="E46" s="3054"/>
      <c r="F46" s="3054"/>
      <c r="G46" s="3054"/>
      <c r="H46" s="3054"/>
      <c r="I46" s="3054"/>
      <c r="J46" s="3054"/>
      <c r="K46" s="3054"/>
      <c r="L46" s="3054"/>
      <c r="M46" s="3054"/>
      <c r="N46" s="3054"/>
      <c r="O46" s="1931"/>
      <c r="P46" s="1932">
        <f t="shared" si="6"/>
        <v>0</v>
      </c>
      <c r="Q46" s="3665"/>
      <c r="R46" s="3678">
        <f t="shared" si="7"/>
        <v>0</v>
      </c>
      <c r="T46" s="3051"/>
      <c r="U46" s="2607">
        <f t="shared" si="8"/>
        <v>0</v>
      </c>
      <c r="V46" s="2607"/>
      <c r="W46" s="1479"/>
      <c r="X46" s="1932">
        <f t="shared" si="2"/>
        <v>0</v>
      </c>
      <c r="Y46" s="1932">
        <f t="shared" si="3"/>
        <v>0</v>
      </c>
      <c r="Z46" s="1932">
        <f t="shared" si="4"/>
        <v>0</v>
      </c>
      <c r="AA46" s="1932">
        <f t="shared" si="5"/>
        <v>0</v>
      </c>
      <c r="AD46" s="1479"/>
      <c r="AE46" s="1479" t="str">
        <f t="shared" si="9"/>
        <v>Sundry 2</v>
      </c>
      <c r="AF46" s="3671">
        <f t="shared" si="10"/>
        <v>1</v>
      </c>
      <c r="AG46" s="1479"/>
      <c r="AH46" s="1479"/>
    </row>
    <row r="47" spans="1:34">
      <c r="A47" s="4146" t="s">
        <v>347</v>
      </c>
      <c r="B47" s="4146"/>
      <c r="C47" s="3050"/>
      <c r="D47" s="3050"/>
      <c r="E47" s="3050"/>
      <c r="F47" s="3050"/>
      <c r="G47" s="3050"/>
      <c r="H47" s="3050"/>
      <c r="I47" s="3050"/>
      <c r="J47" s="3050"/>
      <c r="K47" s="3050"/>
      <c r="L47" s="3050"/>
      <c r="M47" s="3050"/>
      <c r="N47" s="3050"/>
      <c r="O47" s="1931"/>
      <c r="P47" s="1932">
        <f t="shared" si="6"/>
        <v>0</v>
      </c>
      <c r="Q47" s="3665"/>
      <c r="R47" s="3678">
        <f t="shared" si="7"/>
        <v>0</v>
      </c>
      <c r="T47" s="3050"/>
      <c r="U47" s="2607">
        <f t="shared" si="8"/>
        <v>0</v>
      </c>
      <c r="V47" s="2607"/>
      <c r="W47" s="1479"/>
      <c r="X47" s="1932">
        <f t="shared" si="2"/>
        <v>0</v>
      </c>
      <c r="Y47" s="1932">
        <f t="shared" si="3"/>
        <v>0</v>
      </c>
      <c r="Z47" s="1932">
        <f t="shared" si="4"/>
        <v>0</v>
      </c>
      <c r="AA47" s="1932">
        <f t="shared" si="5"/>
        <v>0</v>
      </c>
      <c r="AD47" s="1479"/>
      <c r="AE47" s="1479" t="str">
        <f t="shared" si="9"/>
        <v>Sundry 3</v>
      </c>
      <c r="AF47" s="3671">
        <f t="shared" si="10"/>
        <v>1</v>
      </c>
      <c r="AG47" s="1479"/>
      <c r="AH47" s="1479"/>
    </row>
    <row r="48" spans="1:34">
      <c r="A48" s="1928" t="s">
        <v>542</v>
      </c>
      <c r="C48" s="717">
        <f>SUM(C26:C47)</f>
        <v>0</v>
      </c>
      <c r="D48" s="717">
        <f t="shared" ref="D48:O48" si="11">SUM(D26:D47)</f>
        <v>0</v>
      </c>
      <c r="E48" s="717">
        <f t="shared" si="11"/>
        <v>0</v>
      </c>
      <c r="F48" s="717">
        <f t="shared" si="11"/>
        <v>0</v>
      </c>
      <c r="G48" s="717">
        <f t="shared" si="11"/>
        <v>0</v>
      </c>
      <c r="H48" s="717">
        <f t="shared" si="11"/>
        <v>0</v>
      </c>
      <c r="I48" s="717">
        <f t="shared" si="11"/>
        <v>0</v>
      </c>
      <c r="J48" s="717">
        <f t="shared" si="11"/>
        <v>0</v>
      </c>
      <c r="K48" s="717">
        <f t="shared" si="11"/>
        <v>0</v>
      </c>
      <c r="L48" s="717">
        <f t="shared" si="11"/>
        <v>0</v>
      </c>
      <c r="M48" s="717">
        <f t="shared" si="11"/>
        <v>0</v>
      </c>
      <c r="N48" s="717">
        <f t="shared" si="11"/>
        <v>0</v>
      </c>
      <c r="O48" s="717">
        <f t="shared" si="11"/>
        <v>0</v>
      </c>
      <c r="P48" s="717">
        <f>SUM(P26:P47)</f>
        <v>0</v>
      </c>
      <c r="Q48" s="3665"/>
      <c r="R48" s="3680">
        <f>SUM(R26:R47)</f>
        <v>0</v>
      </c>
      <c r="T48" s="717">
        <f>SUM(T26:T47)</f>
        <v>0</v>
      </c>
      <c r="U48" s="2607">
        <f t="shared" si="8"/>
        <v>0</v>
      </c>
      <c r="V48" s="1479"/>
      <c r="W48" s="1479"/>
      <c r="X48" s="2608">
        <f t="shared" si="2"/>
        <v>0</v>
      </c>
      <c r="Y48" s="2608">
        <f t="shared" si="3"/>
        <v>0</v>
      </c>
      <c r="Z48" s="2608">
        <f t="shared" si="4"/>
        <v>0</v>
      </c>
      <c r="AA48" s="2608">
        <f t="shared" si="5"/>
        <v>0</v>
      </c>
      <c r="AB48" s="1479"/>
      <c r="AE48" s="1479"/>
      <c r="AF48" s="1479"/>
      <c r="AG48" s="1479"/>
      <c r="AH48" s="1479"/>
    </row>
    <row r="49" spans="1:34">
      <c r="C49" s="1932"/>
      <c r="D49" s="1932"/>
      <c r="E49" s="1932"/>
      <c r="F49" s="1932"/>
      <c r="G49" s="1932"/>
      <c r="H49" s="1932"/>
      <c r="I49" s="1932"/>
      <c r="J49" s="1932"/>
      <c r="K49" s="1932"/>
      <c r="L49" s="1932"/>
      <c r="M49" s="1932"/>
      <c r="N49" s="1932"/>
      <c r="O49" s="1932"/>
      <c r="Q49" s="3665"/>
      <c r="R49" s="3678"/>
      <c r="T49" s="717"/>
      <c r="U49" s="2607">
        <f t="shared" si="8"/>
        <v>0</v>
      </c>
      <c r="V49" s="3571"/>
      <c r="W49" s="3571"/>
      <c r="X49" s="1932"/>
      <c r="Y49" s="1932"/>
      <c r="Z49" s="1932"/>
      <c r="AA49" s="1932"/>
      <c r="AB49" s="1479"/>
      <c r="AE49" s="1479"/>
      <c r="AF49" s="1479"/>
      <c r="AG49" s="1479"/>
      <c r="AH49" s="1479"/>
    </row>
    <row r="50" spans="1:34" ht="13.5" thickBot="1">
      <c r="A50" s="1928" t="s">
        <v>972</v>
      </c>
      <c r="C50" s="718">
        <f t="shared" ref="C50:P50" si="12">C24-C48</f>
        <v>0</v>
      </c>
      <c r="D50" s="718">
        <f t="shared" si="12"/>
        <v>0</v>
      </c>
      <c r="E50" s="718">
        <f t="shared" si="12"/>
        <v>0</v>
      </c>
      <c r="F50" s="718">
        <f t="shared" si="12"/>
        <v>0</v>
      </c>
      <c r="G50" s="718">
        <f t="shared" si="12"/>
        <v>0</v>
      </c>
      <c r="H50" s="718">
        <f t="shared" si="12"/>
        <v>0</v>
      </c>
      <c r="I50" s="718">
        <f t="shared" si="12"/>
        <v>0</v>
      </c>
      <c r="J50" s="718">
        <f t="shared" si="12"/>
        <v>0</v>
      </c>
      <c r="K50" s="718">
        <f t="shared" si="12"/>
        <v>0</v>
      </c>
      <c r="L50" s="718">
        <f t="shared" si="12"/>
        <v>0</v>
      </c>
      <c r="M50" s="718">
        <f t="shared" si="12"/>
        <v>0</v>
      </c>
      <c r="N50" s="718">
        <f t="shared" si="12"/>
        <v>0</v>
      </c>
      <c r="O50" s="718">
        <f t="shared" si="12"/>
        <v>0</v>
      </c>
      <c r="P50" s="718">
        <f t="shared" si="12"/>
        <v>0</v>
      </c>
      <c r="Q50" s="3665"/>
      <c r="R50" s="3681">
        <f>R24-R48</f>
        <v>0</v>
      </c>
      <c r="T50" s="717">
        <f>T24-T48</f>
        <v>0</v>
      </c>
      <c r="U50" s="2607">
        <f t="shared" si="8"/>
        <v>0</v>
      </c>
      <c r="V50" s="1479"/>
      <c r="W50" s="1479"/>
      <c r="X50" s="718">
        <f>R50*$X$19</f>
        <v>0</v>
      </c>
      <c r="Y50" s="718">
        <f>R50*$Y$19</f>
        <v>0</v>
      </c>
      <c r="Z50" s="718">
        <f>R50*$Z$19</f>
        <v>0</v>
      </c>
      <c r="AA50" s="718">
        <f>R50*$AA$19</f>
        <v>0</v>
      </c>
      <c r="AB50" s="1479"/>
      <c r="AE50" s="1479"/>
      <c r="AF50" s="1479"/>
      <c r="AG50" s="1479"/>
      <c r="AH50" s="1479"/>
    </row>
    <row r="51" spans="1:34" ht="13.5" thickTop="1">
      <c r="Q51" s="3665"/>
      <c r="T51" s="3"/>
      <c r="U51" s="3"/>
      <c r="V51" s="3571"/>
      <c r="W51" s="3571"/>
      <c r="AB51" s="1479"/>
    </row>
    <row r="52" spans="1:34" s="1479" customFormat="1">
      <c r="A52" s="1479" t="s">
        <v>2798</v>
      </c>
      <c r="C52" s="3673"/>
      <c r="D52" s="3054"/>
      <c r="E52" s="3054"/>
      <c r="F52" s="3054"/>
      <c r="G52" s="3054"/>
      <c r="H52" s="3054"/>
      <c r="I52" s="3054"/>
      <c r="J52" s="3054"/>
      <c r="K52" s="3054"/>
      <c r="L52" s="3054"/>
      <c r="M52" s="3054"/>
      <c r="N52" s="3054"/>
      <c r="O52" s="124"/>
      <c r="P52" s="124"/>
      <c r="Q52" s="1614"/>
      <c r="R52" s="1614"/>
      <c r="S52" s="1919"/>
      <c r="T52" s="1614"/>
    </row>
    <row r="53" spans="1:34" s="1479" customFormat="1">
      <c r="E53" s="124"/>
      <c r="G53" s="124"/>
      <c r="H53" s="124"/>
      <c r="I53" s="124"/>
      <c r="J53" s="124"/>
      <c r="K53" s="124"/>
      <c r="L53" s="124"/>
      <c r="M53" s="124"/>
      <c r="N53" s="124"/>
      <c r="O53" s="124"/>
      <c r="P53" s="124"/>
      <c r="Q53" s="1614"/>
      <c r="R53" s="1614"/>
      <c r="T53" s="1614"/>
    </row>
    <row r="54" spans="1:34" s="1479" customFormat="1" ht="13.5" thickBot="1">
      <c r="A54" s="1479" t="s">
        <v>2799</v>
      </c>
      <c r="C54" s="718">
        <f>C50+C52</f>
        <v>0</v>
      </c>
      <c r="D54" s="718">
        <f t="shared" ref="D54:N54" si="13">D50+D52</f>
        <v>0</v>
      </c>
      <c r="E54" s="718">
        <f t="shared" si="13"/>
        <v>0</v>
      </c>
      <c r="F54" s="718">
        <f t="shared" si="13"/>
        <v>0</v>
      </c>
      <c r="G54" s="718">
        <f t="shared" si="13"/>
        <v>0</v>
      </c>
      <c r="H54" s="718">
        <f t="shared" si="13"/>
        <v>0</v>
      </c>
      <c r="I54" s="718">
        <f t="shared" si="13"/>
        <v>0</v>
      </c>
      <c r="J54" s="718">
        <f t="shared" si="13"/>
        <v>0</v>
      </c>
      <c r="K54" s="718">
        <f t="shared" si="13"/>
        <v>0</v>
      </c>
      <c r="L54" s="3674">
        <f t="shared" si="13"/>
        <v>0</v>
      </c>
      <c r="M54" s="3674">
        <f t="shared" si="13"/>
        <v>0</v>
      </c>
      <c r="N54" s="3674">
        <f t="shared" si="13"/>
        <v>0</v>
      </c>
      <c r="O54" s="124"/>
      <c r="P54" s="124"/>
      <c r="Q54" s="1614"/>
      <c r="R54" s="1614"/>
      <c r="T54" s="1614"/>
    </row>
    <row r="55" spans="1:34" s="1479" customFormat="1" ht="13.5" thickTop="1">
      <c r="C55" s="3675"/>
      <c r="D55" s="3675"/>
      <c r="E55" s="3675"/>
      <c r="F55" s="3675"/>
      <c r="G55" s="3675"/>
      <c r="H55" s="3675"/>
      <c r="I55" s="3675"/>
      <c r="J55" s="3675"/>
      <c r="K55" s="3675"/>
      <c r="L55" s="2191"/>
      <c r="M55" s="2191"/>
      <c r="N55" s="2191"/>
      <c r="O55" s="124"/>
      <c r="P55" s="124"/>
      <c r="Q55" s="1614"/>
      <c r="R55" s="1614"/>
      <c r="T55" s="1614"/>
    </row>
    <row r="56" spans="1:34">
      <c r="A56" s="1928" t="s">
        <v>172</v>
      </c>
      <c r="Q56" s="3665"/>
    </row>
    <row r="57" spans="1:34" ht="50.25" customHeight="1">
      <c r="A57" s="4149"/>
      <c r="B57" s="4150"/>
      <c r="C57" s="4150"/>
      <c r="D57" s="4150"/>
      <c r="E57" s="4150"/>
      <c r="F57" s="4150"/>
      <c r="G57" s="4150"/>
      <c r="H57" s="4150"/>
      <c r="I57" s="4150"/>
      <c r="J57" s="4150"/>
      <c r="K57" s="4150"/>
      <c r="L57" s="4150"/>
      <c r="M57" s="4150"/>
      <c r="N57" s="4150"/>
      <c r="O57" s="4151"/>
    </row>
    <row r="59" spans="1:34">
      <c r="A59" s="1928"/>
    </row>
  </sheetData>
  <mergeCells count="12">
    <mergeCell ref="A57:O57"/>
    <mergeCell ref="A45:B45"/>
    <mergeCell ref="A7:O7"/>
    <mergeCell ref="M9:O9"/>
    <mergeCell ref="C14:O14"/>
    <mergeCell ref="C15:O15"/>
    <mergeCell ref="A18:O18"/>
    <mergeCell ref="T18:U18"/>
    <mergeCell ref="X18:AA18"/>
    <mergeCell ref="A46:B46"/>
    <mergeCell ref="A47:B47"/>
    <mergeCell ref="AE18:AF18"/>
  </mergeCells>
  <conditionalFormatting sqref="P159:Q159">
    <cfRule type="expression" dxfId="3" priority="5" stopIfTrue="1">
      <formula>SUM($159:$159)=0</formula>
    </cfRule>
  </conditionalFormatting>
  <conditionalFormatting sqref="AB19">
    <cfRule type="containsText" dxfId="2" priority="3" operator="containsText" text="OK">
      <formula>NOT(ISERROR(SEARCH("OK",AB19)))</formula>
    </cfRule>
    <cfRule type="containsText" dxfId="1" priority="4" operator="containsText" text="ERROR">
      <formula>NOT(ISERROR(SEARCH("ERROR",AB19)))</formula>
    </cfRule>
  </conditionalFormatting>
  <hyperlinks>
    <hyperlink ref="M9:O9" location="WPIndex!A1" display="Back to WP Index" xr:uid="{BED53B66-2972-42A2-9919-F718E0D112CE}"/>
  </hyperlinks>
  <printOptions horizontalCentered="1"/>
  <pageMargins left="0.59055118110236227" right="0.43307086614173229" top="0.6692913385826772" bottom="0.94488188976377963" header="0.51181102362204722" footer="0.39370078740157483"/>
  <pageSetup paperSize="9" scale="53" orientation="portrait" r:id="rId1"/>
  <headerFooter alignWithMargins="0">
    <oddFooter>&amp;L&amp;8© Findex (Aust) Pty Ltd.  All rights reserved.&amp;R&amp;8&amp;P/&amp;N</oddFooter>
  </headerFooter>
  <colBreaks count="1" manualBreakCount="1">
    <brk id="19" max="1048575" man="1"/>
  </colBreaks>
  <drawing r:id="rId2"/>
  <legacyDrawing r:id="rId3"/>
  <controls>
    <mc:AlternateContent xmlns:mc="http://schemas.openxmlformats.org/markup-compatibility/2006">
      <mc:Choice Requires="x14">
        <control shapeId="297986" r:id="rId4" name="TypeButton">
          <controlPr defaultSize="0" autoLine="0" r:id="rId5">
            <anchor moveWithCells="1">
              <from>
                <xdr:col>18</xdr:col>
                <xdr:colOff>0</xdr:colOff>
                <xdr:row>10</xdr:row>
                <xdr:rowOff>0</xdr:rowOff>
              </from>
              <to>
                <xdr:col>20</xdr:col>
                <xdr:colOff>57150</xdr:colOff>
                <xdr:row>12</xdr:row>
                <xdr:rowOff>0</xdr:rowOff>
              </to>
            </anchor>
          </controlPr>
        </control>
      </mc:Choice>
      <mc:Fallback>
        <control shapeId="297986" r:id="rId4" name="TypeButton"/>
      </mc:Fallback>
    </mc:AlternateContent>
    <mc:AlternateContent xmlns:mc="http://schemas.openxmlformats.org/markup-compatibility/2006">
      <mc:Choice Requires="x14">
        <control shapeId="297985" r:id="rId6" name="Button 1">
          <controlPr defaultSize="0" print="0" autoFill="0" autoPict="0" macro="[0]!Help_Rental_Property">
            <anchor moveWithCells="1">
              <from>
                <xdr:col>15</xdr:col>
                <xdr:colOff>0</xdr:colOff>
                <xdr:row>4</xdr:row>
                <xdr:rowOff>0</xdr:rowOff>
              </from>
              <to>
                <xdr:col>16</xdr:col>
                <xdr:colOff>47625</xdr:colOff>
                <xdr:row>6</xdr:row>
                <xdr:rowOff>180975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40" id="{FD94CFB3-407F-4570-B0C0-9BFDC180A33E}">
            <x14:iconSet iconSet="3Triangles" custom="1">
              <x14:cfvo type="percent">
                <xm:f>0</xm:f>
              </x14:cfvo>
              <x14:cfvo type="num">
                <xm:f>0</xm:f>
              </x14:cfvo>
              <x14:cfvo type="num" gte="0">
                <xm:f>0</xm:f>
              </x14:cfvo>
              <x14:cfIcon iconSet="3Triangles" iconId="0"/>
              <x14:cfIcon iconSet="3Triangles" iconId="1"/>
              <x14:cfIcon iconSet="3Triangles" iconId="2"/>
            </x14:iconSet>
          </x14:cfRule>
          <xm:sqref>V23</xm:sqref>
        </x14:conditionalFormatting>
        <x14:conditionalFormatting xmlns:xm="http://schemas.microsoft.com/office/excel/2006/main">
          <x14:cfRule type="iconSet" priority="41" id="{A119A246-04B2-420A-9B71-0A4FB30F470F}">
            <x14:iconSet iconSet="3Triangles" custom="1">
              <x14:cfvo type="percent">
                <xm:f>0</xm:f>
              </x14:cfvo>
              <x14:cfvo type="num">
                <xm:f>0</xm:f>
              </x14:cfvo>
              <x14:cfvo type="num" gte="0">
                <xm:f>0</xm:f>
              </x14:cfvo>
              <x14:cfIcon iconSet="3Triangles" iconId="0"/>
              <x14:cfIcon iconSet="3Triangles" iconId="1"/>
              <x14:cfIcon iconSet="3Triangles" iconId="2"/>
            </x14:iconSet>
          </x14:cfRule>
          <xm:sqref>U22:V22 U25:V26 V24 U23:U24 V27:V47 U27:U50</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CBE7-AC81-48B4-BDEC-0C391314B03A}">
  <sheetPr codeName="Sheet8">
    <tabColor theme="8" tint="0.79998168889431442"/>
    <pageSetUpPr fitToPage="1"/>
  </sheetPr>
  <dimension ref="A1:I129"/>
  <sheetViews>
    <sheetView zoomScaleNormal="100" workbookViewId="0">
      <selection sqref="A1:F1"/>
    </sheetView>
  </sheetViews>
  <sheetFormatPr defaultColWidth="8.85546875" defaultRowHeight="15"/>
  <cols>
    <col min="1" max="1" width="69.28515625" style="2175" bestFit="1" customWidth="1"/>
    <col min="2" max="5" width="13" style="2175" customWidth="1"/>
    <col min="6" max="6" width="8.85546875" style="2175"/>
    <col min="7" max="8" width="12.140625" style="2175" customWidth="1"/>
    <col min="9" max="16384" width="8.85546875" style="2175"/>
  </cols>
  <sheetData>
    <row r="1" spans="1:9">
      <c r="G1" s="2613" t="s">
        <v>2425</v>
      </c>
      <c r="H1" s="3576" t="s">
        <v>2758</v>
      </c>
    </row>
    <row r="2" spans="1:9" s="1768" customFormat="1" ht="18.75" customHeight="1">
      <c r="A2" s="1612"/>
      <c r="B2" s="1613"/>
      <c r="C2" s="1613"/>
      <c r="D2" s="1613"/>
      <c r="E2" s="1613"/>
      <c r="F2" s="1613"/>
      <c r="G2" s="40"/>
      <c r="H2" s="1"/>
      <c r="I2" s="1637"/>
    </row>
    <row r="3" spans="1:9" s="1768" customFormat="1" ht="12.75">
      <c r="A3" s="1612"/>
      <c r="F3" s="1616"/>
      <c r="G3" s="2610" t="s">
        <v>1163</v>
      </c>
      <c r="H3" s="709" t="s">
        <v>1262</v>
      </c>
      <c r="I3" s="1608"/>
    </row>
    <row r="4" spans="1:9" s="1768" customFormat="1" ht="17.25" customHeight="1">
      <c r="A4" s="1612"/>
      <c r="F4" s="1617" t="s">
        <v>332</v>
      </c>
      <c r="G4" s="2617" t="str">
        <f>IF(PreparedBy="","",PreparedBy)</f>
        <v/>
      </c>
      <c r="H4" s="2618" t="str">
        <f>IF(DatePrepared="","",DatePrepared)</f>
        <v/>
      </c>
      <c r="I4" s="1608"/>
    </row>
    <row r="5" spans="1:9" s="1768" customFormat="1" ht="17.25" customHeight="1">
      <c r="A5" s="1612"/>
      <c r="F5" s="1617" t="s">
        <v>333</v>
      </c>
      <c r="G5" s="2619"/>
      <c r="H5" s="2620"/>
      <c r="I5" s="1608"/>
    </row>
    <row r="6" spans="1:9" s="1768" customFormat="1" ht="15.75">
      <c r="A6" s="1612"/>
      <c r="B6" s="1613"/>
      <c r="C6" s="1613"/>
      <c r="D6" s="1613"/>
      <c r="E6" s="1613"/>
      <c r="F6" s="1613"/>
      <c r="G6" s="1613"/>
      <c r="H6" s="1613"/>
      <c r="I6" s="1608"/>
    </row>
    <row r="7" spans="1:9" s="1768" customFormat="1" ht="15.75">
      <c r="A7" s="3849" t="s">
        <v>2087</v>
      </c>
      <c r="B7" s="3850"/>
      <c r="C7" s="3850"/>
      <c r="D7" s="3850"/>
      <c r="E7" s="3850"/>
      <c r="F7" s="3850"/>
      <c r="G7" s="3850"/>
      <c r="H7" s="3851"/>
      <c r="I7" s="1637"/>
    </row>
    <row r="8" spans="1:9" s="1768" customFormat="1" ht="12.75">
      <c r="B8" s="1769"/>
      <c r="C8" s="1769"/>
      <c r="D8" s="1769"/>
      <c r="E8" s="1769"/>
      <c r="F8" s="1770"/>
      <c r="G8" s="1769"/>
      <c r="H8" s="3248" t="s">
        <v>2526</v>
      </c>
      <c r="I8" s="1637"/>
    </row>
    <row r="9" spans="1:9" s="1768" customFormat="1" ht="15.75">
      <c r="A9" s="1771" t="str">
        <f>"CLIENT NAME:   "&amp;IF(ClientName="[ENTER CLIENT NAME]","",ClientName)</f>
        <v>CLIENT NAME:   Example Trust</v>
      </c>
      <c r="B9" s="1769"/>
      <c r="C9" s="1769"/>
      <c r="D9" s="1769"/>
      <c r="E9" s="1769"/>
      <c r="F9" s="1770"/>
      <c r="G9" s="1769"/>
      <c r="H9" s="1769"/>
      <c r="I9" s="1637"/>
    </row>
    <row r="10" spans="1:9" s="1768" customFormat="1" ht="12.75">
      <c r="A10" s="3424" t="str">
        <f>"CLIENT CODE:   "&amp;'WP Index'!E4</f>
        <v>CLIENT CODE:   99999</v>
      </c>
      <c r="B10" s="1769"/>
      <c r="C10" s="1769"/>
      <c r="D10" s="1769"/>
      <c r="E10" s="1769"/>
      <c r="F10" s="1770"/>
      <c r="G10" s="1622" t="s">
        <v>951</v>
      </c>
      <c r="H10" s="1773">
        <f>'Input Info'!F8</f>
        <v>45473</v>
      </c>
      <c r="I10" s="1637"/>
    </row>
    <row r="11" spans="1:9" s="1768" customFormat="1" ht="12.75">
      <c r="A11" s="1772"/>
      <c r="B11" s="1769"/>
      <c r="C11" s="1769"/>
      <c r="D11" s="1769"/>
      <c r="E11" s="1769"/>
      <c r="F11" s="1770"/>
      <c r="G11" s="1622"/>
      <c r="H11" s="1773"/>
      <c r="I11" s="1637"/>
    </row>
    <row r="12" spans="1:9" ht="15.75">
      <c r="A12" s="4165" t="s">
        <v>2429</v>
      </c>
      <c r="B12" s="4166"/>
      <c r="C12" s="4166"/>
      <c r="D12" s="4166"/>
      <c r="E12" s="4166"/>
      <c r="F12" s="4166"/>
      <c r="G12" s="4166"/>
      <c r="H12" s="4167"/>
    </row>
    <row r="13" spans="1:9">
      <c r="A13" s="2202"/>
      <c r="B13" s="2202"/>
      <c r="C13" s="2202"/>
      <c r="D13" s="2202"/>
      <c r="E13" s="2202"/>
      <c r="F13" s="2202"/>
      <c r="G13" s="2202"/>
      <c r="H13" s="2202"/>
    </row>
    <row r="14" spans="1:9">
      <c r="A14" s="2202" t="s">
        <v>2089</v>
      </c>
      <c r="B14" s="2794">
        <f>G14*G15*G16</f>
        <v>0</v>
      </c>
      <c r="C14" s="2202"/>
      <c r="D14" s="2202"/>
      <c r="E14" s="2202" t="s">
        <v>2584</v>
      </c>
      <c r="F14" s="2202"/>
      <c r="G14" s="2794"/>
      <c r="H14" s="2202"/>
    </row>
    <row r="15" spans="1:9">
      <c r="A15" s="2202" t="s">
        <v>2090</v>
      </c>
      <c r="B15" s="3071">
        <v>0.67</v>
      </c>
      <c r="C15" s="2202"/>
      <c r="D15" s="2202"/>
      <c r="E15" s="2202" t="s">
        <v>2585</v>
      </c>
      <c r="F15" s="2202"/>
      <c r="G15" s="2794"/>
      <c r="H15" s="2202"/>
    </row>
    <row r="16" spans="1:9">
      <c r="A16" s="2202"/>
      <c r="B16" s="2202"/>
      <c r="C16" s="2202"/>
      <c r="D16" s="2202"/>
      <c r="E16" s="2202" t="s">
        <v>2586</v>
      </c>
      <c r="F16" s="2202"/>
      <c r="G16" s="2794"/>
      <c r="H16" s="2202"/>
    </row>
    <row r="17" spans="1:8">
      <c r="A17" s="2202" t="s">
        <v>2098</v>
      </c>
      <c r="B17" s="2283">
        <f>B14*B15</f>
        <v>0</v>
      </c>
      <c r="C17" s="2202"/>
      <c r="D17" s="2202"/>
      <c r="E17" s="2202"/>
      <c r="F17" s="2202"/>
      <c r="G17" s="2202"/>
      <c r="H17" s="2202"/>
    </row>
    <row r="18" spans="1:8">
      <c r="A18" s="2202" t="s">
        <v>2430</v>
      </c>
      <c r="B18" s="2635">
        <v>0</v>
      </c>
      <c r="C18" s="2202"/>
      <c r="D18" s="2202"/>
      <c r="E18" s="3601" t="s">
        <v>2771</v>
      </c>
      <c r="F18" s="2202"/>
      <c r="G18" s="2202"/>
      <c r="H18" s="2202"/>
    </row>
    <row r="19" spans="1:8" ht="15.75" thickBot="1">
      <c r="A19" s="2202" t="s">
        <v>2431</v>
      </c>
      <c r="B19" s="2635">
        <v>0</v>
      </c>
      <c r="C19" s="2202"/>
      <c r="D19" s="2210"/>
      <c r="E19" s="3602" t="s">
        <v>2772</v>
      </c>
      <c r="F19" s="2202"/>
      <c r="G19" s="2202"/>
      <c r="H19" s="2202"/>
    </row>
    <row r="20" spans="1:8" ht="15.75" thickBot="1">
      <c r="A20" s="2201" t="s">
        <v>2106</v>
      </c>
      <c r="B20" s="2281">
        <f>SUM(B17:B19)</f>
        <v>0</v>
      </c>
      <c r="C20" s="2202"/>
      <c r="D20" s="2202"/>
      <c r="E20" s="3602"/>
      <c r="F20" s="2202"/>
      <c r="G20" s="2202"/>
      <c r="H20" s="2202"/>
    </row>
    <row r="21" spans="1:8">
      <c r="A21" s="2202"/>
      <c r="B21" s="2202"/>
      <c r="C21" s="2202"/>
      <c r="D21" s="2202"/>
      <c r="E21" s="2202"/>
      <c r="F21" s="2202"/>
      <c r="G21" s="2202"/>
      <c r="H21" s="2202"/>
    </row>
    <row r="22" spans="1:8">
      <c r="A22" s="2201" t="s">
        <v>2432</v>
      </c>
      <c r="B22" s="2202"/>
      <c r="C22" s="2202"/>
      <c r="D22" s="2202"/>
      <c r="E22" s="2202"/>
      <c r="F22" s="2202"/>
      <c r="G22" s="2202"/>
      <c r="H22" s="2202"/>
    </row>
    <row r="23" spans="1:8">
      <c r="A23" s="2202" t="s">
        <v>2433</v>
      </c>
      <c r="B23" s="2202"/>
      <c r="C23" s="2202"/>
      <c r="D23" s="2202"/>
      <c r="E23" s="2202"/>
      <c r="F23" s="2202"/>
      <c r="G23" s="2202"/>
      <c r="H23" s="2202"/>
    </row>
    <row r="24" spans="1:8">
      <c r="A24" s="2284" t="s">
        <v>2434</v>
      </c>
      <c r="B24" s="2202"/>
      <c r="C24" s="2202"/>
      <c r="D24" s="2202"/>
      <c r="E24" s="2202"/>
      <c r="F24" s="2202"/>
      <c r="G24" s="2202"/>
      <c r="H24" s="2202"/>
    </row>
    <row r="25" spans="1:8">
      <c r="A25" s="2284" t="s">
        <v>2435</v>
      </c>
      <c r="B25" s="2202"/>
      <c r="C25" s="2202"/>
      <c r="D25" s="2202"/>
      <c r="E25" s="2202"/>
      <c r="F25" s="2202"/>
      <c r="G25" s="2202"/>
      <c r="H25" s="2202"/>
    </row>
    <row r="26" spans="1:8">
      <c r="A26" s="2284" t="s">
        <v>2436</v>
      </c>
      <c r="B26" s="2202"/>
      <c r="C26" s="2202"/>
      <c r="D26" s="2202"/>
      <c r="E26" s="2202"/>
      <c r="F26" s="2202"/>
      <c r="G26" s="2202"/>
      <c r="H26" s="2202"/>
    </row>
    <row r="27" spans="1:8">
      <c r="A27" s="2284" t="s">
        <v>2437</v>
      </c>
      <c r="B27" s="2202"/>
      <c r="C27" s="2202"/>
      <c r="D27" s="2202"/>
      <c r="E27" s="2202"/>
      <c r="F27" s="2202"/>
      <c r="G27" s="2202"/>
      <c r="H27" s="2202"/>
    </row>
    <row r="28" spans="1:8">
      <c r="A28" s="2202"/>
      <c r="B28" s="2202"/>
      <c r="C28" s="2202"/>
      <c r="D28" s="2202"/>
      <c r="E28" s="2202"/>
      <c r="F28" s="2202"/>
      <c r="G28" s="2202"/>
      <c r="H28" s="2202"/>
    </row>
    <row r="29" spans="1:8">
      <c r="A29" s="1600" t="s">
        <v>2111</v>
      </c>
      <c r="B29" s="2202"/>
      <c r="C29" s="2202"/>
      <c r="D29" s="2202"/>
      <c r="E29" s="2202"/>
      <c r="F29" s="2202"/>
      <c r="G29" s="2202"/>
      <c r="H29" s="2202"/>
    </row>
    <row r="30" spans="1:8">
      <c r="A30" s="1600" t="s">
        <v>2438</v>
      </c>
      <c r="B30" s="2202"/>
      <c r="C30" s="2202"/>
      <c r="D30" s="2202"/>
      <c r="E30" s="2202"/>
      <c r="F30" s="2202"/>
      <c r="G30" s="2202"/>
      <c r="H30" s="2202"/>
    </row>
    <row r="31" spans="1:8" ht="15.6" customHeight="1">
      <c r="A31" s="2282"/>
      <c r="B31" s="2202"/>
      <c r="C31" s="2202"/>
      <c r="D31" s="2202"/>
      <c r="E31" s="2202"/>
      <c r="F31" s="2202"/>
      <c r="G31" s="2202"/>
      <c r="H31" s="2202"/>
    </row>
    <row r="32" spans="1:8" ht="15.75">
      <c r="A32" s="4165" t="s">
        <v>2112</v>
      </c>
      <c r="B32" s="4166"/>
      <c r="C32" s="4166"/>
      <c r="D32" s="4166"/>
      <c r="E32" s="4166"/>
      <c r="F32" s="4166"/>
      <c r="G32" s="4166"/>
      <c r="H32" s="4167"/>
    </row>
    <row r="33" spans="1:8">
      <c r="A33" s="2202"/>
      <c r="B33" s="2202"/>
      <c r="C33" s="2202"/>
      <c r="D33" s="2202"/>
      <c r="E33" s="2202"/>
      <c r="F33" s="2202"/>
      <c r="G33" s="2202"/>
      <c r="H33" s="2202"/>
    </row>
    <row r="34" spans="1:8">
      <c r="A34" s="2202"/>
      <c r="B34" s="2280" t="s">
        <v>1119</v>
      </c>
      <c r="C34" s="2280" t="s">
        <v>2113</v>
      </c>
      <c r="D34" s="2202"/>
      <c r="E34" s="2202"/>
      <c r="F34" s="2202"/>
      <c r="G34" s="2202"/>
      <c r="H34" s="2202"/>
    </row>
    <row r="35" spans="1:8">
      <c r="A35" s="2201" t="s">
        <v>2114</v>
      </c>
      <c r="B35" s="2202"/>
      <c r="C35" s="2202"/>
      <c r="D35" s="2202"/>
      <c r="E35" s="2202"/>
      <c r="F35" s="2202"/>
      <c r="G35" s="2202"/>
      <c r="H35" s="2202"/>
    </row>
    <row r="36" spans="1:8">
      <c r="A36" s="2202" t="s">
        <v>2115</v>
      </c>
      <c r="B36" s="2635">
        <v>0</v>
      </c>
      <c r="C36" s="2635">
        <v>0</v>
      </c>
      <c r="D36" s="2202"/>
      <c r="E36" s="2202"/>
      <c r="F36" s="2202"/>
      <c r="G36" s="2202"/>
      <c r="H36" s="2202"/>
    </row>
    <row r="37" spans="1:8">
      <c r="A37" s="2202" t="s">
        <v>2116</v>
      </c>
      <c r="B37" s="2791">
        <v>0</v>
      </c>
      <c r="C37" s="2791">
        <v>0</v>
      </c>
      <c r="D37" s="2202"/>
      <c r="E37" s="2202"/>
      <c r="F37" s="2202"/>
      <c r="G37" s="2202"/>
      <c r="H37" s="2202"/>
    </row>
    <row r="38" spans="1:8">
      <c r="A38" s="2202" t="s">
        <v>2117</v>
      </c>
      <c r="B38" s="2791">
        <v>0</v>
      </c>
      <c r="C38" s="2791">
        <v>0</v>
      </c>
      <c r="D38" s="2202"/>
      <c r="E38" s="2202"/>
      <c r="F38" s="2202"/>
      <c r="G38" s="2202"/>
      <c r="H38" s="2202"/>
    </row>
    <row r="39" spans="1:8">
      <c r="A39" s="2202"/>
      <c r="B39" s="2277">
        <f>B36*B37*B38</f>
        <v>0</v>
      </c>
      <c r="C39" s="2277">
        <f>C36*C37*C38</f>
        <v>0</v>
      </c>
      <c r="D39" s="2202"/>
      <c r="E39" s="2202"/>
      <c r="F39" s="2202"/>
      <c r="G39" s="2202"/>
      <c r="H39" s="2202"/>
    </row>
    <row r="40" spans="1:8">
      <c r="A40" s="2201" t="s">
        <v>2118</v>
      </c>
      <c r="B40" s="2206"/>
      <c r="C40" s="2206"/>
      <c r="D40" s="2202"/>
      <c r="E40" s="2202"/>
      <c r="F40" s="2202"/>
      <c r="G40" s="2202"/>
      <c r="H40" s="2202"/>
    </row>
    <row r="41" spans="1:8">
      <c r="A41" s="2202" t="s">
        <v>2119</v>
      </c>
      <c r="B41" s="2635">
        <v>0</v>
      </c>
      <c r="C41" s="2635">
        <v>0</v>
      </c>
      <c r="D41" s="2202"/>
      <c r="E41" s="2202"/>
      <c r="F41" s="2202"/>
      <c r="G41" s="2202"/>
      <c r="H41" s="2202"/>
    </row>
    <row r="42" spans="1:8">
      <c r="A42" s="2202" t="s">
        <v>2120</v>
      </c>
      <c r="B42" s="2792">
        <v>0</v>
      </c>
      <c r="C42" s="2792">
        <v>0</v>
      </c>
      <c r="D42" s="2202"/>
      <c r="E42" s="2202"/>
      <c r="F42" s="2202"/>
      <c r="G42" s="2202"/>
      <c r="H42" s="2202"/>
    </row>
    <row r="43" spans="1:8">
      <c r="A43" s="2202"/>
      <c r="B43" s="2277">
        <f>B41*B42</f>
        <v>0</v>
      </c>
      <c r="C43" s="2277">
        <f>C41*C42</f>
        <v>0</v>
      </c>
      <c r="D43" s="2202"/>
      <c r="E43" s="2202"/>
      <c r="F43" s="2202"/>
      <c r="G43" s="2202"/>
      <c r="H43" s="2202"/>
    </row>
    <row r="44" spans="1:8">
      <c r="A44" s="2202"/>
      <c r="B44" s="2202"/>
      <c r="C44" s="2202"/>
      <c r="D44" s="2202"/>
      <c r="E44" s="2202"/>
      <c r="F44" s="2202"/>
      <c r="G44" s="2202"/>
      <c r="H44" s="2202"/>
    </row>
    <row r="45" spans="1:8">
      <c r="A45" s="2202" t="s">
        <v>1119</v>
      </c>
      <c r="B45" s="2208">
        <f>MAX(B39,B43)</f>
        <v>0</v>
      </c>
      <c r="C45" s="2202"/>
      <c r="D45" s="2202"/>
      <c r="E45" s="2202"/>
      <c r="F45" s="2202"/>
      <c r="G45" s="2202"/>
      <c r="H45" s="2202"/>
    </row>
    <row r="46" spans="1:8">
      <c r="A46" s="2202" t="s">
        <v>2113</v>
      </c>
      <c r="B46" s="2208">
        <f>MAX(C39,C43)</f>
        <v>0</v>
      </c>
      <c r="C46" s="2202"/>
      <c r="D46" s="2202"/>
      <c r="E46" s="2202"/>
      <c r="F46" s="2202"/>
      <c r="G46" s="2202"/>
      <c r="H46" s="2202"/>
    </row>
    <row r="47" spans="1:8">
      <c r="A47" s="2202" t="s">
        <v>336</v>
      </c>
      <c r="B47" s="2635">
        <v>0</v>
      </c>
      <c r="C47" s="2202"/>
      <c r="D47" s="2202"/>
      <c r="E47" s="2202"/>
      <c r="F47" s="2202"/>
      <c r="G47" s="2202"/>
      <c r="H47" s="2202"/>
    </row>
    <row r="48" spans="1:8">
      <c r="A48" s="2202" t="s">
        <v>2121</v>
      </c>
      <c r="B48" s="2635">
        <v>0</v>
      </c>
      <c r="C48" s="2202"/>
      <c r="D48" s="2202"/>
      <c r="E48" s="2202"/>
      <c r="F48" s="2202"/>
      <c r="G48" s="2202"/>
      <c r="H48" s="2202"/>
    </row>
    <row r="49" spans="1:8">
      <c r="A49" s="2202" t="s">
        <v>2122</v>
      </c>
      <c r="B49" s="2635">
        <v>0</v>
      </c>
      <c r="C49" s="2202"/>
      <c r="D49" s="2202"/>
      <c r="E49" s="2202"/>
      <c r="F49" s="2202"/>
      <c r="G49" s="2202"/>
      <c r="H49" s="2202"/>
    </row>
    <row r="50" spans="1:8">
      <c r="A50" s="2202" t="s">
        <v>2100</v>
      </c>
      <c r="B50" s="2635">
        <v>0</v>
      </c>
      <c r="C50" s="2202"/>
      <c r="D50" s="2202"/>
      <c r="E50" s="2202"/>
      <c r="F50" s="2202"/>
      <c r="G50" s="2202"/>
      <c r="H50" s="2202"/>
    </row>
    <row r="51" spans="1:8">
      <c r="A51" s="2202" t="s">
        <v>2123</v>
      </c>
      <c r="B51" s="2635">
        <v>0</v>
      </c>
      <c r="C51" s="2202"/>
      <c r="D51" s="2202"/>
      <c r="E51" s="2202"/>
      <c r="F51" s="2202"/>
      <c r="G51" s="2202"/>
      <c r="H51" s="2202"/>
    </row>
    <row r="52" spans="1:8" ht="15.75" thickBot="1">
      <c r="A52" s="2202" t="s">
        <v>2105</v>
      </c>
      <c r="B52" s="2635">
        <v>0</v>
      </c>
      <c r="C52" s="2202"/>
      <c r="D52" s="2202"/>
      <c r="E52" s="2202"/>
      <c r="F52" s="2202"/>
      <c r="G52" s="2202"/>
      <c r="H52" s="2202"/>
    </row>
    <row r="53" spans="1:8" ht="15.6" customHeight="1" thickBot="1">
      <c r="A53" s="2201" t="s">
        <v>2124</v>
      </c>
      <c r="B53" s="2281">
        <f>SUM(B45:B52)</f>
        <v>0</v>
      </c>
      <c r="C53" s="2202"/>
      <c r="D53" s="2202"/>
      <c r="E53" s="2202"/>
      <c r="F53" s="2202"/>
      <c r="G53" s="2202"/>
      <c r="H53" s="2202"/>
    </row>
    <row r="54" spans="1:8">
      <c r="A54" s="2202"/>
      <c r="B54" s="2202"/>
      <c r="C54" s="2202"/>
      <c r="D54" s="2202"/>
      <c r="E54" s="2202"/>
      <c r="F54" s="2202"/>
      <c r="G54" s="2202"/>
      <c r="H54" s="2202"/>
    </row>
    <row r="55" spans="1:8">
      <c r="A55" s="1600" t="s">
        <v>2125</v>
      </c>
      <c r="B55" s="2202"/>
      <c r="C55" s="2202"/>
      <c r="D55" s="2202"/>
      <c r="E55" s="2202"/>
      <c r="F55" s="2202"/>
      <c r="G55" s="2202"/>
      <c r="H55" s="2202"/>
    </row>
    <row r="56" spans="1:8">
      <c r="A56" s="2202"/>
      <c r="B56" s="2202"/>
      <c r="C56" s="2202"/>
      <c r="D56" s="2202"/>
      <c r="E56" s="2202"/>
      <c r="F56" s="2202"/>
      <c r="G56" s="2202"/>
      <c r="H56" s="2202"/>
    </row>
    <row r="57" spans="1:8" ht="15.75">
      <c r="A57" s="4165" t="s">
        <v>2126</v>
      </c>
      <c r="B57" s="4166"/>
      <c r="C57" s="4166"/>
      <c r="D57" s="4166"/>
      <c r="E57" s="4166"/>
      <c r="F57" s="4166"/>
      <c r="G57" s="4166"/>
      <c r="H57" s="4167"/>
    </row>
    <row r="58" spans="1:8">
      <c r="A58" s="2202"/>
      <c r="B58" s="2202"/>
      <c r="C58" s="2202"/>
      <c r="D58" s="2202"/>
      <c r="E58" s="2202"/>
      <c r="F58" s="2202"/>
      <c r="G58" s="2202"/>
      <c r="H58" s="2202"/>
    </row>
    <row r="59" spans="1:8">
      <c r="A59" s="2202" t="s">
        <v>2127</v>
      </c>
      <c r="B59" s="2202"/>
      <c r="C59" s="2202"/>
      <c r="D59" s="2202"/>
      <c r="E59" s="2202"/>
      <c r="F59" s="2202"/>
      <c r="G59" s="2202"/>
      <c r="H59" s="2202"/>
    </row>
    <row r="60" spans="1:8">
      <c r="A60" s="2202"/>
      <c r="B60" s="2202"/>
      <c r="C60" s="2202"/>
      <c r="D60" s="2202"/>
      <c r="E60" s="2202"/>
      <c r="F60" s="2202"/>
      <c r="G60" s="2202"/>
      <c r="H60" s="2202"/>
    </row>
    <row r="61" spans="1:8">
      <c r="A61" s="2202" t="s">
        <v>2128</v>
      </c>
      <c r="B61" s="2202"/>
      <c r="C61" s="2202"/>
      <c r="D61" s="2202"/>
      <c r="E61" s="2202"/>
      <c r="F61" s="2202"/>
      <c r="G61" s="2202"/>
      <c r="H61" s="2202"/>
    </row>
    <row r="62" spans="1:8">
      <c r="A62" s="2274" t="s">
        <v>2129</v>
      </c>
      <c r="B62" s="2202"/>
      <c r="C62" s="2202"/>
      <c r="D62" s="2202"/>
      <c r="E62" s="2202"/>
      <c r="F62" s="2202"/>
      <c r="G62" s="2202"/>
      <c r="H62" s="2202"/>
    </row>
    <row r="63" spans="1:8">
      <c r="A63" s="2274" t="s">
        <v>2130</v>
      </c>
      <c r="B63" s="2202"/>
      <c r="C63" s="2202"/>
      <c r="D63" s="2202"/>
      <c r="E63" s="2202"/>
      <c r="F63" s="2202"/>
      <c r="G63" s="2202"/>
      <c r="H63" s="2202"/>
    </row>
    <row r="64" spans="1:8">
      <c r="A64" s="2274" t="s">
        <v>2131</v>
      </c>
      <c r="B64" s="2202"/>
      <c r="C64" s="2202"/>
      <c r="D64" s="2202"/>
      <c r="E64" s="2202"/>
      <c r="F64" s="2202"/>
      <c r="G64" s="2202"/>
      <c r="H64" s="2202"/>
    </row>
    <row r="65" spans="1:8">
      <c r="A65" s="2275" t="s">
        <v>2132</v>
      </c>
      <c r="B65" s="2202"/>
      <c r="C65" s="2202"/>
      <c r="D65" s="2202"/>
      <c r="E65" s="2202"/>
      <c r="F65" s="2202"/>
      <c r="G65" s="2202"/>
      <c r="H65" s="2202"/>
    </row>
    <row r="66" spans="1:8">
      <c r="A66" s="2212"/>
      <c r="B66" s="2202"/>
      <c r="C66" s="2202"/>
      <c r="D66" s="2202"/>
      <c r="E66" s="2202"/>
      <c r="F66" s="2202"/>
      <c r="G66" s="2202"/>
      <c r="H66" s="2202"/>
    </row>
    <row r="67" spans="1:8">
      <c r="A67" s="2276" t="s">
        <v>2133</v>
      </c>
      <c r="B67" s="2202"/>
      <c r="C67" s="2202"/>
      <c r="D67" s="2202"/>
      <c r="E67" s="2202"/>
      <c r="F67" s="2202"/>
      <c r="G67" s="2202"/>
      <c r="H67" s="2202"/>
    </row>
    <row r="68" spans="1:8">
      <c r="A68" s="2202"/>
      <c r="B68" s="2202"/>
      <c r="C68" s="2202"/>
      <c r="D68" s="2202"/>
      <c r="E68" s="2202"/>
      <c r="F68" s="2202"/>
      <c r="G68" s="2202"/>
      <c r="H68" s="2202"/>
    </row>
    <row r="69" spans="1:8">
      <c r="A69" s="2202" t="s">
        <v>861</v>
      </c>
      <c r="B69" s="2635">
        <v>0</v>
      </c>
      <c r="C69" s="2202"/>
      <c r="D69" s="2202"/>
      <c r="E69" s="2202"/>
      <c r="F69" s="2202"/>
      <c r="G69" s="2202"/>
      <c r="H69" s="2202"/>
    </row>
    <row r="70" spans="1:8">
      <c r="A70" s="2202" t="s">
        <v>2134</v>
      </c>
      <c r="B70" s="2635">
        <v>0</v>
      </c>
      <c r="C70" s="2202"/>
      <c r="D70" s="2202"/>
      <c r="E70" s="2202"/>
      <c r="F70" s="2202"/>
      <c r="G70" s="2202"/>
      <c r="H70" s="2202"/>
    </row>
    <row r="71" spans="1:8">
      <c r="A71" s="2202" t="s">
        <v>2135</v>
      </c>
      <c r="B71" s="2635">
        <v>0</v>
      </c>
      <c r="C71" s="2202"/>
      <c r="D71" s="2202"/>
      <c r="E71" s="2202"/>
      <c r="F71" s="2202"/>
      <c r="G71" s="2202"/>
      <c r="H71" s="2202"/>
    </row>
    <row r="72" spans="1:8">
      <c r="A72" s="2202" t="s">
        <v>2136</v>
      </c>
      <c r="B72" s="2635">
        <v>0</v>
      </c>
      <c r="C72" s="2202"/>
      <c r="D72" s="2202"/>
      <c r="E72" s="2202"/>
      <c r="F72" s="2202"/>
      <c r="G72" s="2202"/>
      <c r="H72" s="2202"/>
    </row>
    <row r="73" spans="1:8">
      <c r="A73" s="2202" t="s">
        <v>2137</v>
      </c>
      <c r="B73" s="2635">
        <v>0</v>
      </c>
      <c r="C73" s="2202"/>
      <c r="D73" s="2202"/>
      <c r="E73" s="2202"/>
      <c r="F73" s="2202"/>
      <c r="G73" s="2202"/>
      <c r="H73" s="2202"/>
    </row>
    <row r="74" spans="1:8">
      <c r="A74" s="2202" t="s">
        <v>2138</v>
      </c>
      <c r="B74" s="2635">
        <v>0</v>
      </c>
      <c r="C74" s="2202"/>
      <c r="D74" s="2202"/>
      <c r="E74" s="2202"/>
      <c r="F74" s="2202"/>
      <c r="G74" s="2202"/>
      <c r="H74" s="2202"/>
    </row>
    <row r="75" spans="1:8">
      <c r="A75" s="2212" t="s">
        <v>2139</v>
      </c>
      <c r="B75" s="2635">
        <v>0</v>
      </c>
      <c r="C75" s="2202"/>
      <c r="D75" s="2202"/>
      <c r="E75" s="2202"/>
      <c r="F75" s="2202"/>
      <c r="G75" s="2202"/>
      <c r="H75" s="2202"/>
    </row>
    <row r="76" spans="1:8">
      <c r="A76" s="2202" t="s">
        <v>2140</v>
      </c>
      <c r="B76" s="2635">
        <v>0</v>
      </c>
      <c r="C76" s="2202"/>
      <c r="D76" s="2202"/>
      <c r="E76" s="2202"/>
      <c r="F76" s="2202"/>
      <c r="G76" s="2202"/>
      <c r="H76" s="2202"/>
    </row>
    <row r="77" spans="1:8">
      <c r="A77" s="2201" t="s">
        <v>2141</v>
      </c>
      <c r="B77" s="3072">
        <f>SUM(B69:B76)</f>
        <v>0</v>
      </c>
      <c r="C77" s="2202"/>
      <c r="D77" s="2202"/>
      <c r="E77" s="2202"/>
      <c r="F77" s="2202"/>
      <c r="G77" s="2202"/>
      <c r="H77" s="2202"/>
    </row>
    <row r="78" spans="1:8" ht="15.6" customHeight="1">
      <c r="A78" s="2202"/>
      <c r="B78" s="2206"/>
      <c r="C78" s="2202"/>
      <c r="D78" s="2202"/>
      <c r="E78" s="2202"/>
      <c r="F78" s="2202"/>
      <c r="G78" s="2202"/>
      <c r="H78" s="2202"/>
    </row>
    <row r="79" spans="1:8">
      <c r="A79" s="2202" t="s">
        <v>2142</v>
      </c>
      <c r="B79" s="2793">
        <v>0</v>
      </c>
      <c r="C79" s="2202"/>
      <c r="D79" s="2202"/>
      <c r="E79" s="2202"/>
      <c r="F79" s="2202"/>
      <c r="G79" s="2202"/>
      <c r="H79" s="2202"/>
    </row>
    <row r="80" spans="1:8">
      <c r="A80" s="2212" t="s">
        <v>2143</v>
      </c>
      <c r="B80" s="2793">
        <v>0</v>
      </c>
      <c r="C80" s="2202"/>
      <c r="D80" s="2202"/>
      <c r="E80" s="2202"/>
      <c r="F80" s="2202"/>
      <c r="G80" s="2202"/>
      <c r="H80" s="2202"/>
    </row>
    <row r="81" spans="1:8">
      <c r="A81" s="2201" t="s">
        <v>2144</v>
      </c>
      <c r="B81" s="2278">
        <f>IFERROR(B80/B79,0)</f>
        <v>0</v>
      </c>
      <c r="C81" s="2202"/>
      <c r="D81" s="2202"/>
      <c r="E81" s="2202"/>
      <c r="F81" s="2202"/>
      <c r="G81" s="2202"/>
      <c r="H81" s="2202"/>
    </row>
    <row r="82" spans="1:8">
      <c r="A82" s="2202"/>
      <c r="B82" s="2202"/>
      <c r="C82" s="2202"/>
      <c r="D82" s="2202"/>
      <c r="E82" s="2202"/>
      <c r="F82" s="2202"/>
      <c r="G82" s="2202"/>
      <c r="H82" s="2202"/>
    </row>
    <row r="83" spans="1:8">
      <c r="A83" s="2202" t="s">
        <v>2210</v>
      </c>
      <c r="B83" s="2794">
        <v>0</v>
      </c>
      <c r="C83" s="2202"/>
      <c r="D83" s="2202"/>
      <c r="E83" s="2202"/>
      <c r="F83" s="2202"/>
      <c r="G83" s="2202"/>
      <c r="H83" s="2202"/>
    </row>
    <row r="84" spans="1:8">
      <c r="A84" s="2202" t="s">
        <v>2211</v>
      </c>
      <c r="B84" s="2794">
        <v>0</v>
      </c>
      <c r="C84" s="2202"/>
      <c r="D84" s="2202"/>
      <c r="E84" s="2202"/>
      <c r="F84" s="2202"/>
      <c r="G84" s="2202"/>
      <c r="H84" s="2202"/>
    </row>
    <row r="85" spans="1:8">
      <c r="A85" s="2201" t="s">
        <v>2145</v>
      </c>
      <c r="B85" s="2278">
        <f>IFERROR(B84/B83,0)</f>
        <v>0</v>
      </c>
      <c r="C85" s="2202"/>
      <c r="D85" s="2202"/>
      <c r="E85" s="2202"/>
      <c r="F85" s="2202"/>
      <c r="G85" s="2202"/>
      <c r="H85" s="2202"/>
    </row>
    <row r="86" spans="1:8" ht="15.75" thickBot="1">
      <c r="A86" s="2202"/>
      <c r="B86" s="2202"/>
      <c r="C86" s="2202"/>
      <c r="D86" s="2202"/>
      <c r="E86" s="2202"/>
      <c r="F86" s="2202"/>
      <c r="G86" s="2202"/>
      <c r="H86" s="2202"/>
    </row>
    <row r="87" spans="1:8" ht="15.75" thickBot="1">
      <c r="A87" s="2201" t="s">
        <v>2146</v>
      </c>
      <c r="B87" s="2279">
        <f>B77*B81*B85</f>
        <v>0</v>
      </c>
      <c r="C87" s="2202"/>
      <c r="D87" s="2202"/>
      <c r="E87" s="2202"/>
      <c r="F87" s="2202"/>
      <c r="G87" s="2202"/>
      <c r="H87" s="2202"/>
    </row>
    <row r="88" spans="1:8">
      <c r="A88" s="2202"/>
      <c r="B88" s="2202"/>
      <c r="C88" s="2202"/>
      <c r="D88" s="2202"/>
      <c r="E88" s="2202"/>
      <c r="F88" s="2202"/>
      <c r="G88" s="2202"/>
      <c r="H88" s="2202"/>
    </row>
    <row r="89" spans="1:8" ht="15.75">
      <c r="A89" s="4165" t="s">
        <v>2439</v>
      </c>
      <c r="B89" s="4166"/>
      <c r="C89" s="4166"/>
      <c r="D89" s="4166"/>
      <c r="E89" s="4166"/>
      <c r="F89" s="4166"/>
      <c r="G89" s="4166"/>
      <c r="H89" s="4167"/>
    </row>
    <row r="90" spans="1:8">
      <c r="A90" s="2202"/>
      <c r="B90" s="2202"/>
      <c r="C90" s="2202"/>
      <c r="D90" s="2202"/>
      <c r="E90" s="2202"/>
      <c r="F90" s="2202"/>
      <c r="G90" s="2202"/>
      <c r="H90" s="2202"/>
    </row>
    <row r="91" spans="1:8">
      <c r="A91" s="2202" t="s">
        <v>2089</v>
      </c>
      <c r="B91" s="2790">
        <f>G91*G92*G93</f>
        <v>0</v>
      </c>
      <c r="C91" s="2202"/>
      <c r="D91" s="2202"/>
      <c r="E91" s="2202" t="s">
        <v>2584</v>
      </c>
      <c r="F91" s="2202"/>
      <c r="G91" s="2794"/>
      <c r="H91" s="2202"/>
    </row>
    <row r="92" spans="1:8">
      <c r="A92" s="2202" t="s">
        <v>2090</v>
      </c>
      <c r="B92" s="2208">
        <v>0.52</v>
      </c>
      <c r="C92" s="2202"/>
      <c r="D92" s="2202"/>
      <c r="E92" s="2202" t="s">
        <v>2585</v>
      </c>
      <c r="F92" s="2202"/>
      <c r="G92" s="2794"/>
      <c r="H92" s="2202"/>
    </row>
    <row r="93" spans="1:8">
      <c r="A93" s="2202"/>
      <c r="B93" s="2202"/>
      <c r="C93" s="2202"/>
      <c r="D93" s="2202"/>
      <c r="E93" s="2202" t="s">
        <v>2586</v>
      </c>
      <c r="F93" s="2202"/>
      <c r="G93" s="2794"/>
      <c r="H93" s="2202"/>
    </row>
    <row r="94" spans="1:8">
      <c r="A94" s="2202" t="s">
        <v>2098</v>
      </c>
      <c r="B94" s="2283">
        <f>B91*B92</f>
        <v>0</v>
      </c>
      <c r="C94" s="2202"/>
      <c r="D94" s="2202"/>
      <c r="E94" s="2202"/>
      <c r="F94" s="2202"/>
      <c r="G94" s="2202"/>
      <c r="H94" s="2202"/>
    </row>
    <row r="95" spans="1:8">
      <c r="A95" s="2202" t="s">
        <v>2099</v>
      </c>
      <c r="B95" s="2635">
        <v>0</v>
      </c>
      <c r="C95" s="2202"/>
      <c r="D95" s="2202"/>
      <c r="E95" s="2202"/>
      <c r="F95" s="2202"/>
      <c r="G95" s="2202"/>
      <c r="H95" s="2202"/>
    </row>
    <row r="96" spans="1:8">
      <c r="A96" s="2202" t="s">
        <v>2100</v>
      </c>
      <c r="B96" s="2635">
        <v>0</v>
      </c>
      <c r="C96" s="2202"/>
      <c r="D96" s="2280" t="s">
        <v>1129</v>
      </c>
      <c r="E96" s="2280" t="s">
        <v>2101</v>
      </c>
      <c r="F96" s="2202"/>
      <c r="G96" s="2202"/>
      <c r="H96" s="2202"/>
    </row>
    <row r="97" spans="1:8">
      <c r="A97" s="2202" t="s">
        <v>2102</v>
      </c>
      <c r="B97" s="2208">
        <f>D97*E97</f>
        <v>0</v>
      </c>
      <c r="C97" s="2202"/>
      <c r="D97" s="2635">
        <v>0</v>
      </c>
      <c r="E97" s="2792">
        <v>0</v>
      </c>
      <c r="F97" s="2202"/>
      <c r="G97" s="2202"/>
      <c r="H97" s="2202"/>
    </row>
    <row r="98" spans="1:8">
      <c r="A98" s="2202" t="s">
        <v>2103</v>
      </c>
      <c r="B98" s="2208">
        <f>D98*E98</f>
        <v>0</v>
      </c>
      <c r="C98" s="2202"/>
      <c r="D98" s="2635">
        <v>0</v>
      </c>
      <c r="E98" s="2792">
        <v>0</v>
      </c>
      <c r="F98" s="2202"/>
      <c r="G98" s="2202"/>
      <c r="H98" s="2202"/>
    </row>
    <row r="99" spans="1:8">
      <c r="A99" s="2202" t="s">
        <v>2104</v>
      </c>
      <c r="B99" s="2635">
        <v>0</v>
      </c>
      <c r="C99" s="2202"/>
      <c r="D99" s="2202"/>
      <c r="E99" s="2202"/>
      <c r="F99" s="2202"/>
      <c r="G99" s="2202"/>
      <c r="H99" s="2202"/>
    </row>
    <row r="100" spans="1:8" ht="15.75" thickBot="1">
      <c r="A100" s="2202" t="s">
        <v>2105</v>
      </c>
      <c r="B100" s="3073">
        <v>0</v>
      </c>
      <c r="C100" s="2202"/>
      <c r="D100" s="2202"/>
      <c r="E100" s="2202"/>
      <c r="F100" s="2202"/>
      <c r="G100" s="2202"/>
      <c r="H100" s="2202"/>
    </row>
    <row r="101" spans="1:8" ht="15.75" thickBot="1">
      <c r="A101" s="2201" t="s">
        <v>2106</v>
      </c>
      <c r="B101" s="2281">
        <f>SUM(B94:B100)</f>
        <v>0</v>
      </c>
      <c r="C101" s="2202"/>
      <c r="D101" s="2202"/>
      <c r="E101" s="2202"/>
      <c r="F101" s="2202"/>
      <c r="G101" s="2202"/>
      <c r="H101" s="2202"/>
    </row>
    <row r="102" spans="1:8">
      <c r="A102" s="2202"/>
      <c r="B102" s="2202"/>
      <c r="C102" s="2202"/>
      <c r="D102" s="2202"/>
      <c r="E102" s="2202"/>
      <c r="F102" s="2202"/>
      <c r="G102" s="2202"/>
      <c r="H102" s="2202"/>
    </row>
    <row r="103" spans="1:8">
      <c r="A103" s="2201" t="s">
        <v>2151</v>
      </c>
      <c r="B103" s="2202"/>
      <c r="C103" s="2202"/>
      <c r="D103" s="2202"/>
      <c r="E103" s="2202"/>
      <c r="F103" s="2202"/>
      <c r="G103" s="2202"/>
      <c r="H103" s="2202"/>
    </row>
    <row r="104" spans="1:8">
      <c r="A104" s="2202" t="s">
        <v>2107</v>
      </c>
      <c r="B104" s="2202"/>
      <c r="C104" s="2202"/>
      <c r="D104" s="2202"/>
      <c r="E104" s="2202"/>
      <c r="F104" s="2202"/>
      <c r="G104" s="2202"/>
      <c r="H104" s="2202"/>
    </row>
    <row r="105" spans="1:8">
      <c r="A105" s="2284" t="s">
        <v>2108</v>
      </c>
      <c r="B105" s="2202"/>
      <c r="C105" s="2202"/>
      <c r="D105" s="2202"/>
      <c r="E105" s="2202"/>
      <c r="F105" s="2202"/>
      <c r="G105" s="2202"/>
      <c r="H105" s="2202"/>
    </row>
    <row r="106" spans="1:8">
      <c r="A106" s="2284" t="s">
        <v>2109</v>
      </c>
      <c r="B106" s="2202"/>
      <c r="C106" s="2202"/>
      <c r="D106" s="2202"/>
      <c r="E106" s="2202"/>
      <c r="F106" s="2202"/>
      <c r="G106" s="2202"/>
      <c r="H106" s="2202"/>
    </row>
    <row r="107" spans="1:8">
      <c r="A107" s="2284" t="s">
        <v>2110</v>
      </c>
      <c r="B107" s="2202"/>
      <c r="C107" s="2202"/>
      <c r="D107" s="2202"/>
      <c r="E107" s="2202"/>
      <c r="F107" s="2202"/>
      <c r="G107" s="2202"/>
      <c r="H107" s="2202"/>
    </row>
    <row r="108" spans="1:8">
      <c r="A108" s="2202"/>
      <c r="B108" s="2202"/>
      <c r="C108" s="2202"/>
      <c r="D108" s="2202"/>
      <c r="E108" s="2202"/>
      <c r="F108" s="2202"/>
      <c r="G108" s="2202"/>
      <c r="H108" s="2202"/>
    </row>
    <row r="109" spans="1:8">
      <c r="A109" s="1600" t="s">
        <v>2111</v>
      </c>
      <c r="B109" s="2202"/>
      <c r="C109" s="2202"/>
      <c r="D109" s="2202"/>
      <c r="E109" s="2202"/>
      <c r="F109" s="2202"/>
      <c r="G109" s="2202"/>
      <c r="H109" s="2202"/>
    </row>
    <row r="110" spans="1:8">
      <c r="A110" s="2202"/>
      <c r="B110" s="2202"/>
      <c r="C110" s="2202"/>
      <c r="D110" s="2202"/>
      <c r="E110" s="2202"/>
      <c r="F110" s="2202"/>
      <c r="G110" s="2202"/>
      <c r="H110" s="2202"/>
    </row>
    <row r="111" spans="1:8" ht="15.75">
      <c r="A111" s="4165" t="s">
        <v>2440</v>
      </c>
      <c r="B111" s="4166"/>
      <c r="C111" s="4166"/>
      <c r="D111" s="4166"/>
      <c r="E111" s="4166"/>
      <c r="F111" s="4166"/>
      <c r="G111" s="4166"/>
      <c r="H111" s="4167"/>
    </row>
    <row r="112" spans="1:8">
      <c r="A112" s="2202"/>
      <c r="B112" s="2202"/>
      <c r="C112" s="2202"/>
      <c r="D112" s="2202"/>
      <c r="E112" s="2202"/>
      <c r="F112" s="2202"/>
      <c r="G112" s="2202"/>
      <c r="H112" s="2202"/>
    </row>
    <row r="113" spans="1:8">
      <c r="A113" s="2202" t="s">
        <v>2244</v>
      </c>
      <c r="B113" s="2202"/>
      <c r="C113" s="2202"/>
      <c r="D113" s="2202"/>
      <c r="E113" s="2202"/>
      <c r="F113" s="2202"/>
      <c r="G113" s="2202"/>
      <c r="H113" s="2202"/>
    </row>
    <row r="114" spans="1:8">
      <c r="A114" s="2202" t="s">
        <v>2088</v>
      </c>
      <c r="B114" s="2202"/>
      <c r="C114" s="2202"/>
      <c r="D114" s="2202"/>
      <c r="E114" s="2202"/>
      <c r="F114" s="2202"/>
      <c r="G114" s="2202"/>
      <c r="H114" s="2202"/>
    </row>
    <row r="115" spans="1:8">
      <c r="A115" s="2202"/>
      <c r="B115" s="2202"/>
      <c r="C115" s="2202"/>
      <c r="D115" s="2202"/>
      <c r="E115" s="2202"/>
      <c r="F115" s="2202"/>
      <c r="G115" s="2202"/>
      <c r="H115" s="2202"/>
    </row>
    <row r="116" spans="1:8">
      <c r="A116" s="2202" t="s">
        <v>2089</v>
      </c>
      <c r="B116" s="3074">
        <f>G116*G117*G118</f>
        <v>0</v>
      </c>
      <c r="C116" s="2202"/>
      <c r="D116" s="2202"/>
      <c r="E116" s="2202" t="s">
        <v>2584</v>
      </c>
      <c r="F116" s="2202"/>
      <c r="G116" s="2794"/>
      <c r="H116" s="2202"/>
    </row>
    <row r="117" spans="1:8" ht="15.75" thickBot="1">
      <c r="A117" s="2202" t="s">
        <v>2090</v>
      </c>
      <c r="B117" s="2208">
        <v>0.8</v>
      </c>
      <c r="C117" s="2202"/>
      <c r="D117" s="2202"/>
      <c r="E117" s="2202" t="s">
        <v>2585</v>
      </c>
      <c r="F117" s="2202"/>
      <c r="G117" s="2794"/>
      <c r="H117" s="2202"/>
    </row>
    <row r="118" spans="1:8" ht="15.75" thickBot="1">
      <c r="A118" s="2201" t="s">
        <v>2091</v>
      </c>
      <c r="B118" s="2281">
        <f>B116*B117</f>
        <v>0</v>
      </c>
      <c r="C118" s="2202"/>
      <c r="D118" s="2202"/>
      <c r="E118" s="2202" t="s">
        <v>2586</v>
      </c>
      <c r="F118" s="2202"/>
      <c r="G118" s="2794"/>
      <c r="H118" s="2202"/>
    </row>
    <row r="119" spans="1:8">
      <c r="A119" s="2202"/>
      <c r="B119" s="2202"/>
      <c r="C119" s="2202"/>
      <c r="D119" s="2202"/>
      <c r="E119" s="2202"/>
      <c r="F119" s="2202"/>
      <c r="G119" s="2202"/>
      <c r="H119" s="2202"/>
    </row>
    <row r="120" spans="1:8">
      <c r="A120" s="2201" t="s">
        <v>1768</v>
      </c>
      <c r="B120" s="2202"/>
      <c r="C120" s="2202"/>
      <c r="D120" s="2202"/>
      <c r="E120" s="2202"/>
      <c r="F120" s="2202"/>
      <c r="G120" s="2202"/>
      <c r="H120" s="2202"/>
    </row>
    <row r="121" spans="1:8">
      <c r="A121" s="2202" t="s">
        <v>2441</v>
      </c>
      <c r="B121" s="2202"/>
      <c r="C121" s="2202"/>
      <c r="D121" s="2202"/>
      <c r="E121" s="2202"/>
      <c r="F121" s="2202"/>
      <c r="G121" s="2202"/>
      <c r="H121" s="2202"/>
    </row>
    <row r="122" spans="1:8">
      <c r="A122" s="2212" t="s">
        <v>2092</v>
      </c>
      <c r="B122" s="2202"/>
      <c r="C122" s="2202"/>
      <c r="D122" s="2202"/>
      <c r="E122" s="2202"/>
      <c r="F122" s="2202"/>
      <c r="G122" s="2202"/>
      <c r="H122" s="2202"/>
    </row>
    <row r="123" spans="1:8">
      <c r="A123" s="2284" t="s">
        <v>2093</v>
      </c>
      <c r="B123" s="2202"/>
      <c r="C123" s="2202"/>
      <c r="D123" s="2202"/>
      <c r="E123" s="2202"/>
      <c r="F123" s="2202"/>
      <c r="G123" s="2202"/>
      <c r="H123" s="2202"/>
    </row>
    <row r="124" spans="1:8">
      <c r="A124" s="2284" t="s">
        <v>2094</v>
      </c>
      <c r="B124" s="2202"/>
      <c r="C124" s="2202"/>
      <c r="D124" s="2202"/>
      <c r="E124" s="2202"/>
      <c r="F124" s="2202"/>
      <c r="G124" s="2202"/>
      <c r="H124" s="2202"/>
    </row>
    <row r="125" spans="1:8">
      <c r="A125" s="2284" t="s">
        <v>2095</v>
      </c>
      <c r="B125" s="2202"/>
      <c r="C125" s="2202"/>
      <c r="D125" s="2202"/>
      <c r="E125" s="2202"/>
      <c r="F125" s="2202"/>
      <c r="G125" s="2202"/>
      <c r="H125" s="2202"/>
    </row>
    <row r="126" spans="1:8">
      <c r="A126" s="2284" t="s">
        <v>2096</v>
      </c>
      <c r="B126" s="2202"/>
      <c r="C126" s="2202"/>
      <c r="D126" s="2202"/>
      <c r="E126" s="2202"/>
      <c r="F126" s="2202"/>
      <c r="G126" s="2202"/>
      <c r="H126" s="2202"/>
    </row>
    <row r="127" spans="1:8">
      <c r="A127" s="2284"/>
      <c r="B127" s="2202"/>
      <c r="C127" s="2202"/>
      <c r="D127" s="2202"/>
      <c r="E127" s="2202"/>
      <c r="F127" s="2202"/>
      <c r="G127" s="2202"/>
      <c r="H127" s="2202"/>
    </row>
    <row r="128" spans="1:8">
      <c r="A128" s="3075" t="s">
        <v>2097</v>
      </c>
      <c r="B128" s="2202"/>
      <c r="C128" s="2202"/>
      <c r="D128" s="2202"/>
      <c r="E128" s="2202"/>
      <c r="F128" s="2202"/>
      <c r="G128" s="2202"/>
      <c r="H128" s="2202"/>
    </row>
    <row r="129" spans="1:8">
      <c r="A129" s="2202"/>
      <c r="B129" s="2202"/>
      <c r="C129" s="2202"/>
      <c r="D129" s="2202"/>
      <c r="E129" s="2202"/>
      <c r="F129" s="2202"/>
      <c r="G129" s="2202"/>
      <c r="H129" s="2202"/>
    </row>
  </sheetData>
  <mergeCells count="6">
    <mergeCell ref="A89:H89"/>
    <mergeCell ref="A111:H111"/>
    <mergeCell ref="A7:H7"/>
    <mergeCell ref="A12:H12"/>
    <mergeCell ref="A32:H32"/>
    <mergeCell ref="A57:H57"/>
  </mergeCells>
  <hyperlinks>
    <hyperlink ref="A9" location="ClientName" display="ClientName" xr:uid="{CD3F3A9E-75DF-4522-B0D5-E85DDF091716}"/>
    <hyperlink ref="A67" r:id="rId1" xr:uid="{6A9593D8-AEBC-4180-98B5-F81E96775669}"/>
    <hyperlink ref="A109" r:id="rId2" xr:uid="{501124D1-5CA3-4774-8B48-6CC92F7B6A5F}"/>
    <hyperlink ref="A55" r:id="rId3" xr:uid="{6479B38A-FBE3-4157-8919-EC868CAA6BCA}"/>
    <hyperlink ref="A128" r:id="rId4" xr:uid="{9227FA1E-C224-4448-9669-FD4EEF0F928B}"/>
    <hyperlink ref="A29" r:id="rId5" xr:uid="{C29C4E72-B32F-446B-992C-DB2D786D5B71}"/>
    <hyperlink ref="A30" r:id="rId6" xr:uid="{59593DB8-9E80-4DEC-B04D-17B293326EB1}"/>
    <hyperlink ref="H8" location="'WPIndex'!A1" display="Back to Workpaper Index" xr:uid="{DFB3FC0D-961B-4E9D-909F-5ADD62B15D7F}"/>
  </hyperlinks>
  <pageMargins left="0.70866141732283472" right="0.70866141732283472" top="0.74803149606299213" bottom="0.74803149606299213" header="0.31496062992125984" footer="0.31496062992125984"/>
  <pageSetup paperSize="9" scale="53" fitToHeight="0" orientation="portrait" r:id="rId7"/>
  <headerFooter>
    <oddFooter>&amp;L© Findex (Aust) Pty Ltd.  All rights reserved.</oddFooter>
  </headerFooter>
  <drawing r:id="rId8"/>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Template_Sheet">
    <tabColor theme="8" tint="0.79998168889431442"/>
    <pageSetUpPr fitToPage="1"/>
  </sheetPr>
  <dimension ref="A1:I13"/>
  <sheetViews>
    <sheetView zoomScaleNormal="100" workbookViewId="0">
      <selection sqref="A1:F1"/>
    </sheetView>
  </sheetViews>
  <sheetFormatPr defaultColWidth="11.7109375" defaultRowHeight="12.75"/>
  <cols>
    <col min="1" max="1" width="11.7109375" style="1768" customWidth="1"/>
    <col min="2" max="5" width="11.7109375" style="1769" customWidth="1"/>
    <col min="6" max="6" width="11.7109375" style="1770" customWidth="1"/>
    <col min="7" max="8" width="11.7109375" style="1769" customWidth="1"/>
    <col min="9" max="9" width="8.28515625" style="1637" hidden="1" customWidth="1"/>
    <col min="10" max="16384" width="11.7109375" style="1768"/>
  </cols>
  <sheetData>
    <row r="1" spans="1:9">
      <c r="G1" s="2613" t="s">
        <v>2425</v>
      </c>
      <c r="H1" s="3576" t="s">
        <v>2758</v>
      </c>
    </row>
    <row r="2" spans="1:9" ht="18.75" customHeight="1">
      <c r="A2" s="1612"/>
      <c r="B2" s="829"/>
      <c r="C2" s="1613"/>
      <c r="D2" s="1613"/>
      <c r="E2" s="1613"/>
      <c r="F2" s="1613"/>
      <c r="G2" s="71" t="s">
        <v>2426</v>
      </c>
      <c r="H2" s="2621"/>
      <c r="I2" s="1"/>
    </row>
    <row r="3" spans="1:9" ht="18.75" customHeight="1">
      <c r="A3" s="1612"/>
      <c r="B3" s="1768"/>
      <c r="C3" s="1613"/>
      <c r="D3" s="1613"/>
      <c r="E3" s="1613"/>
      <c r="F3" s="1613"/>
      <c r="G3" s="1613"/>
      <c r="H3" s="1768"/>
      <c r="I3" s="1"/>
    </row>
    <row r="4" spans="1:9">
      <c r="A4" s="1612"/>
      <c r="B4" s="827"/>
      <c r="C4" s="1768"/>
      <c r="D4" s="1768"/>
      <c r="E4" s="1768"/>
      <c r="F4" s="1616"/>
      <c r="G4" s="1617" t="s">
        <v>331</v>
      </c>
      <c r="H4" s="1617" t="s">
        <v>1262</v>
      </c>
      <c r="I4" s="32"/>
    </row>
    <row r="5" spans="1:9" ht="17.25" customHeight="1">
      <c r="A5" s="1612"/>
      <c r="B5" s="1768"/>
      <c r="C5" s="1768"/>
      <c r="D5" s="1768"/>
      <c r="E5" s="1768"/>
      <c r="F5" s="1617" t="s">
        <v>332</v>
      </c>
      <c r="G5" s="2617" t="str">
        <f>IF(PreparedBy="","",PreparedBy)</f>
        <v/>
      </c>
      <c r="H5" s="2630" t="str">
        <f>IF(DatePrepared="","",DatePrepared)</f>
        <v/>
      </c>
      <c r="I5" s="32"/>
    </row>
    <row r="6" spans="1:9" ht="17.25" customHeight="1">
      <c r="A6" s="1612"/>
      <c r="B6" s="1768"/>
      <c r="C6" s="1768"/>
      <c r="D6" s="1768"/>
      <c r="E6" s="1768"/>
      <c r="F6" s="1617" t="s">
        <v>333</v>
      </c>
      <c r="G6" s="2632"/>
      <c r="H6" s="2631"/>
      <c r="I6" s="32"/>
    </row>
    <row r="7" spans="1:9" ht="15.75">
      <c r="A7" s="1612"/>
      <c r="B7" s="1613"/>
      <c r="C7" s="1613"/>
      <c r="D7" s="1613"/>
      <c r="E7" s="1613"/>
      <c r="F7" s="1613"/>
      <c r="G7" s="1613"/>
      <c r="H7" s="1613"/>
      <c r="I7" s="32"/>
    </row>
    <row r="8" spans="1:9" ht="15.75">
      <c r="A8" s="3865" t="s">
        <v>1242</v>
      </c>
      <c r="B8" s="3866"/>
      <c r="C8" s="3866"/>
      <c r="D8" s="3866"/>
      <c r="E8" s="3866"/>
      <c r="F8" s="3866"/>
      <c r="G8" s="3866"/>
      <c r="H8" s="4168"/>
      <c r="I8" s="1"/>
    </row>
    <row r="9" spans="1:9">
      <c r="H9" s="3248" t="s">
        <v>2526</v>
      </c>
    </row>
    <row r="10" spans="1:9" ht="15.75">
      <c r="A10" s="1771" t="str">
        <f>"CLIENT NAME:   "&amp;IF(ClientName="[ENTER CLIENT NAME]","",ClientName)</f>
        <v>CLIENT NAME:   Example Trust</v>
      </c>
    </row>
    <row r="11" spans="1:9">
      <c r="A11" s="1772" t="str">
        <f>"CLIENT CODE:   "&amp;'WP Index'!E4</f>
        <v>CLIENT CODE:   99999</v>
      </c>
      <c r="G11" s="1622" t="s">
        <v>951</v>
      </c>
      <c r="H11" s="1773">
        <f>'Input Info'!F8</f>
        <v>45473</v>
      </c>
    </row>
    <row r="13" spans="1:9">
      <c r="I13" s="1626" t="s">
        <v>1286</v>
      </c>
    </row>
  </sheetData>
  <customSheetViews>
    <customSheetView guid="{BCBE45D4-3C45-4659-992E-5C5D3E9FD81C}" fitToPage="1" hiddenColumns="1">
      <pageMargins left="0.59055118110236227" right="0.43307086614173229" top="0.6692913385826772" bottom="0.94488188976377963" header="0.51181102362204722" footer="0.39370078740157483"/>
      <printOptions horizontalCentered="1"/>
      <pageSetup paperSize="9" fitToHeight="999" orientation="portrait" blackAndWhite="1" r:id="rId1"/>
      <headerFooter alignWithMargins="0">
        <oddFooter>&amp;L&amp;8Copyright Crowe Horwath (Aust) Pty Ltd 2016.  All rights reserved.
&amp;Z&amp;F[&amp;A]&amp;R&amp;8&amp;P/&amp;N</oddFooter>
      </headerFooter>
    </customSheetView>
    <customSheetView guid="{C24F3A9E-A8AA-4925-82D2-3EFABA416C15}" fitToPage="1" hiddenColumns="1">
      <pageMargins left="0.59055118110236227" right="0.43307086614173229" top="0.6692913385826772" bottom="0.94488188976377963" header="0.51181102362204722" footer="0.39370078740157483"/>
      <printOptions horizontalCentered="1"/>
      <pageSetup paperSize="9" fitToHeight="999" orientation="portrait" blackAndWhite="1" r:id="rId2"/>
      <headerFooter alignWithMargins="0">
        <oddFooter>&amp;L&amp;8Copyright Crowe Horwath (Aust) Pty Ltd 2016.  All rights reserved.
&amp;Z&amp;F[&amp;A]&amp;R&amp;8&amp;P/&amp;N</oddFooter>
      </headerFooter>
    </customSheetView>
  </customSheetViews>
  <mergeCells count="1">
    <mergeCell ref="A8:H8"/>
  </mergeCells>
  <phoneticPr fontId="26" type="noConversion"/>
  <conditionalFormatting sqref="I154">
    <cfRule type="expression" dxfId="0" priority="1" stopIfTrue="1">
      <formula>SUM($154:$154)=0</formula>
    </cfRule>
  </conditionalFormatting>
  <hyperlinks>
    <hyperlink ref="A10" location="ClientName" display="ClientName" xr:uid="{00000000-0004-0000-3E00-000001000000}"/>
    <hyperlink ref="H9" location="'WPIndex'!A1" display="Back to Workpaper Index" xr:uid="{592A629F-7671-4750-8927-69A694D69A94}"/>
  </hyperlinks>
  <printOptions horizontalCentered="1"/>
  <pageMargins left="0.59055118110236227" right="0.43307086614173229" top="0.6692913385826772" bottom="0.94488188976377963" header="0.51181102362204722" footer="0.39370078740157483"/>
  <pageSetup paperSize="9" orientation="portrait" r:id="rId3"/>
  <headerFooter alignWithMargins="0">
    <oddFooter>&amp;L&amp;8© Findex (Aust) Pty Ltd.  All rights reserved.&amp;R&amp;8&amp;P/&amp;N</oddFooter>
  </headerFooter>
  <drawing r:id="rId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
  <dimension ref="A1:B2"/>
  <sheetViews>
    <sheetView workbookViewId="0">
      <selection activeCell="B1" sqref="B1"/>
    </sheetView>
  </sheetViews>
  <sheetFormatPr defaultRowHeight="12.75"/>
  <sheetData>
    <row r="1" spans="1:2">
      <c r="A1" s="822" t="s">
        <v>1794</v>
      </c>
      <c r="B1" s="1587" t="s">
        <v>440</v>
      </c>
    </row>
    <row r="2" spans="1:2">
      <c r="A2" s="822" t="s">
        <v>1795</v>
      </c>
      <c r="B2" s="1587" t="s">
        <v>441</v>
      </c>
    </row>
  </sheetData>
  <customSheetViews>
    <customSheetView guid="{BCBE45D4-3C45-4659-992E-5C5D3E9FD81C}" state="hidden">
      <selection activeCell="B1" sqref="B1:B2"/>
      <pageMargins left="0.7" right="0.7" top="0.75" bottom="0.75" header="0.3" footer="0.3"/>
      <pageSetup paperSize="9" orientation="portrait" r:id="rId1"/>
    </customSheetView>
    <customSheetView guid="{C24F3A9E-A8AA-4925-82D2-3EFABA416C15}" state="hidden">
      <selection activeCell="B1" sqref="B1:B2"/>
      <pageMargins left="0.7" right="0.7" top="0.75" bottom="0.75" header="0.3" footer="0.3"/>
      <pageSetup paperSize="9" orientation="portrait" r:id="rId2"/>
    </customSheetView>
  </customSheetViews>
  <pageMargins left="0.70866141732283472" right="0.70866141732283472" top="0.74803149606299213" bottom="0.74803149606299213" header="0.31496062992125984" footer="0.31496062992125984"/>
  <pageSetup paperSize="9" orientation="portrait" r:id="rId3"/>
  <headerFooter>
    <oddFooter>&amp;L© Findex (Aust) Pty Ltd.  All rights reserved.</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3B276-BCB0-496E-B77F-FA49535A5AF4}">
  <dimension ref="A1:C15"/>
  <sheetViews>
    <sheetView workbookViewId="0">
      <selection sqref="A1:F1"/>
    </sheetView>
  </sheetViews>
  <sheetFormatPr defaultRowHeight="12.75"/>
  <cols>
    <col min="1" max="2" width="20.7109375" customWidth="1"/>
  </cols>
  <sheetData>
    <row r="1" spans="1:3">
      <c r="A1" t="s">
        <v>2811</v>
      </c>
      <c r="B1" s="3687">
        <v>45509.753009259257</v>
      </c>
    </row>
    <row r="2" spans="1:3">
      <c r="A2" t="s">
        <v>2812</v>
      </c>
      <c r="B2" t="s">
        <v>2816</v>
      </c>
      <c r="C2" s="3688">
        <v>445901</v>
      </c>
    </row>
    <row r="3" spans="1:3">
      <c r="A3" t="s">
        <v>2813</v>
      </c>
      <c r="B3" t="s">
        <v>2817</v>
      </c>
      <c r="C3" s="3688">
        <v>3090644</v>
      </c>
    </row>
    <row r="4" spans="1:3">
      <c r="A4" t="s">
        <v>2814</v>
      </c>
      <c r="B4" t="s">
        <v>2818</v>
      </c>
      <c r="C4" s="3688">
        <v>111917</v>
      </c>
    </row>
    <row r="5" spans="1:3">
      <c r="A5" t="s">
        <v>2815</v>
      </c>
      <c r="B5" t="s">
        <v>2819</v>
      </c>
      <c r="C5">
        <v>584076</v>
      </c>
    </row>
    <row r="6" spans="1:3">
      <c r="A6" t="s">
        <v>2820</v>
      </c>
    </row>
    <row r="7" spans="1:3">
      <c r="A7" t="s">
        <v>964</v>
      </c>
      <c r="B7">
        <v>2024</v>
      </c>
    </row>
    <row r="8" spans="1:3">
      <c r="A8" t="s">
        <v>2821</v>
      </c>
      <c r="B8" t="s">
        <v>2822</v>
      </c>
    </row>
    <row r="9" spans="1:3">
      <c r="A9" t="s">
        <v>2823</v>
      </c>
    </row>
    <row r="10" spans="1:3">
      <c r="A10" t="s">
        <v>2824</v>
      </c>
      <c r="B10" t="s">
        <v>2825</v>
      </c>
    </row>
    <row r="11" spans="1:3">
      <c r="A11" t="s">
        <v>2826</v>
      </c>
      <c r="B11" s="3687">
        <v>45509.752291666664</v>
      </c>
    </row>
    <row r="12" spans="1:3">
      <c r="A12" t="s">
        <v>2827</v>
      </c>
      <c r="B12" t="s">
        <v>2828</v>
      </c>
    </row>
    <row r="13" spans="1:3">
      <c r="A13" t="s">
        <v>2829</v>
      </c>
      <c r="B13" t="s">
        <v>2830</v>
      </c>
    </row>
    <row r="14" spans="1:3">
      <c r="A14" t="s">
        <v>2831</v>
      </c>
      <c r="B14" t="s">
        <v>2828</v>
      </c>
    </row>
    <row r="15" spans="1:3">
      <c r="A15" t="s">
        <v>2832</v>
      </c>
      <c r="B15" t="s">
        <v>2828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654AC5B34D78C41947925FE1A6A5475" ma:contentTypeVersion="3" ma:contentTypeDescription="Create a new document." ma:contentTypeScope="" ma:versionID="702d5c58a6649ab96ff66fc9fc4db3c9">
  <xsd:schema xmlns:xsd="http://www.w3.org/2001/XMLSchema" xmlns:xs="http://www.w3.org/2001/XMLSchema" xmlns:p="http://schemas.microsoft.com/office/2006/metadata/properties" xmlns:ns2="5732411f-b82c-4c9a-9486-05052043618f" targetNamespace="http://schemas.microsoft.com/office/2006/metadata/properties" ma:root="true" ma:fieldsID="b027775c418df67ae6c93035dd8977c5" ns2:_="">
    <xsd:import namespace="5732411f-b82c-4c9a-9486-05052043618f"/>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32411f-b82c-4c9a-9486-05052043618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0AD4BEBE-D912-4CC2-B92F-E6C9460A6F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32411f-b82c-4c9a-9486-0505204361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0973E5-A7DA-40C2-8A8A-2523615F7F29}">
  <ds:schemaRefs>
    <ds:schemaRef ds:uri="http://schemas.microsoft.com/sharepoint/events"/>
  </ds:schemaRefs>
</ds:datastoreItem>
</file>

<file path=customXml/itemProps3.xml><?xml version="1.0" encoding="utf-8"?>
<ds:datastoreItem xmlns:ds="http://schemas.openxmlformats.org/officeDocument/2006/customXml" ds:itemID="{79CF584D-1B3B-4612-AFB0-6A27F70A727F}">
  <ds:schemaRefs>
    <ds:schemaRef ds:uri="http://schemas.microsoft.com/sharepoint/v3/contenttype/forms"/>
  </ds:schemaRefs>
</ds:datastoreItem>
</file>

<file path=customXml/itemProps4.xml><?xml version="1.0" encoding="utf-8"?>
<ds:datastoreItem xmlns:ds="http://schemas.openxmlformats.org/officeDocument/2006/customXml" ds:itemID="{B5CD4D5D-0693-4E01-9AD9-244A4E07DEBE}">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66</vt:i4>
      </vt:variant>
      <vt:variant>
        <vt:lpstr>Named Ranges</vt:lpstr>
      </vt:variant>
      <vt:variant>
        <vt:i4>336</vt:i4>
      </vt:variant>
    </vt:vector>
  </HeadingPairs>
  <TitlesOfParts>
    <vt:vector size="402" baseType="lpstr">
      <vt:lpstr>Input Info</vt:lpstr>
      <vt:lpstr>WPIndex</vt:lpstr>
      <vt:lpstr>Standard Thresholds</vt:lpstr>
      <vt:lpstr>Projected Income &amp; Expenses</vt:lpstr>
      <vt:lpstr>Livestock Est</vt:lpstr>
      <vt:lpstr>Tax Planning Summary</vt:lpstr>
      <vt:lpstr>Tax Timetable</vt:lpstr>
      <vt:lpstr>Recommendations &amp; Ideas</vt:lpstr>
      <vt:lpstr>Planning Checklist</vt:lpstr>
      <vt:lpstr>Stage 3 Tax Cuts</vt:lpstr>
      <vt:lpstr>Meeting Agenda</vt:lpstr>
      <vt:lpstr>Client Cover Sheet</vt:lpstr>
      <vt:lpstr>Summary of Tax Position</vt:lpstr>
      <vt:lpstr>Tax Rec</vt:lpstr>
      <vt:lpstr>Tax Rec Report</vt:lpstr>
      <vt:lpstr>S.100A Notification</vt:lpstr>
      <vt:lpstr>SBE Worksheet</vt:lpstr>
      <vt:lpstr>Loss Carry Back</vt:lpstr>
      <vt:lpstr>Trust Streaming</vt:lpstr>
      <vt:lpstr>Tech Boost</vt:lpstr>
      <vt:lpstr>Skills Boost</vt:lpstr>
      <vt:lpstr>Comparative Tax Recn</vt:lpstr>
      <vt:lpstr>Temp Full Expense Checklist</vt:lpstr>
      <vt:lpstr>Drought Write-Off (s385-105)</vt:lpstr>
      <vt:lpstr>Drought Write-Off (s385-110)</vt:lpstr>
      <vt:lpstr>Averaging Calculator</vt:lpstr>
      <vt:lpstr>Debtors</vt:lpstr>
      <vt:lpstr>Bank Rec</vt:lpstr>
      <vt:lpstr>Cash Book</vt:lpstr>
      <vt:lpstr>Prepayments</vt:lpstr>
      <vt:lpstr>Livestock</vt:lpstr>
      <vt:lpstr>Commercial Bill Pre</vt:lpstr>
      <vt:lpstr>Trading Stock</vt:lpstr>
      <vt:lpstr>Low Value Pool</vt:lpstr>
      <vt:lpstr>Building Write-Off</vt:lpstr>
      <vt:lpstr>Water Improvements Write-Off</vt:lpstr>
      <vt:lpstr>Mains Electricity Write-Off</vt:lpstr>
      <vt:lpstr>Div7A Loan</vt:lpstr>
      <vt:lpstr>Sale or Purch Business</vt:lpstr>
      <vt:lpstr>Creditors</vt:lpstr>
      <vt:lpstr>AWB Loans</vt:lpstr>
      <vt:lpstr>GST Rec</vt:lpstr>
      <vt:lpstr>Superannuation Liability</vt:lpstr>
      <vt:lpstr>Interest Calc</vt:lpstr>
      <vt:lpstr>Loan Schedule</vt:lpstr>
      <vt:lpstr>Inter Entity Loans</vt:lpstr>
      <vt:lpstr>Interest Deduct</vt:lpstr>
      <vt:lpstr>Long Service Leave</vt:lpstr>
      <vt:lpstr>Farm Income Split</vt:lpstr>
      <vt:lpstr>Schedule B</vt:lpstr>
      <vt:lpstr>Inv Income</vt:lpstr>
      <vt:lpstr>Pvt Use</vt:lpstr>
      <vt:lpstr>Motor Vec WP</vt:lpstr>
      <vt:lpstr>Car FBT</vt:lpstr>
      <vt:lpstr>Wages Reconciliation</vt:lpstr>
      <vt:lpstr>Total Debt</vt:lpstr>
      <vt:lpstr>FMD's</vt:lpstr>
      <vt:lpstr>TFN Register</vt:lpstr>
      <vt:lpstr>ATO Benchmark</vt:lpstr>
      <vt:lpstr>Net Worth Calculator</vt:lpstr>
      <vt:lpstr>How are we doing</vt:lpstr>
      <vt:lpstr>Household Budget</vt:lpstr>
      <vt:lpstr>Rental Summary</vt:lpstr>
      <vt:lpstr>Home Office</vt:lpstr>
      <vt:lpstr>Template Workpaper</vt:lpstr>
      <vt:lpstr>APS</vt:lpstr>
      <vt:lpstr>_APS_Client</vt:lpstr>
      <vt:lpstr>_APS_Client_ID</vt:lpstr>
      <vt:lpstr>_APS_Created_By</vt:lpstr>
      <vt:lpstr>_APS_Date_Created</vt:lpstr>
      <vt:lpstr>_APS_Ledger</vt:lpstr>
      <vt:lpstr>_APS_Ledger_ID</vt:lpstr>
      <vt:lpstr>_APS_Matter</vt:lpstr>
      <vt:lpstr>_APS_Matter_ID</vt:lpstr>
      <vt:lpstr>_APS_Partner</vt:lpstr>
      <vt:lpstr>_APS_Period_End</vt:lpstr>
      <vt:lpstr>_APS_Prepared_By</vt:lpstr>
      <vt:lpstr>_APS_Project</vt:lpstr>
      <vt:lpstr>_APS_Project_ID</vt:lpstr>
      <vt:lpstr>_APS_Project_Status</vt:lpstr>
      <vt:lpstr>_APS_Reviewed_By</vt:lpstr>
      <vt:lpstr>_APS_Template</vt:lpstr>
      <vt:lpstr>_APS_Title</vt:lpstr>
      <vt:lpstr>_APS_Year</vt:lpstr>
      <vt:lpstr>'GST Rec'!_Mth2</vt:lpstr>
      <vt:lpstr>'GST Rec'!_Qtr1</vt:lpstr>
      <vt:lpstr>'GST Rec'!_Qtr3</vt:lpstr>
      <vt:lpstr>April_PP</vt:lpstr>
      <vt:lpstr>'Planning Checklist'!at_call_loan_na</vt:lpstr>
      <vt:lpstr>'Planning Checklist'!bs_cash_start</vt:lpstr>
      <vt:lpstr>'Planning Checklist'!bs_start</vt:lpstr>
      <vt:lpstr>CarFBTRateDate</vt:lpstr>
      <vt:lpstr>CarFBTRateKms</vt:lpstr>
      <vt:lpstr>CarFBTRates</vt:lpstr>
      <vt:lpstr>CGTGeneralDiscount</vt:lpstr>
      <vt:lpstr>ClientName</vt:lpstr>
      <vt:lpstr>COY_NORMAL_RATE</vt:lpstr>
      <vt:lpstr>COY_SMALL_BUSINESS_RATE</vt:lpstr>
      <vt:lpstr>COY_Tax_Rate</vt:lpstr>
      <vt:lpstr>Date</vt:lpstr>
      <vt:lpstr>DatePrepared</vt:lpstr>
      <vt:lpstr>Debtors_Summary</vt:lpstr>
      <vt:lpstr>div7a_range</vt:lpstr>
      <vt:lpstr>div7a_year</vt:lpstr>
      <vt:lpstr>Div7AAll</vt:lpstr>
      <vt:lpstr>Div7AEntriesAvailableOption</vt:lpstr>
      <vt:lpstr>Div7AMax10</vt:lpstr>
      <vt:lpstr>Div7AMax15</vt:lpstr>
      <vt:lpstr>Div7AMax20</vt:lpstr>
      <vt:lpstr>Div7AMax5</vt:lpstr>
      <vt:lpstr>Dividend_10_Entries</vt:lpstr>
      <vt:lpstr>dividend_10_hide</vt:lpstr>
      <vt:lpstr>Dividend_20_Entries</vt:lpstr>
      <vt:lpstr>Dividend_All_Entries</vt:lpstr>
      <vt:lpstr>Dividend_Entries_Display</vt:lpstr>
      <vt:lpstr>end_cell</vt:lpstr>
      <vt:lpstr>ending_cell</vt:lpstr>
      <vt:lpstr>'Input Info'!Entity_State</vt:lpstr>
      <vt:lpstr>'Input Info'!Entity_Type</vt:lpstr>
      <vt:lpstr>Entity_Type_Index</vt:lpstr>
      <vt:lpstr>EW_YesNo</vt:lpstr>
      <vt:lpstr>Exclude_Company</vt:lpstr>
      <vt:lpstr>Exclude_GST</vt:lpstr>
      <vt:lpstr>Exclude_IndividualBusiness</vt:lpstr>
      <vt:lpstr>Exclude_Partnership</vt:lpstr>
      <vt:lpstr>Exclude_PP</vt:lpstr>
      <vt:lpstr>Exclude_Salary_And_Wage</vt:lpstr>
      <vt:lpstr>Exclude_SBE</vt:lpstr>
      <vt:lpstr>Exclude_Trust</vt:lpstr>
      <vt:lpstr>Excluded_Items</vt:lpstr>
      <vt:lpstr>'Planning Checklist'!expense_entertainment_start</vt:lpstr>
      <vt:lpstr>'Planning Checklist'!expense_hp_start</vt:lpstr>
      <vt:lpstr>'Planning Checklist'!expense_insurance_start</vt:lpstr>
      <vt:lpstr>'Planning Checklist'!expense_interest_end</vt:lpstr>
      <vt:lpstr>'Planning Checklist'!expense_start</vt:lpstr>
      <vt:lpstr>'Planning Checklist'!expense_super_individual_specific</vt:lpstr>
      <vt:lpstr>'Planning Checklist'!expense_travel_start</vt:lpstr>
      <vt:lpstr>FarmManagementDeposits</vt:lpstr>
      <vt:lpstr>FBT_DATES</vt:lpstr>
      <vt:lpstr>FBT_GROSSUP_GST</vt:lpstr>
      <vt:lpstr>FBT_GROSSUP_NOTGST</vt:lpstr>
      <vt:lpstr>FBT_RATE</vt:lpstr>
      <vt:lpstr>FBT_RATE_YEAR</vt:lpstr>
      <vt:lpstr>FBT_RATES</vt:lpstr>
      <vt:lpstr>FBT_TABLE</vt:lpstr>
      <vt:lpstr>FirmCroweHorwath</vt:lpstr>
      <vt:lpstr>FirmNames</vt:lpstr>
      <vt:lpstr>FirmWHK</vt:lpstr>
      <vt:lpstr>GrossProfitFromLivestock</vt:lpstr>
      <vt:lpstr>'Input Info'!GST_Entity</vt:lpstr>
      <vt:lpstr>GST_Entity_Creditor_Hide</vt:lpstr>
      <vt:lpstr>GST_Entity_Debtor_Hide</vt:lpstr>
      <vt:lpstr>GST_MonthlyEntries</vt:lpstr>
      <vt:lpstr>GST_Rec_Capital</vt:lpstr>
      <vt:lpstr>HECS_Repayment</vt:lpstr>
      <vt:lpstr>Hide</vt:lpstr>
      <vt:lpstr>HideShow</vt:lpstr>
      <vt:lpstr>'Planning Checklist'!income_start</vt:lpstr>
      <vt:lpstr>'Planning Checklist'!income_trust_dist_start</vt:lpstr>
      <vt:lpstr>Individuals_A</vt:lpstr>
      <vt:lpstr>Individuals_NA</vt:lpstr>
      <vt:lpstr>Input_Firm_Name</vt:lpstr>
      <vt:lpstr>Input_GSTIndex</vt:lpstr>
      <vt:lpstr>Input_PlanningLevelIndex</vt:lpstr>
      <vt:lpstr>Input_PurposeIndex</vt:lpstr>
      <vt:lpstr>Inter_Entity_Loan_Matrix</vt:lpstr>
      <vt:lpstr>'Planning Checklist'!it_rec_addback_end</vt:lpstr>
      <vt:lpstr>'Planning Checklist'!it_rec_start</vt:lpstr>
      <vt:lpstr>'Planning Checklist'!it_return_interest_start</vt:lpstr>
      <vt:lpstr>'Planning Checklist'!it_return_pship_na_range</vt:lpstr>
      <vt:lpstr>'Planning Checklist'!it_return_start</vt:lpstr>
      <vt:lpstr>June_PP</vt:lpstr>
      <vt:lpstr>Loan_GST</vt:lpstr>
      <vt:lpstr>'Loan Schedule'!Loan_Schedule_PIR_Range</vt:lpstr>
      <vt:lpstr>'Loan Schedule'!Loan_Schedule_PIT_Range</vt:lpstr>
      <vt:lpstr>'Loan Schedule'!Loan_Schedule_PRT_Range</vt:lpstr>
      <vt:lpstr>'Loan Schedule'!Loan_Schedule_Start</vt:lpstr>
      <vt:lpstr>'Loan Schedule'!Loan_Schedule_Type</vt:lpstr>
      <vt:lpstr>LongServiceLeaveEmployeeMax10</vt:lpstr>
      <vt:lpstr>LongServiceLeaveEmployeeMax15</vt:lpstr>
      <vt:lpstr>LongServiceLeaveEmployeeMax20</vt:lpstr>
      <vt:lpstr>LongServiceLeaveEmployeeMax5</vt:lpstr>
      <vt:lpstr>LongServiceLeaveEmployeeMaxAll</vt:lpstr>
      <vt:lpstr>LongServiceLeaveEmployeeOption</vt:lpstr>
      <vt:lpstr>May_PP</vt:lpstr>
      <vt:lpstr>'Summary of Tax Position'!medicare</vt:lpstr>
      <vt:lpstr>Minors_Tax_Rates</vt:lpstr>
      <vt:lpstr>Minors_Thresholds</vt:lpstr>
      <vt:lpstr>MLS</vt:lpstr>
      <vt:lpstr>MLS_Child</vt:lpstr>
      <vt:lpstr>MLS_Family</vt:lpstr>
      <vt:lpstr>MLS_Family_C</vt:lpstr>
      <vt:lpstr>MLS_Rate</vt:lpstr>
      <vt:lpstr>MLS_Rate_C</vt:lpstr>
      <vt:lpstr>MLS_Single</vt:lpstr>
      <vt:lpstr>MLS_Single_C</vt:lpstr>
      <vt:lpstr>'Planning Checklist'!na_range</vt:lpstr>
      <vt:lpstr>Natural_Increase</vt:lpstr>
      <vt:lpstr>'Planning Checklist'!oe_start</vt:lpstr>
      <vt:lpstr>'Planning Checklist'!ow_na</vt:lpstr>
      <vt:lpstr>Paid_NotPaid</vt:lpstr>
      <vt:lpstr>Partner_Beneficiary_Label</vt:lpstr>
      <vt:lpstr>'Loan Schedule'!Pay_at</vt:lpstr>
      <vt:lpstr>Period_Days</vt:lpstr>
      <vt:lpstr>Period_End</vt:lpstr>
      <vt:lpstr>Period_Start</vt:lpstr>
      <vt:lpstr>PP</vt:lpstr>
      <vt:lpstr>'Comparative Tax Recn'!PreparedBy</vt:lpstr>
      <vt:lpstr>PreparedBy</vt:lpstr>
      <vt:lpstr>'Input Info'!Primary_Producer</vt:lpstr>
      <vt:lpstr>Primary_Producer</vt:lpstr>
      <vt:lpstr>'Averaging Calculator'!Print_Area</vt:lpstr>
      <vt:lpstr>'Capital Asset Schedule'!Print_Area</vt:lpstr>
      <vt:lpstr>'Car FBT'!Print_Area</vt:lpstr>
      <vt:lpstr>'Cash Book'!Print_Area</vt:lpstr>
      <vt:lpstr>'Client Cover Sheet'!Print_Area</vt:lpstr>
      <vt:lpstr>'Comparative Tax Recn'!Print_Area</vt:lpstr>
      <vt:lpstr>Creditors!Print_Area</vt:lpstr>
      <vt:lpstr>Debtors!Print_Area</vt:lpstr>
      <vt:lpstr>'Dist - Averaging'!Print_Area</vt:lpstr>
      <vt:lpstr>'Dist - Non Averaging'!Print_Area</vt:lpstr>
      <vt:lpstr>'Div7A Loan'!Print_Area</vt:lpstr>
      <vt:lpstr>'GST Rec'!Print_Area</vt:lpstr>
      <vt:lpstr>'Household Budget'!Print_Area</vt:lpstr>
      <vt:lpstr>'How are we doing'!Print_Area</vt:lpstr>
      <vt:lpstr>'Input Info'!Print_Area</vt:lpstr>
      <vt:lpstr>'Inter Entity Loans'!Print_Area</vt:lpstr>
      <vt:lpstr>'Interest Deduct'!Print_Area</vt:lpstr>
      <vt:lpstr>'Livestock Est'!Print_Area</vt:lpstr>
      <vt:lpstr>'Meeting Agenda'!Print_Area</vt:lpstr>
      <vt:lpstr>'Net Worth Calculator'!Print_Area</vt:lpstr>
      <vt:lpstr>'Projected Income &amp; Expenses'!Print_Area</vt:lpstr>
      <vt:lpstr>'Recommendations &amp; Ideas'!Print_Area</vt:lpstr>
      <vt:lpstr>'S.100A Notification'!Print_Area</vt:lpstr>
      <vt:lpstr>'SBE Worksheet'!Print_Area</vt:lpstr>
      <vt:lpstr>'Standard Thresholds'!Print_Area</vt:lpstr>
      <vt:lpstr>'Summary of Tax Position'!Print_Area</vt:lpstr>
      <vt:lpstr>'Superannuation Liability'!Print_Area</vt:lpstr>
      <vt:lpstr>'Tax Planning Summary'!Print_Area</vt:lpstr>
      <vt:lpstr>'Tax Rec'!Print_Area</vt:lpstr>
      <vt:lpstr>'Tax Rec Report'!Print_Area</vt:lpstr>
      <vt:lpstr>'Tax Timetable'!Print_Area</vt:lpstr>
      <vt:lpstr>'Tech Boost'!Print_Area</vt:lpstr>
      <vt:lpstr>'Temp Full Expense Checklist'!Print_Area</vt:lpstr>
      <vt:lpstr>'Template Workpaper'!Print_Area</vt:lpstr>
      <vt:lpstr>'Trust Streaming'!Print_Area</vt:lpstr>
      <vt:lpstr>'Water Improvements Write-Off'!Print_Area</vt:lpstr>
      <vt:lpstr>WPIndex!Print_Area</vt:lpstr>
      <vt:lpstr>'Dividend Summary'!Print_Titles</vt:lpstr>
      <vt:lpstr>'GST Rec'!Print_Titles</vt:lpstr>
      <vt:lpstr>'Household Budget'!Print_Titles</vt:lpstr>
      <vt:lpstr>'Loan Schedule'!Print_Titles</vt:lpstr>
      <vt:lpstr>'Planning Checklist'!Print_Titles</vt:lpstr>
      <vt:lpstr>'Standard Thresholds'!Print_Titles</vt:lpstr>
      <vt:lpstr>'Tax Planning Summary'!Print_Titles</vt:lpstr>
      <vt:lpstr>'Trading Stock'!Print_Titles</vt:lpstr>
      <vt:lpstr>Project_Expenses_Extrapolate</vt:lpstr>
      <vt:lpstr>Project_Income_Extrapolate</vt:lpstr>
      <vt:lpstr>Project_Income_PP_Cols</vt:lpstr>
      <vt:lpstr>Projected_Income_Actual_Index</vt:lpstr>
      <vt:lpstr>Projected_Income_Comparatives</vt:lpstr>
      <vt:lpstr>Projected_Income_PP</vt:lpstr>
      <vt:lpstr>'Planning Checklist'!QA_Checklist_All_Rows</vt:lpstr>
      <vt:lpstr>'Planning Checklist'!QA_Checklist_Trus_Dist</vt:lpstr>
      <vt:lpstr>QA_NA_Column</vt:lpstr>
      <vt:lpstr>QA_No_Column</vt:lpstr>
      <vt:lpstr>'Planning Checklist'!QA_SBE_Large_co</vt:lpstr>
      <vt:lpstr>QA_Yes_Column</vt:lpstr>
      <vt:lpstr>'GST Rec'!Qtr2a</vt:lpstr>
      <vt:lpstr>'GST Rec'!Qtr2b</vt:lpstr>
      <vt:lpstr>RealEstateProperty</vt:lpstr>
      <vt:lpstr>'ATO Benchmark'!RefColumn</vt:lpstr>
      <vt:lpstr>'AWB Loans'!RefColumn</vt:lpstr>
      <vt:lpstr>'Bank Rec'!RefColumn</vt:lpstr>
      <vt:lpstr>'Blackhole Expenses'!RefColumn</vt:lpstr>
      <vt:lpstr>'Borrowing Costs'!RefColumn</vt:lpstr>
      <vt:lpstr>'Building Write-Off'!RefColumn</vt:lpstr>
      <vt:lpstr>'Capital Asset Schedule'!RefColumn</vt:lpstr>
      <vt:lpstr>'Car FBT'!RefColumn</vt:lpstr>
      <vt:lpstr>'Commercial Bill Pre'!RefColumn</vt:lpstr>
      <vt:lpstr>Creditors!RefColumn</vt:lpstr>
      <vt:lpstr>Debtors!RefColumn</vt:lpstr>
      <vt:lpstr>'Dist - Averaging'!RefColumn</vt:lpstr>
      <vt:lpstr>'Dist - Non Averaging'!RefColumn</vt:lpstr>
      <vt:lpstr>'Div7A Loan'!RefColumn</vt:lpstr>
      <vt:lpstr>'Dividend Summary'!RefColumn</vt:lpstr>
      <vt:lpstr>'Drought Write-Off (s385-105)'!RefColumn</vt:lpstr>
      <vt:lpstr>'Drought Write-Off (s385-110)'!RefColumn</vt:lpstr>
      <vt:lpstr>'Farm Income Split'!RefColumn</vt:lpstr>
      <vt:lpstr>'FMD''s'!RefColumn</vt:lpstr>
      <vt:lpstr>'GST Rec'!RefColumn</vt:lpstr>
      <vt:lpstr>'Inter Entity Loans'!RefColumn</vt:lpstr>
      <vt:lpstr>'Interest Calc'!RefColumn</vt:lpstr>
      <vt:lpstr>'Interest Deduct'!RefColumn</vt:lpstr>
      <vt:lpstr>'Inv Income'!RefColumn</vt:lpstr>
      <vt:lpstr>Livestock!RefColumn</vt:lpstr>
      <vt:lpstr>'Loan Schedule'!RefColumn</vt:lpstr>
      <vt:lpstr>'Low Value Pool'!RefColumn</vt:lpstr>
      <vt:lpstr>'Mains Electricity Write-Off'!RefColumn</vt:lpstr>
      <vt:lpstr>'Motor Vec WP'!RefColumn</vt:lpstr>
      <vt:lpstr>Prepayments!RefColumn</vt:lpstr>
      <vt:lpstr>'Pvt Use'!RefColumn</vt:lpstr>
      <vt:lpstr>Rental!RefColumn</vt:lpstr>
      <vt:lpstr>'Rental Summary'!RefColumn</vt:lpstr>
      <vt:lpstr>'Sale or Purch Business'!RefColumn</vt:lpstr>
      <vt:lpstr>'SBE Worksheet'!RefColumn</vt:lpstr>
      <vt:lpstr>'Schedule B'!RefColumn</vt:lpstr>
      <vt:lpstr>'Tax Planning Summary'!RefColumn</vt:lpstr>
      <vt:lpstr>'Tax Rec'!RefColumn</vt:lpstr>
      <vt:lpstr>'Template Workpaper'!RefColumn</vt:lpstr>
      <vt:lpstr>'TFN Register'!RefColumn</vt:lpstr>
      <vt:lpstr>'Total Debt'!RefColumn</vt:lpstr>
      <vt:lpstr>'Trading Stock'!RefColumn</vt:lpstr>
      <vt:lpstr>'Trust Streaming'!RefColumn</vt:lpstr>
      <vt:lpstr>'Wages Reconciliation'!RefColumn</vt:lpstr>
      <vt:lpstr>'Water Improvements Write-Off'!RefColumn</vt:lpstr>
      <vt:lpstr>Relevantyear</vt:lpstr>
      <vt:lpstr>Repayment_Amount</vt:lpstr>
      <vt:lpstr>Repayment_Date</vt:lpstr>
      <vt:lpstr>SBE</vt:lpstr>
      <vt:lpstr>SBE_Asset_Type</vt:lpstr>
      <vt:lpstr>SBE_Immediate_Deduction</vt:lpstr>
      <vt:lpstr>Sch_B_PP</vt:lpstr>
      <vt:lpstr>SetAccountingPercentage</vt:lpstr>
      <vt:lpstr>SetAccountingValue</vt:lpstr>
      <vt:lpstr>SetTaxable</vt:lpstr>
      <vt:lpstr>sgc</vt:lpstr>
      <vt:lpstr>SGC_Rates</vt:lpstr>
      <vt:lpstr>Sheet_Type</vt:lpstr>
      <vt:lpstr>ShowRefs</vt:lpstr>
      <vt:lpstr>start_cell</vt:lpstr>
      <vt:lpstr>starting_cell</vt:lpstr>
      <vt:lpstr>STS</vt:lpstr>
      <vt:lpstr>STS_Sheet</vt:lpstr>
      <vt:lpstr>'Summary of Tax Position'!surcharge</vt:lpstr>
      <vt:lpstr>tax_rec_company_section</vt:lpstr>
      <vt:lpstr>Tax_Rec_cy_debtors</vt:lpstr>
      <vt:lpstr>tax_rec_individual_section</vt:lpstr>
      <vt:lpstr>Tax_Rec_Items</vt:lpstr>
      <vt:lpstr>Tax_Rec_PP</vt:lpstr>
      <vt:lpstr>Tax_Rec_Prov_Tax_Frank_Acc</vt:lpstr>
      <vt:lpstr>Tax_Rec_SBE_py_debtors</vt:lpstr>
      <vt:lpstr>tax_rec_tax_losses_transferred_in</vt:lpstr>
      <vt:lpstr>tax_rec_trust_section</vt:lpstr>
      <vt:lpstr>Tax_Reconciliation</vt:lpstr>
      <vt:lpstr>TaxRecMaxBeneficiary10</vt:lpstr>
      <vt:lpstr>TaxRecMaxBeneficiary15</vt:lpstr>
      <vt:lpstr>TaxRecMaxBeneficiary5</vt:lpstr>
      <vt:lpstr>TaxRecMaxBeneficiaryAll</vt:lpstr>
      <vt:lpstr>TaxRecMaxBeneficiaryOption</vt:lpstr>
      <vt:lpstr>Threshold_Super_Under_50</vt:lpstr>
      <vt:lpstr>Total_PP</vt:lpstr>
      <vt:lpstr>twenty_five_year_hidden_range</vt:lpstr>
      <vt:lpstr>wages_rec_end</vt:lpstr>
      <vt:lpstr>wages_rec_max_10_hide</vt:lpstr>
      <vt:lpstr>wages_rec_max_15_hide</vt:lpstr>
      <vt:lpstr>wages_rec_max_20_hide</vt:lpstr>
      <vt:lpstr>wages_rec_max_5_hide</vt:lpstr>
      <vt:lpstr>wages_rec_max_employees</vt:lpstr>
      <vt:lpstr>wages_rec_nbr_employees</vt:lpstr>
      <vt:lpstr>wages_rec_salary_range</vt:lpstr>
      <vt:lpstr>wages_rec_start_row</vt:lpstr>
      <vt:lpstr>WP_AWB_Loan</vt:lpstr>
      <vt:lpstr>WP_Bank_Reconciliation</vt:lpstr>
      <vt:lpstr>WP_Blackhole</vt:lpstr>
      <vt:lpstr>WP_Borrowing_Costs</vt:lpstr>
      <vt:lpstr>WP_Building_Write_Off</vt:lpstr>
      <vt:lpstr>WP_Capital_Asset_Transaction_Register</vt:lpstr>
      <vt:lpstr>WP_Car_FBT</vt:lpstr>
      <vt:lpstr>WP_Commercial_Bill_Prepayments</vt:lpstr>
      <vt:lpstr>WP_Creditors_Summary</vt:lpstr>
      <vt:lpstr>WP_Debtors_Summary</vt:lpstr>
      <vt:lpstr>WP_Dividend_Summary</vt:lpstr>
      <vt:lpstr>WP_Division_7A</vt:lpstr>
      <vt:lpstr>WP_Drought_Write_Off_s385_105</vt:lpstr>
      <vt:lpstr>WP_Drought_Write_Off_s385_110</vt:lpstr>
      <vt:lpstr>WP_Farm_Income_Split</vt:lpstr>
      <vt:lpstr>WP_FMD_Record</vt:lpstr>
      <vt:lpstr>WP_GST_Reconciliation</vt:lpstr>
      <vt:lpstr>WP_Index_Asset_Dep_Sch</vt:lpstr>
      <vt:lpstr>WP_Inter_Entity_Loan</vt:lpstr>
      <vt:lpstr>WP_Interest_Calculation_Irregular_Payments</vt:lpstr>
      <vt:lpstr>WP_Interest_Deduct</vt:lpstr>
      <vt:lpstr>WP_Investment_Income</vt:lpstr>
      <vt:lpstr>WP_Livestock</vt:lpstr>
      <vt:lpstr>WP_Loan_Chattel_Schedule</vt:lpstr>
      <vt:lpstr>WP_Loan_Schedule</vt:lpstr>
      <vt:lpstr>WP_Low_Value_Pool</vt:lpstr>
      <vt:lpstr>WP_Mains_Electricity_Write_Off</vt:lpstr>
      <vt:lpstr>WP_MV_Substantiation</vt:lpstr>
      <vt:lpstr>WP_Prepayments</vt:lpstr>
      <vt:lpstr>WP_Private_Use_Adj</vt:lpstr>
      <vt:lpstr>WP_Rental_Property_Summary</vt:lpstr>
      <vt:lpstr>WP_Sale_Purchase_Business</vt:lpstr>
      <vt:lpstr>WP_Schedule_B</vt:lpstr>
      <vt:lpstr>WP_Tax_Dist_Non_Averaging</vt:lpstr>
      <vt:lpstr>WP_Tax_Reconciliation</vt:lpstr>
      <vt:lpstr>WP_Total_Debt</vt:lpstr>
      <vt:lpstr>WP_Trading_Stock</vt:lpstr>
      <vt:lpstr>WP_Wages_Rec</vt:lpstr>
      <vt:lpstr>WP_Water_Improvements_Write_Off</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Findex Workpapers</dc:title>
  <dc:creator>Findex</dc:creator>
  <cp:keywords/>
  <dc:description>Standard workpaper file including the workpaper file index, interview sheet, WCWDFY form, workpapers and checklists required for completing the accounts and tax return for business clients.</dc:description>
  <cp:lastModifiedBy>Jordan Edwards</cp:lastModifiedBy>
  <cp:lastPrinted>2024-06-24T05:02:42Z</cp:lastPrinted>
  <dcterms:created xsi:type="dcterms:W3CDTF">2002-07-16T20:35:40Z</dcterms:created>
  <dcterms:modified xsi:type="dcterms:W3CDTF">2025-08-12T05:30:41Z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Document categoryTaxHTField0">
    <vt:lpwstr>Financial Planning|31ec9c78-4cce-42a9-b2dd-1a4892d30126</vt:lpwstr>
  </property>
  <property fmtid="{D5CDD505-2E9C-101B-9397-08002B2CF9AE}" pid="4" name="Document typeTaxHTField0">
    <vt:lpwstr>Best Process Documents|770cea5e-dd78-4fa1-8e8a-74dd23079e1b</vt:lpwstr>
  </property>
  <property fmtid="{D5CDD505-2E9C-101B-9397-08002B2CF9AE}" pid="5" name="FirmTaxHTField0">
    <vt:lpwstr>All AUS firms|555dab9f-d74f-4fbf-88fc-bec4ca68eb29</vt:lpwstr>
  </property>
  <property fmtid="{D5CDD505-2E9C-101B-9397-08002B2CF9AE}" pid="6" name="TaxCatchAll">
    <vt:lpwstr>54;#;#51;#;#121;#</vt:lpwstr>
  </property>
  <property fmtid="{D5CDD505-2E9C-101B-9397-08002B2CF9AE}" pid="7" name="_dlc_ExpireDate">
    <vt:lpwstr>2014-04-22T09:21:10Z</vt:lpwstr>
  </property>
  <property fmtid="{D5CDD505-2E9C-101B-9397-08002B2CF9AE}" pid="8" name="ItemRetentionFormula">
    <vt:lpwstr>&lt;formula id="Microsoft.Office.RecordsManagement.PolicyFeatures.Expiration.Formula.BuiltIn"&gt;&lt;number&gt;1&lt;/number&gt;&lt;property&gt;Modified&lt;/property&gt;&lt;propertyId&gt;28cf69c5-fa48-462a-b5cd-27b6f9d2bd5f&lt;/propertyId&gt;&lt;period&gt;years&lt;/period&gt;&lt;/formula&gt;</vt:lpwstr>
  </property>
  <property fmtid="{D5CDD505-2E9C-101B-9397-08002B2CF9AE}" pid="9" name="_dlc_policyId">
    <vt:lpwstr>/DocumentCentre/Documents</vt:lpwstr>
  </property>
  <property fmtid="{D5CDD505-2E9C-101B-9397-08002B2CF9AE}" pid="10" name="Document Owner">
    <vt:lpwstr>1938</vt:lpwstr>
  </property>
  <property fmtid="{D5CDD505-2E9C-101B-9397-08002B2CF9AE}" pid="11" name="Document type">
    <vt:lpwstr>54;#Best Process Documents|770cea5e-dd78-4fa1-8e8a-74dd23079e1b</vt:lpwstr>
  </property>
  <property fmtid="{D5CDD505-2E9C-101B-9397-08002B2CF9AE}" pid="12" name="display_urn:schemas-microsoft-com:office:office#Document_x0020_Owner">
    <vt:lpwstr>Christopher Dodson</vt:lpwstr>
  </property>
  <property fmtid="{D5CDD505-2E9C-101B-9397-08002B2CF9AE}" pid="13" name="Description0">
    <vt:lpwstr>Use these workpapers in preparing your 2013 business clients tax planning.</vt:lpwstr>
  </property>
  <property fmtid="{D5CDD505-2E9C-101B-9397-08002B2CF9AE}" pid="14" name="Document category">
    <vt:lpwstr>51;#Accounting|220153fa-f690-408c-9c0e-064c4b44fe8a</vt:lpwstr>
  </property>
  <property fmtid="{D5CDD505-2E9C-101B-9397-08002B2CF9AE}" pid="15" name="Firm">
    <vt:lpwstr>121;#All AUS firms|555dab9f-d74f-4fbf-88fc-bec4ca68eb29</vt:lpwstr>
  </property>
  <property fmtid="{D5CDD505-2E9C-101B-9397-08002B2CF9AE}" pid="16" name="Next Review Date">
    <vt:lpwstr/>
  </property>
  <property fmtid="{D5CDD505-2E9C-101B-9397-08002B2CF9AE}" pid="17" name="Last Review Date">
    <vt:lpwstr/>
  </property>
  <property fmtid="{D5CDD505-2E9C-101B-9397-08002B2CF9AE}" pid="18" name="Job Opportunity">
    <vt:lpwstr/>
  </property>
</Properties>
</file>