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el-2 copy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<sst xmlns="http://schemas.openxmlformats.org/spreadsheetml/2006/main" count="366" uniqueCount="205">
  <si>
    <t>index</t>
  </si>
  <si>
    <t>OD1</t>
  </si>
  <si>
    <t>Bacteroidetes</t>
  </si>
  <si>
    <t>Actinobacteria</t>
  </si>
  <si>
    <t>Proteobacteria</t>
  </si>
  <si>
    <t>Elusimicrobia</t>
  </si>
  <si>
    <t>OP11</t>
  </si>
  <si>
    <t>Bacteria * add to "unassigned"</t>
  </si>
  <si>
    <t>Crenarchaeota</t>
  </si>
  <si>
    <t>Cyanobacteria</t>
  </si>
  <si>
    <t>Firmicutes</t>
  </si>
  <si>
    <t>TM6</t>
  </si>
  <si>
    <t>Fibrobacteres</t>
  </si>
  <si>
    <t>Planctomycetes</t>
  </si>
  <si>
    <t>Acidobacteria</t>
  </si>
  <si>
    <t>Verrucomicrobia</t>
  </si>
  <si>
    <t>Chloroflexi</t>
  </si>
  <si>
    <t>Chlamydiae</t>
  </si>
  <si>
    <t>Parvarchaeota</t>
  </si>
  <si>
    <t>SR1</t>
  </si>
  <si>
    <t>Tenericutes</t>
  </si>
  <si>
    <t>GN02</t>
  </si>
  <si>
    <t>Fusobacteria</t>
  </si>
  <si>
    <t>TM7</t>
  </si>
  <si>
    <t>Spirochaetes</t>
  </si>
  <si>
    <t>WS5</t>
  </si>
  <si>
    <t>Chlorobi</t>
  </si>
  <si>
    <t>k__Bacteria;p__</t>
  </si>
  <si>
    <t>OP3</t>
  </si>
  <si>
    <t>Armatimonadetes</t>
  </si>
  <si>
    <t>Gemmatimonadetes</t>
  </si>
  <si>
    <t>Lentisphaerae</t>
  </si>
  <si>
    <t>Euryarchaeota</t>
  </si>
  <si>
    <t>FBP</t>
  </si>
  <si>
    <t>Unassigned</t>
  </si>
  <si>
    <t>WWE1</t>
  </si>
  <si>
    <t>Thermi</t>
  </si>
  <si>
    <t>Nitrospirae</t>
  </si>
  <si>
    <t>AC1</t>
  </si>
  <si>
    <t>Caldithrix</t>
  </si>
  <si>
    <t>WPS-2</t>
  </si>
  <si>
    <t>BRC1</t>
  </si>
  <si>
    <t>OP8</t>
  </si>
  <si>
    <t>WS4</t>
  </si>
  <si>
    <t>WS1</t>
  </si>
  <si>
    <t>OP1</t>
  </si>
  <si>
    <t>NKB19</t>
  </si>
  <si>
    <t>ZB3</t>
  </si>
  <si>
    <t>Deferribacteres</t>
  </si>
  <si>
    <t>NC10</t>
  </si>
  <si>
    <t>GN04</t>
  </si>
  <si>
    <t>KSB3</t>
  </si>
  <si>
    <t>TPD-58</t>
  </si>
  <si>
    <t>GOUTA4</t>
  </si>
  <si>
    <t>SC4</t>
  </si>
  <si>
    <t>Caldiserica</t>
  </si>
  <si>
    <t>WS3</t>
  </si>
  <si>
    <t>Synergistetes</t>
  </si>
  <si>
    <t>FCPU426</t>
  </si>
  <si>
    <t>OC31</t>
  </si>
  <si>
    <t>LCP-89</t>
  </si>
  <si>
    <t>Archaea</t>
  </si>
  <si>
    <t>H-178</t>
  </si>
  <si>
    <t>OP9</t>
  </si>
  <si>
    <t>sum</t>
  </si>
  <si>
    <t>108A</t>
  </si>
  <si>
    <t>108B</t>
  </si>
  <si>
    <t>109A</t>
  </si>
  <si>
    <t>109B</t>
  </si>
  <si>
    <t>122A</t>
  </si>
  <si>
    <t>144A</t>
  </si>
  <si>
    <t>144B</t>
  </si>
  <si>
    <t>145A</t>
  </si>
  <si>
    <t>145B</t>
  </si>
  <si>
    <t>146A</t>
  </si>
  <si>
    <t>146B</t>
  </si>
  <si>
    <t>14A</t>
  </si>
  <si>
    <t>14B</t>
  </si>
  <si>
    <t>163A</t>
  </si>
  <si>
    <t>163B</t>
  </si>
  <si>
    <t>164A</t>
  </si>
  <si>
    <t>164B</t>
  </si>
  <si>
    <t>168A</t>
  </si>
  <si>
    <t>168B</t>
  </si>
  <si>
    <t>169A</t>
  </si>
  <si>
    <t>169B</t>
  </si>
  <si>
    <t>16A</t>
  </si>
  <si>
    <t>16B</t>
  </si>
  <si>
    <t>175A</t>
  </si>
  <si>
    <t>175B</t>
  </si>
  <si>
    <t>179A</t>
  </si>
  <si>
    <t>179B</t>
  </si>
  <si>
    <t>184A</t>
  </si>
  <si>
    <t>184B</t>
  </si>
  <si>
    <t>189B</t>
  </si>
  <si>
    <t>199A</t>
  </si>
  <si>
    <t>199B</t>
  </si>
  <si>
    <t>211A</t>
  </si>
  <si>
    <t>211B</t>
  </si>
  <si>
    <t>213A</t>
  </si>
  <si>
    <t>213B</t>
  </si>
  <si>
    <t>215A</t>
  </si>
  <si>
    <t>215B</t>
  </si>
  <si>
    <t>218A</t>
  </si>
  <si>
    <t>218B</t>
  </si>
  <si>
    <t>219A</t>
  </si>
  <si>
    <t>219B</t>
  </si>
  <si>
    <t>227A</t>
  </si>
  <si>
    <t>227B</t>
  </si>
  <si>
    <t>22A</t>
  </si>
  <si>
    <t>22B</t>
  </si>
  <si>
    <t>237A</t>
  </si>
  <si>
    <t>237B</t>
  </si>
  <si>
    <t>23A</t>
  </si>
  <si>
    <t>23B</t>
  </si>
  <si>
    <t>245A</t>
  </si>
  <si>
    <t>245B</t>
  </si>
  <si>
    <t>24A</t>
  </si>
  <si>
    <t>24B</t>
  </si>
  <si>
    <t>254B</t>
  </si>
  <si>
    <t>25A</t>
  </si>
  <si>
    <t>25B</t>
  </si>
  <si>
    <t>261A</t>
  </si>
  <si>
    <t>261B</t>
  </si>
  <si>
    <t>269A</t>
  </si>
  <si>
    <t>269B</t>
  </si>
  <si>
    <t>284A</t>
  </si>
  <si>
    <t>284B</t>
  </si>
  <si>
    <t>291A</t>
  </si>
  <si>
    <t>291B</t>
  </si>
  <si>
    <t>292B</t>
  </si>
  <si>
    <t>307A</t>
  </si>
  <si>
    <t>307B</t>
  </si>
  <si>
    <t>311A</t>
  </si>
  <si>
    <t>311B</t>
  </si>
  <si>
    <t>32A</t>
  </si>
  <si>
    <t>32B</t>
  </si>
  <si>
    <t>335A</t>
  </si>
  <si>
    <t>335B</t>
  </si>
  <si>
    <t>337A</t>
  </si>
  <si>
    <t>337B</t>
  </si>
  <si>
    <t>33A</t>
  </si>
  <si>
    <t>33B</t>
  </si>
  <si>
    <t>346A</t>
  </si>
  <si>
    <t>346B</t>
  </si>
  <si>
    <t>347A</t>
  </si>
  <si>
    <t>347B</t>
  </si>
  <si>
    <t>350A</t>
  </si>
  <si>
    <t>350B</t>
  </si>
  <si>
    <t>351A</t>
  </si>
  <si>
    <t>361A</t>
  </si>
  <si>
    <t>361B</t>
  </si>
  <si>
    <t>362A</t>
  </si>
  <si>
    <t>362B</t>
  </si>
  <si>
    <t>369A</t>
  </si>
  <si>
    <t>369B</t>
  </si>
  <si>
    <t>377A</t>
  </si>
  <si>
    <t>377B</t>
  </si>
  <si>
    <t>418A</t>
  </si>
  <si>
    <t>418B</t>
  </si>
  <si>
    <t>425A</t>
  </si>
  <si>
    <t>425B</t>
  </si>
  <si>
    <t>42A</t>
  </si>
  <si>
    <t>42B</t>
  </si>
  <si>
    <t>454A</t>
  </si>
  <si>
    <t>454B</t>
  </si>
  <si>
    <t>45A</t>
  </si>
  <si>
    <t>45B</t>
  </si>
  <si>
    <t>50A</t>
  </si>
  <si>
    <t>50B</t>
  </si>
  <si>
    <t>518A</t>
  </si>
  <si>
    <t>518B</t>
  </si>
  <si>
    <t>51B</t>
  </si>
  <si>
    <t>58A</t>
  </si>
  <si>
    <t>58B</t>
  </si>
  <si>
    <t>590A</t>
  </si>
  <si>
    <t>590B</t>
  </si>
  <si>
    <t>59B</t>
  </si>
  <si>
    <t>607A</t>
  </si>
  <si>
    <t>607B</t>
  </si>
  <si>
    <t>60A</t>
  </si>
  <si>
    <t>60B</t>
  </si>
  <si>
    <t>616A</t>
  </si>
  <si>
    <t>616B</t>
  </si>
  <si>
    <t>62A</t>
  </si>
  <si>
    <t>638A</t>
  </si>
  <si>
    <t>638B</t>
  </si>
  <si>
    <t>63A</t>
  </si>
  <si>
    <t>63B</t>
  </si>
  <si>
    <t>66A</t>
  </si>
  <si>
    <t>678A</t>
  </si>
  <si>
    <t>678B</t>
  </si>
  <si>
    <t>687A</t>
  </si>
  <si>
    <t>687B</t>
  </si>
  <si>
    <t>728A</t>
  </si>
  <si>
    <t>728B</t>
  </si>
  <si>
    <t>759A</t>
  </si>
  <si>
    <t>759B</t>
  </si>
  <si>
    <t>75A</t>
  </si>
  <si>
    <t>75B</t>
  </si>
  <si>
    <t>80A</t>
  </si>
  <si>
    <t>80B</t>
  </si>
  <si>
    <t>96A</t>
  </si>
  <si>
    <t>96B</t>
  </si>
  <si>
    <t>Phylum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</si>
</sst>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D0D0D"/>
      <name val="Söhne"/>
    </font>
    <font>
      <b/>
      <color theme="1"/>
      <name val="Arial"/>
      <scheme val="minor"/>
    </font>
    <font>
      <sz val="11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3" fontId="1" numFmtId="0" xfId="0" applyFont="1"/>
    <xf borderId="0" fillId="5" fontId="1" numFmtId="0" xfId="0" applyFont="1"/>
    <xf borderId="0" fillId="7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8" fontId="1" numFmtId="164" xfId="0" applyAlignment="1" applyFont="1" applyNumberFormat="1">
      <alignment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4" max="64" width="18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5" t="s">
        <v>23</v>
      </c>
      <c r="Y1" s="5" t="s">
        <v>24</v>
      </c>
      <c r="Z1" s="1" t="s">
        <v>25</v>
      </c>
      <c r="AA1" s="1" t="s">
        <v>26</v>
      </c>
      <c r="AB1" s="5" t="s">
        <v>27</v>
      </c>
      <c r="AC1" s="5" t="s">
        <v>28</v>
      </c>
      <c r="AD1" s="1" t="s">
        <v>29</v>
      </c>
      <c r="AE1" s="1" t="s">
        <v>30</v>
      </c>
      <c r="AF1" s="5" t="s">
        <v>31</v>
      </c>
      <c r="AG1" s="1" t="s">
        <v>32</v>
      </c>
      <c r="AH1" s="5" t="s">
        <v>33</v>
      </c>
      <c r="AI1" s="3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1" t="s">
        <v>64</v>
      </c>
    </row>
    <row r="2">
      <c r="A2" s="1" t="s">
        <v>65</v>
      </c>
      <c r="B2" s="1">
        <v>0.0</v>
      </c>
      <c r="C2" s="2">
        <v>15.74</v>
      </c>
      <c r="D2" s="2">
        <f>242/1042*100</f>
        <v>23.22456814</v>
      </c>
      <c r="E2" s="2">
        <f>495/1042*100</f>
        <v>47.50479846</v>
      </c>
      <c r="F2" s="1">
        <v>0.0</v>
      </c>
      <c r="G2" s="1">
        <v>0.0</v>
      </c>
      <c r="H2" s="3">
        <f>10/1042*100</f>
        <v>0.9596928983</v>
      </c>
      <c r="I2" s="1">
        <v>0.0</v>
      </c>
      <c r="J2" s="2">
        <f>44/1042*100</f>
        <v>4.222648752</v>
      </c>
      <c r="K2" s="2">
        <f>27/1042*100</f>
        <v>2.591170825</v>
      </c>
      <c r="L2" s="6">
        <f>3/1042*100</f>
        <v>0.2879078695</v>
      </c>
      <c r="M2" s="5">
        <v>0.0</v>
      </c>
      <c r="N2" s="6">
        <f>6/1042*100</f>
        <v>0.575815739</v>
      </c>
      <c r="O2" s="1">
        <v>0.0</v>
      </c>
      <c r="P2" s="6">
        <f>2/1042*100</f>
        <v>0.1919385797</v>
      </c>
      <c r="Q2" s="1">
        <v>0.0</v>
      </c>
      <c r="R2" s="6">
        <f>3/1042*100</f>
        <v>0.2879078695</v>
      </c>
      <c r="S2" s="1">
        <v>0.0</v>
      </c>
      <c r="T2" s="1">
        <v>0.0</v>
      </c>
      <c r="U2" s="1">
        <v>0.0</v>
      </c>
      <c r="V2" s="5">
        <v>0.0</v>
      </c>
      <c r="W2" s="1">
        <v>0.0</v>
      </c>
      <c r="X2" s="5">
        <v>0.0</v>
      </c>
      <c r="Y2" s="5">
        <v>0.0</v>
      </c>
      <c r="Z2" s="1">
        <v>0.0</v>
      </c>
      <c r="AA2" s="1">
        <v>0.0</v>
      </c>
      <c r="AB2" s="5">
        <v>0.0</v>
      </c>
      <c r="AC2" s="5">
        <v>0.0</v>
      </c>
      <c r="AD2" s="1">
        <v>0.0</v>
      </c>
      <c r="AE2" s="1">
        <v>0.0</v>
      </c>
      <c r="AF2" s="5">
        <v>0.0</v>
      </c>
      <c r="AG2" s="1">
        <v>0.0</v>
      </c>
      <c r="AH2" s="5">
        <v>0.0</v>
      </c>
      <c r="AI2" s="3">
        <f>46/1042*100</f>
        <v>4.414587332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  <c r="AZ2" s="5">
        <v>0.0</v>
      </c>
      <c r="BA2" s="5">
        <v>0.0</v>
      </c>
      <c r="BB2" s="5">
        <v>0.0</v>
      </c>
      <c r="BC2" s="5">
        <v>0.0</v>
      </c>
      <c r="BD2" s="5">
        <v>0.0</v>
      </c>
      <c r="BE2" s="5">
        <v>0.0</v>
      </c>
      <c r="BF2" s="5">
        <v>0.0</v>
      </c>
      <c r="BG2" s="5">
        <v>0.0</v>
      </c>
      <c r="BH2" s="5">
        <v>0.0</v>
      </c>
      <c r="BI2" s="5">
        <v>0.0</v>
      </c>
      <c r="BJ2" s="5">
        <v>0.0</v>
      </c>
      <c r="BK2" s="5">
        <v>0.0</v>
      </c>
      <c r="BL2" s="5">
        <v>0.0</v>
      </c>
      <c r="BM2" s="7">
        <f t="shared" ref="BM2:BM66" si="2">SUM(B2:BL2)</f>
        <v>100.0010365</v>
      </c>
      <c r="BN2" s="8"/>
    </row>
    <row r="3">
      <c r="A3" s="1" t="s">
        <v>66</v>
      </c>
      <c r="B3" s="6">
        <f>140/57287*100</f>
        <v>0.2443835425</v>
      </c>
      <c r="C3" s="2">
        <f>7798/57287*100</f>
        <v>13.61216332</v>
      </c>
      <c r="D3" s="2">
        <f>15903/57287*100</f>
        <v>27.76022483</v>
      </c>
      <c r="E3" s="2">
        <f>22878/57287*100</f>
        <v>39.93576204</v>
      </c>
      <c r="F3" s="1">
        <v>0.0</v>
      </c>
      <c r="G3" s="6">
        <f>39/57287*100</f>
        <v>0.06807827256</v>
      </c>
      <c r="H3" s="3">
        <f>1201/57287*100</f>
        <v>2.096461675</v>
      </c>
      <c r="I3" s="6">
        <f>2/57287*100</f>
        <v>0.003491193464</v>
      </c>
      <c r="J3" s="2">
        <f>3600/57287*100</f>
        <v>6.284148236</v>
      </c>
      <c r="K3" s="2">
        <f>1591/57287*100</f>
        <v>2.777244401</v>
      </c>
      <c r="L3" s="6">
        <f>144/57287*100</f>
        <v>0.2513659294</v>
      </c>
      <c r="M3" s="5">
        <v>0.0</v>
      </c>
      <c r="N3" s="6">
        <f>284/57287*100</f>
        <v>0.495749472</v>
      </c>
      <c r="O3" s="6">
        <f>25/57287*100</f>
        <v>0.04363991831</v>
      </c>
      <c r="P3" s="6">
        <f>233/57287*100</f>
        <v>0.4067240386</v>
      </c>
      <c r="Q3" s="6">
        <f>184/57287*100</f>
        <v>0.3211897987</v>
      </c>
      <c r="R3" s="6">
        <f>123/57287*100</f>
        <v>0.2147083981</v>
      </c>
      <c r="S3" s="6">
        <f>19/57287*100</f>
        <v>0.03316633791</v>
      </c>
      <c r="T3" s="6">
        <f>27/57287*100</f>
        <v>0.04713111177</v>
      </c>
      <c r="U3" s="6">
        <f>79/57287*100</f>
        <v>0.1379021418</v>
      </c>
      <c r="V3" s="5">
        <f>26/57287*100</f>
        <v>0.04538551504</v>
      </c>
      <c r="W3" s="6">
        <f>95/57287*100</f>
        <v>0.1658316896</v>
      </c>
      <c r="X3" s="5">
        <f>6/57287*100</f>
        <v>0.01047358039</v>
      </c>
      <c r="Y3" s="5">
        <f>2/57287*100</f>
        <v>0.003491193464</v>
      </c>
      <c r="Z3" s="6">
        <f>54/57287*100</f>
        <v>0.09426222354</v>
      </c>
      <c r="AA3" s="6">
        <f t="shared" ref="AA3:AB3" si="1">8/57287*100</f>
        <v>0.01396477386</v>
      </c>
      <c r="AB3" s="5">
        <f t="shared" si="1"/>
        <v>0.01396477386</v>
      </c>
      <c r="AC3" s="5">
        <f>10/57287*100</f>
        <v>0.01745596732</v>
      </c>
      <c r="AD3" s="6">
        <f>37/57287*100</f>
        <v>0.06458707909</v>
      </c>
      <c r="AE3" s="6">
        <f>39/57287*100</f>
        <v>0.06807827256</v>
      </c>
      <c r="AF3" s="5">
        <v>0.0</v>
      </c>
      <c r="AG3" s="6">
        <f>40/57287*100</f>
        <v>0.06982386929</v>
      </c>
      <c r="AH3" s="5">
        <f>8/57287*100</f>
        <v>0.01396477386</v>
      </c>
      <c r="AI3" s="3">
        <f>2672/57287*100</f>
        <v>4.664234469</v>
      </c>
      <c r="AJ3" s="5">
        <v>0.0</v>
      </c>
      <c r="AK3" s="5">
        <f>2/57287*100</f>
        <v>0.003491193464</v>
      </c>
      <c r="AL3" s="5">
        <f>7/57287*100</f>
        <v>0.01221917713</v>
      </c>
      <c r="AM3" s="5">
        <v>0.0</v>
      </c>
      <c r="AN3" s="5">
        <v>0.0</v>
      </c>
      <c r="AO3" s="5">
        <f>3/57287*100</f>
        <v>0.005236790197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  <c r="AZ3" s="5">
        <v>0.0</v>
      </c>
      <c r="BA3" s="5">
        <v>0.0</v>
      </c>
      <c r="BB3" s="5">
        <v>0.0</v>
      </c>
      <c r="BC3" s="5">
        <v>0.0</v>
      </c>
      <c r="BD3" s="5">
        <v>0.0</v>
      </c>
      <c r="BE3" s="5">
        <v>0.0</v>
      </c>
      <c r="BF3" s="5">
        <v>0.0</v>
      </c>
      <c r="BG3" s="5">
        <v>0.0</v>
      </c>
      <c r="BH3" s="5">
        <v>0.0</v>
      </c>
      <c r="BI3" s="5">
        <v>0.0</v>
      </c>
      <c r="BJ3" s="5">
        <v>0.0</v>
      </c>
      <c r="BK3" s="5">
        <v>0.0</v>
      </c>
      <c r="BL3" s="5">
        <v>0.0</v>
      </c>
      <c r="BM3" s="7">
        <f t="shared" si="2"/>
        <v>100</v>
      </c>
      <c r="BN3" s="8"/>
    </row>
    <row r="4">
      <c r="A4" s="1" t="s">
        <v>67</v>
      </c>
      <c r="B4" s="1">
        <f>140/45959*100</f>
        <v>0.3046193346</v>
      </c>
      <c r="C4" s="2">
        <f>8054/45959*100</f>
        <v>17.52431515</v>
      </c>
      <c r="D4" s="2">
        <f>5055/45959*100</f>
        <v>10.99893383</v>
      </c>
      <c r="E4" s="2">
        <f>29105/45959*100</f>
        <v>63.32818382</v>
      </c>
      <c r="F4" s="1">
        <f>5/45959*100</f>
        <v>0.01087926195</v>
      </c>
      <c r="G4" s="1">
        <f>2/45959*100</f>
        <v>0.00435170478</v>
      </c>
      <c r="H4" s="3">
        <f>2263/45959*100</f>
        <v>4.923953959</v>
      </c>
      <c r="I4" s="1">
        <v>0.0</v>
      </c>
      <c r="J4" s="1">
        <f>54/45959*100</f>
        <v>0.1174960291</v>
      </c>
      <c r="K4" s="1">
        <f>210/45959*100</f>
        <v>0.4569290019</v>
      </c>
      <c r="L4" s="1">
        <f>2/45959*100</f>
        <v>0.00435170478</v>
      </c>
      <c r="M4" s="5">
        <f>5/45959*100</f>
        <v>0.01087926195</v>
      </c>
      <c r="N4" s="1">
        <f>120/45959*100</f>
        <v>0.2611022868</v>
      </c>
      <c r="O4" s="1">
        <f>20/45959*100</f>
        <v>0.0435170478</v>
      </c>
      <c r="P4" s="1">
        <f>121/45959*100</f>
        <v>0.2632781392</v>
      </c>
      <c r="Q4" s="1">
        <f>12/45959*100</f>
        <v>0.02611022868</v>
      </c>
      <c r="R4" s="2">
        <f>488/45959*100</f>
        <v>1.061815966</v>
      </c>
      <c r="S4" s="1">
        <f>37/45959*100</f>
        <v>0.08050653844</v>
      </c>
      <c r="T4" s="1">
        <f t="shared" ref="T4:U4" si="3">8/45959*100</f>
        <v>0.01740681912</v>
      </c>
      <c r="U4" s="1">
        <f t="shared" si="3"/>
        <v>0.01740681912</v>
      </c>
      <c r="V4" s="5">
        <f>10/45959*100</f>
        <v>0.0217585239</v>
      </c>
      <c r="W4" s="1">
        <v>0.0</v>
      </c>
      <c r="X4" s="5">
        <f>5/45959*100</f>
        <v>0.01087926195</v>
      </c>
      <c r="Y4" s="5">
        <f>2/45959*100</f>
        <v>0.00435170478</v>
      </c>
      <c r="Z4" s="1">
        <f>53/45959*100</f>
        <v>0.1153201767</v>
      </c>
      <c r="AA4" s="1">
        <f>7/45959*100</f>
        <v>0.01523096673</v>
      </c>
      <c r="AB4" s="5">
        <f>15/45959*100</f>
        <v>0.03263778585</v>
      </c>
      <c r="AC4" s="5">
        <f>2/45959*100</f>
        <v>0.00435170478</v>
      </c>
      <c r="AD4" s="1">
        <f>66/45959*100</f>
        <v>0.1436062578</v>
      </c>
      <c r="AE4" s="1">
        <f>77/45959*100</f>
        <v>0.167540634</v>
      </c>
      <c r="AF4" s="5">
        <v>0.0</v>
      </c>
      <c r="AG4" s="1">
        <v>0.0</v>
      </c>
      <c r="AH4" s="5">
        <v>0.0</v>
      </c>
      <c r="AI4" s="3">
        <f>5/45959*100</f>
        <v>0.01087926195</v>
      </c>
      <c r="AJ4" s="5">
        <v>0.0</v>
      </c>
      <c r="AK4" s="5">
        <f>6/45959*100</f>
        <v>0.01305511434</v>
      </c>
      <c r="AL4" s="5">
        <v>0.0</v>
      </c>
      <c r="AM4" s="5">
        <v>0.0</v>
      </c>
      <c r="AN4" s="5">
        <f>2/45959*100</f>
        <v>0.00435170478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  <c r="AZ4" s="5">
        <v>0.0</v>
      </c>
      <c r="BA4" s="5">
        <v>0.0</v>
      </c>
      <c r="BB4" s="5">
        <v>0.0</v>
      </c>
      <c r="BC4" s="5">
        <v>0.0</v>
      </c>
      <c r="BD4" s="5">
        <v>0.0</v>
      </c>
      <c r="BE4" s="5">
        <v>0.0</v>
      </c>
      <c r="BF4" s="5">
        <v>0.0</v>
      </c>
      <c r="BG4" s="5">
        <v>0.0</v>
      </c>
      <c r="BH4" s="5">
        <v>0.0</v>
      </c>
      <c r="BI4" s="5">
        <v>0.0</v>
      </c>
      <c r="BJ4" s="5">
        <v>0.0</v>
      </c>
      <c r="BK4" s="5">
        <v>0.0</v>
      </c>
      <c r="BL4" s="5">
        <v>0.0</v>
      </c>
      <c r="BM4" s="7">
        <f t="shared" si="2"/>
        <v>100</v>
      </c>
      <c r="BN4" s="8"/>
    </row>
    <row r="5">
      <c r="A5" s="1" t="s">
        <v>68</v>
      </c>
      <c r="B5" s="1">
        <f>52/25420*100</f>
        <v>0.204563336</v>
      </c>
      <c r="C5" s="2">
        <f>884/25420*100</f>
        <v>3.477576711</v>
      </c>
      <c r="D5" s="2">
        <f>5633/25420*100</f>
        <v>22.15971676</v>
      </c>
      <c r="E5" s="2">
        <f>11284/25420*100</f>
        <v>44.3902439</v>
      </c>
      <c r="F5" s="1">
        <v>0.0</v>
      </c>
      <c r="G5" s="1">
        <f>7/25420*100</f>
        <v>0.02753737215</v>
      </c>
      <c r="H5" s="3">
        <f>5548/25420*100</f>
        <v>21.82533438</v>
      </c>
      <c r="I5" s="1">
        <v>0.0</v>
      </c>
      <c r="J5" s="2">
        <f>313/25420*100</f>
        <v>1.231313926</v>
      </c>
      <c r="K5" s="2">
        <f>857/25420*100</f>
        <v>3.371361133</v>
      </c>
      <c r="L5" s="1">
        <f>10/25420*100</f>
        <v>0.03933910307</v>
      </c>
      <c r="M5" s="5">
        <v>0.0</v>
      </c>
      <c r="N5" s="1">
        <f>153/25420*100</f>
        <v>0.6018882769</v>
      </c>
      <c r="O5" s="1">
        <f>5/25420*100</f>
        <v>0.01966955153</v>
      </c>
      <c r="P5" s="1">
        <f>15/25420*100</f>
        <v>0.0590086546</v>
      </c>
      <c r="Q5" s="1">
        <f>19/25420*100</f>
        <v>0.07474429583</v>
      </c>
      <c r="R5" s="1">
        <f>60/25420*100</f>
        <v>0.2360346184</v>
      </c>
      <c r="S5" s="1">
        <f>3/25420*100</f>
        <v>0.01180173092</v>
      </c>
      <c r="T5" s="1">
        <v>0.0</v>
      </c>
      <c r="U5" s="1">
        <f>2/25420*100</f>
        <v>0.007867820614</v>
      </c>
      <c r="V5" s="5">
        <f>4/25420*100</f>
        <v>0.01573564123</v>
      </c>
      <c r="W5" s="1">
        <v>0.0</v>
      </c>
      <c r="X5" s="5">
        <f>8/25420*100</f>
        <v>0.03147128245</v>
      </c>
      <c r="Y5" s="5">
        <v>0.0</v>
      </c>
      <c r="Z5" s="1">
        <f>149/25420*100</f>
        <v>0.5861526357</v>
      </c>
      <c r="AA5" s="1">
        <f>2/25420*100</f>
        <v>0.007867820614</v>
      </c>
      <c r="AB5" s="5">
        <f>10/25420*100</f>
        <v>0.03933910307</v>
      </c>
      <c r="AC5" s="5">
        <f>2/25420*100</f>
        <v>0.007867820614</v>
      </c>
      <c r="AD5" s="1">
        <f>166/25420*100</f>
        <v>0.6530291109</v>
      </c>
      <c r="AE5" s="1">
        <f>41/25420*100</f>
        <v>0.1612903226</v>
      </c>
      <c r="AF5" s="5">
        <v>0.0</v>
      </c>
      <c r="AG5" s="1">
        <f>45/25420*100</f>
        <v>0.1770259638</v>
      </c>
      <c r="AH5" s="5">
        <v>0.0</v>
      </c>
      <c r="AI5" s="3">
        <f>129/25420*100</f>
        <v>0.5074744296</v>
      </c>
      <c r="AJ5" s="5">
        <v>0.0</v>
      </c>
      <c r="AK5" s="5">
        <f>19/25420*100</f>
        <v>0.07474429583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>
        <v>0.0</v>
      </c>
      <c r="BK5" s="5">
        <v>0.0</v>
      </c>
      <c r="BL5" s="5">
        <v>0.0</v>
      </c>
      <c r="BM5" s="7">
        <f t="shared" si="2"/>
        <v>100</v>
      </c>
      <c r="BN5" s="8"/>
    </row>
    <row r="6">
      <c r="A6" s="1" t="s">
        <v>69</v>
      </c>
      <c r="B6" s="1">
        <f>110/65786*100</f>
        <v>0.1672088286</v>
      </c>
      <c r="C6" s="2">
        <f>5170/65786*100</f>
        <v>7.858814945</v>
      </c>
      <c r="D6" s="2">
        <f>10197/65786*100</f>
        <v>15.50025841</v>
      </c>
      <c r="E6" s="2">
        <f>19271/65786*100</f>
        <v>29.2934667</v>
      </c>
      <c r="F6" s="1">
        <v>0.0</v>
      </c>
      <c r="G6" s="1">
        <f>3/65786*100</f>
        <v>0.004560240781</v>
      </c>
      <c r="H6" s="3">
        <f>763/65786*100</f>
        <v>1.159821239</v>
      </c>
      <c r="I6" s="1">
        <f>2/65786*100</f>
        <v>0.00304016052</v>
      </c>
      <c r="J6" s="2">
        <f>22747/65786*100</f>
        <v>34.57726568</v>
      </c>
      <c r="K6" s="2">
        <f>764/65786*100</f>
        <v>1.161341319</v>
      </c>
      <c r="L6" s="1">
        <f>97/65786*100</f>
        <v>0.1474477852</v>
      </c>
      <c r="M6" s="5">
        <v>0.0</v>
      </c>
      <c r="N6" s="1">
        <f>346/65786*100</f>
        <v>0.52594777</v>
      </c>
      <c r="O6" s="1">
        <f>26/65786*100</f>
        <v>0.03952208677</v>
      </c>
      <c r="P6" s="1">
        <f>250/65786*100</f>
        <v>0.3800200651</v>
      </c>
      <c r="Q6" s="1">
        <f>195/65786*100</f>
        <v>0.2964156507</v>
      </c>
      <c r="R6" s="1">
        <f>69/65786*100</f>
        <v>0.104885538</v>
      </c>
      <c r="S6" s="1">
        <v>0.0</v>
      </c>
      <c r="T6" s="1">
        <f>21/65786*100</f>
        <v>0.03192168546</v>
      </c>
      <c r="U6" s="1">
        <f>32/65786*100</f>
        <v>0.04864256833</v>
      </c>
      <c r="V6" s="5">
        <f>2/65786*100</f>
        <v>0.00304016052</v>
      </c>
      <c r="W6" s="1">
        <f>20/65786*100</f>
        <v>0.0304016052</v>
      </c>
      <c r="X6" s="5">
        <f>5/65786*100</f>
        <v>0.007600401301</v>
      </c>
      <c r="Y6" s="5">
        <v>0.0</v>
      </c>
      <c r="Z6" s="1">
        <f>6/65786*100</f>
        <v>0.009120481561</v>
      </c>
      <c r="AA6" s="1">
        <f>9/65786*100</f>
        <v>0.01368072234</v>
      </c>
      <c r="AB6" s="5">
        <f>6/65786*100</f>
        <v>0.009120481561</v>
      </c>
      <c r="AC6" s="5">
        <f>2/65786*100</f>
        <v>0.00304016052</v>
      </c>
      <c r="AD6" s="1">
        <f>293/65786*100</f>
        <v>0.4453835162</v>
      </c>
      <c r="AE6" s="1">
        <f>6/65786*100</f>
        <v>0.009120481561</v>
      </c>
      <c r="AF6" s="5">
        <v>0.0</v>
      </c>
      <c r="AG6" s="1">
        <f>7/65786*100</f>
        <v>0.01064056182</v>
      </c>
      <c r="AH6" s="5">
        <f>4/65786*100</f>
        <v>0.006080321041</v>
      </c>
      <c r="AI6" s="3">
        <f>5325/65786*100</f>
        <v>8.094427386</v>
      </c>
      <c r="AJ6" s="5">
        <v>0.0</v>
      </c>
      <c r="AK6" s="5">
        <f>34/65786*100</f>
        <v>0.05168272885</v>
      </c>
      <c r="AL6" s="5">
        <f>2/65786*100</f>
        <v>0.00304016052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  <c r="AZ6" s="5">
        <v>0.0</v>
      </c>
      <c r="BA6" s="5">
        <v>0.0</v>
      </c>
      <c r="BB6" s="5">
        <v>0.0</v>
      </c>
      <c r="BC6" s="5">
        <v>0.0</v>
      </c>
      <c r="BD6" s="5">
        <v>0.0</v>
      </c>
      <c r="BE6" s="5">
        <v>0.0</v>
      </c>
      <c r="BF6" s="5">
        <v>0.0</v>
      </c>
      <c r="BG6" s="5">
        <v>0.0</v>
      </c>
      <c r="BH6" s="5">
        <v>0.0</v>
      </c>
      <c r="BI6" s="5">
        <v>0.0</v>
      </c>
      <c r="BJ6" s="5">
        <f>2/65786*100</f>
        <v>0.00304016052</v>
      </c>
      <c r="BK6" s="5">
        <v>0.0</v>
      </c>
      <c r="BL6" s="5">
        <v>0.0</v>
      </c>
      <c r="BM6" s="7">
        <f t="shared" si="2"/>
        <v>100</v>
      </c>
      <c r="BN6" s="8"/>
    </row>
    <row r="7">
      <c r="A7" s="1" t="s">
        <v>70</v>
      </c>
      <c r="B7" s="1">
        <f>58/33769*100</f>
        <v>0.1717551601</v>
      </c>
      <c r="C7" s="2">
        <f>2738/33769*100</f>
        <v>8.108028073</v>
      </c>
      <c r="D7" s="2">
        <f>14197/33769*100</f>
        <v>42.04151737</v>
      </c>
      <c r="E7" s="2">
        <f>15406/33769*100</f>
        <v>45.62172407</v>
      </c>
      <c r="F7" s="1">
        <f>7/33769*100</f>
        <v>0.02072907104</v>
      </c>
      <c r="G7" s="1">
        <v>0.0</v>
      </c>
      <c r="H7" s="3">
        <f>163/33769*100</f>
        <v>0.4826912257</v>
      </c>
      <c r="I7" s="1">
        <f>2/33769*100</f>
        <v>0.005922591726</v>
      </c>
      <c r="J7" s="1">
        <f>151/33769*100</f>
        <v>0.4471556753</v>
      </c>
      <c r="K7" s="2">
        <f>834/33769*100</f>
        <v>2.46972075</v>
      </c>
      <c r="L7" s="1">
        <f>2/33769*100</f>
        <v>0.005922591726</v>
      </c>
      <c r="M7" s="5">
        <v>0.0</v>
      </c>
      <c r="N7" s="1">
        <f>13/33769*100</f>
        <v>0.03849684622</v>
      </c>
      <c r="O7" s="1">
        <v>0.0</v>
      </c>
      <c r="P7" s="1">
        <f>19/33769*100</f>
        <v>0.0562646214</v>
      </c>
      <c r="Q7" s="1">
        <v>0.0</v>
      </c>
      <c r="R7" s="1">
        <f>9/33769*100</f>
        <v>0.02665166277</v>
      </c>
      <c r="S7" s="1">
        <v>0.0</v>
      </c>
      <c r="T7" s="1">
        <v>0.0</v>
      </c>
      <c r="U7" s="1">
        <f>127/33769*100</f>
        <v>0.3760845746</v>
      </c>
      <c r="V7" s="5">
        <f>5/33769*100</f>
        <v>0.01480647932</v>
      </c>
      <c r="W7" s="1">
        <v>0.0</v>
      </c>
      <c r="X7" s="5">
        <v>0.0</v>
      </c>
      <c r="Y7" s="5">
        <v>0.0</v>
      </c>
      <c r="Z7" s="1">
        <f>2/33769*100</f>
        <v>0.005922591726</v>
      </c>
      <c r="AA7" s="1">
        <v>0.0</v>
      </c>
      <c r="AB7" s="5">
        <v>0.0</v>
      </c>
      <c r="AC7" s="5">
        <v>0.0</v>
      </c>
      <c r="AD7" s="1">
        <v>0.0</v>
      </c>
      <c r="AE7" s="1">
        <f>8/33769*100</f>
        <v>0.0236903669</v>
      </c>
      <c r="AF7" s="5">
        <v>0.0</v>
      </c>
      <c r="AG7" s="1">
        <f>22/33769*100</f>
        <v>0.06514850899</v>
      </c>
      <c r="AH7" s="5">
        <v>0.0</v>
      </c>
      <c r="AI7" s="3">
        <f>4/33769*100</f>
        <v>0.01184518345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f>2/33769*100</f>
        <v>0.005922591726</v>
      </c>
      <c r="AW7" s="5">
        <v>0.0</v>
      </c>
      <c r="AX7" s="5">
        <v>0.0</v>
      </c>
      <c r="AY7" s="5">
        <v>0.0</v>
      </c>
      <c r="AZ7" s="5">
        <v>0.0</v>
      </c>
      <c r="BA7" s="5">
        <v>0.0</v>
      </c>
      <c r="BB7" s="5">
        <v>0.0</v>
      </c>
      <c r="BC7" s="5">
        <v>0.0</v>
      </c>
      <c r="BD7" s="5">
        <v>0.0</v>
      </c>
      <c r="BE7" s="5">
        <v>0.0</v>
      </c>
      <c r="BF7" s="5">
        <v>0.0</v>
      </c>
      <c r="BG7" s="5">
        <v>0.0</v>
      </c>
      <c r="BH7" s="5">
        <v>0.0</v>
      </c>
      <c r="BI7" s="5">
        <v>0.0</v>
      </c>
      <c r="BJ7" s="5">
        <v>0.0</v>
      </c>
      <c r="BK7" s="5">
        <v>0.0</v>
      </c>
      <c r="BL7" s="5">
        <v>0.0</v>
      </c>
      <c r="BM7" s="7">
        <f t="shared" si="2"/>
        <v>100</v>
      </c>
      <c r="BN7" s="8"/>
    </row>
    <row r="8">
      <c r="A8" s="1" t="s">
        <v>71</v>
      </c>
      <c r="B8" s="1">
        <f>85/59771*100</f>
        <v>0.1422094327</v>
      </c>
      <c r="C8" s="2">
        <f>12768/59771*100</f>
        <v>21.36152984</v>
      </c>
      <c r="D8" s="2">
        <f>14955/59771*100</f>
        <v>25.02049489</v>
      </c>
      <c r="E8" s="2">
        <f>30340/59771*100</f>
        <v>50.7604022</v>
      </c>
      <c r="F8" s="1">
        <f>11/59771*100</f>
        <v>0.01840357364</v>
      </c>
      <c r="G8" s="1">
        <f>2/59771*100</f>
        <v>0.003346104298</v>
      </c>
      <c r="H8" s="3">
        <f>276/59771*100</f>
        <v>0.4617623931</v>
      </c>
      <c r="I8" s="1">
        <v>0.0</v>
      </c>
      <c r="J8" s="1">
        <f>411/59771*100</f>
        <v>0.6876244333</v>
      </c>
      <c r="K8" s="1">
        <f>711/59771*100</f>
        <v>1.189540078</v>
      </c>
      <c r="L8" s="1">
        <v>0.0</v>
      </c>
      <c r="M8" s="5">
        <v>0.0</v>
      </c>
      <c r="N8" s="1">
        <f>16/59771*100</f>
        <v>0.02676883438</v>
      </c>
      <c r="O8" s="1">
        <v>0.0</v>
      </c>
      <c r="P8" s="1">
        <f>49/59771*100</f>
        <v>0.0819795553</v>
      </c>
      <c r="Q8" s="1">
        <f>4/59771*100</f>
        <v>0.006692208596</v>
      </c>
      <c r="R8" s="1">
        <f>56/59771*100</f>
        <v>0.09369092035</v>
      </c>
      <c r="S8" s="1">
        <f>8/59771*100</f>
        <v>0.01338441719</v>
      </c>
      <c r="T8" s="1">
        <f>5/59771*100</f>
        <v>0.008365260745</v>
      </c>
      <c r="U8" s="1">
        <f>36/59771*100</f>
        <v>0.06022987737</v>
      </c>
      <c r="V8" s="5">
        <f>10/59771*100</f>
        <v>0.01673052149</v>
      </c>
      <c r="W8" s="1">
        <v>0.0</v>
      </c>
      <c r="X8" s="5">
        <f>6/59771*100</f>
        <v>0.01003831289</v>
      </c>
      <c r="Y8" s="5">
        <v>0.0</v>
      </c>
      <c r="Z8" s="1">
        <v>0.0</v>
      </c>
      <c r="AA8" s="1">
        <f>3/59771*100</f>
        <v>0.005019156447</v>
      </c>
      <c r="AB8" s="5">
        <v>0.0</v>
      </c>
      <c r="AC8" s="5">
        <v>0.0</v>
      </c>
      <c r="AD8" s="1">
        <v>0.0</v>
      </c>
      <c r="AE8" s="1">
        <f>6/59771*100</f>
        <v>0.01003831289</v>
      </c>
      <c r="AF8" s="5">
        <v>0.0</v>
      </c>
      <c r="AG8" s="1">
        <f>11/59771*100</f>
        <v>0.01840357364</v>
      </c>
      <c r="AH8" s="5">
        <f>2/59771*100</f>
        <v>0.003346104298</v>
      </c>
      <c r="AI8" s="3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  <c r="AZ8" s="5">
        <v>0.0</v>
      </c>
      <c r="BA8" s="5">
        <v>0.0</v>
      </c>
      <c r="BB8" s="5">
        <v>0.0</v>
      </c>
      <c r="BC8" s="5">
        <v>0.0</v>
      </c>
      <c r="BD8" s="5">
        <v>0.0</v>
      </c>
      <c r="BE8" s="5">
        <v>0.0</v>
      </c>
      <c r="BF8" s="5">
        <v>0.0</v>
      </c>
      <c r="BG8" s="5">
        <v>0.0</v>
      </c>
      <c r="BH8" s="5">
        <v>0.0</v>
      </c>
      <c r="BI8" s="5">
        <v>0.0</v>
      </c>
      <c r="BJ8" s="5">
        <v>0.0</v>
      </c>
      <c r="BK8" s="5">
        <v>0.0</v>
      </c>
      <c r="BL8" s="5">
        <v>0.0</v>
      </c>
      <c r="BM8" s="7">
        <f t="shared" si="2"/>
        <v>100</v>
      </c>
      <c r="BN8" s="8"/>
    </row>
    <row r="9">
      <c r="A9" s="1" t="s">
        <v>72</v>
      </c>
      <c r="B9" s="1">
        <f>451/54774*100</f>
        <v>0.8233833571</v>
      </c>
      <c r="C9" s="2">
        <f>6653/54774*100</f>
        <v>12.14627378</v>
      </c>
      <c r="D9" s="2">
        <f>14790/54774*100</f>
        <v>27.0018622</v>
      </c>
      <c r="E9" s="2">
        <f>30232/54774*100</f>
        <v>55.19407018</v>
      </c>
      <c r="F9" s="1">
        <v>0.0</v>
      </c>
      <c r="G9" s="1">
        <f>23/54774*100</f>
        <v>0.04199072553</v>
      </c>
      <c r="H9" s="3">
        <f>1266/54774*100</f>
        <v>2.311315588</v>
      </c>
      <c r="I9" s="1">
        <v>0.0</v>
      </c>
      <c r="J9" s="2">
        <f>640/54774*100</f>
        <v>1.16843758</v>
      </c>
      <c r="K9" s="2">
        <f>1964/54774*100</f>
        <v>3.585642823</v>
      </c>
      <c r="L9" s="1">
        <f>73/54774*100</f>
        <v>0.1332749115</v>
      </c>
      <c r="M9" s="5">
        <f>6/54774*100</f>
        <v>0.01095410231</v>
      </c>
      <c r="N9" s="1">
        <f>109/54774*100</f>
        <v>0.1989995253</v>
      </c>
      <c r="O9" s="1">
        <f>59/54774*100</f>
        <v>0.1077153394</v>
      </c>
      <c r="P9" s="1">
        <f>535/54774*100</f>
        <v>0.9767407894</v>
      </c>
      <c r="Q9" s="1">
        <f>78/54774*100</f>
        <v>0.14240333</v>
      </c>
      <c r="R9" s="1">
        <f>29/54774*100</f>
        <v>0.05294482784</v>
      </c>
      <c r="S9" s="1">
        <f>86/54774*100</f>
        <v>0.1570087998</v>
      </c>
      <c r="T9" s="1">
        <f>64/54774*100</f>
        <v>0.116843758</v>
      </c>
      <c r="U9" s="1">
        <f>16/54774*100</f>
        <v>0.0292109395</v>
      </c>
      <c r="V9" s="5">
        <f>40/54774*100</f>
        <v>0.07302734874</v>
      </c>
      <c r="W9" s="1">
        <f>17/54774*100</f>
        <v>0.03103662322</v>
      </c>
      <c r="X9" s="5">
        <f>45/54774*100</f>
        <v>0.08215576733</v>
      </c>
      <c r="Y9" s="5">
        <f>12/54774*100</f>
        <v>0.02190820462</v>
      </c>
      <c r="Z9" s="1">
        <f>23/54774*100</f>
        <v>0.04199072553</v>
      </c>
      <c r="AA9" s="1">
        <f>29/54774*100</f>
        <v>0.05294482784</v>
      </c>
      <c r="AB9" s="5">
        <f>24/54774*100</f>
        <v>0.04381640925</v>
      </c>
      <c r="AC9" s="5">
        <f>36/54774*100</f>
        <v>0.06572461387</v>
      </c>
      <c r="AD9" s="1">
        <f>28/54774*100</f>
        <v>0.05111914412</v>
      </c>
      <c r="AE9" s="1">
        <f>26/54774*100</f>
        <v>0.04746777668</v>
      </c>
      <c r="AF9" s="5">
        <f>2/54774*100</f>
        <v>0.003651367437</v>
      </c>
      <c r="AG9" s="1">
        <f>77/54774*100</f>
        <v>0.1405776463</v>
      </c>
      <c r="AH9" s="5">
        <v>0.0</v>
      </c>
      <c r="AI9" s="3">
        <v>0.0</v>
      </c>
      <c r="AJ9" s="5">
        <v>0.0</v>
      </c>
      <c r="AK9" s="5">
        <f>3/54774*100</f>
        <v>0.005477051156</v>
      </c>
      <c r="AL9" s="5">
        <v>0.0</v>
      </c>
      <c r="AM9" s="5">
        <v>0.0</v>
      </c>
      <c r="AN9" s="5">
        <v>0.0</v>
      </c>
      <c r="AO9" s="5">
        <f>9/54774*100</f>
        <v>0.01643115347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f>2/54774*100</f>
        <v>0.003651367437</v>
      </c>
      <c r="AV9" s="5">
        <v>0.0</v>
      </c>
      <c r="AW9" s="5">
        <v>0.0</v>
      </c>
      <c r="AX9" s="5">
        <v>0.0</v>
      </c>
      <c r="AY9" s="5">
        <v>0.0</v>
      </c>
      <c r="AZ9" s="5">
        <v>0.0</v>
      </c>
      <c r="BA9" s="5">
        <v>0.0</v>
      </c>
      <c r="BB9" s="5">
        <v>0.0</v>
      </c>
      <c r="BC9" s="5">
        <v>0.0</v>
      </c>
      <c r="BD9" s="5">
        <v>0.0</v>
      </c>
      <c r="BE9" s="5">
        <v>0.0</v>
      </c>
      <c r="BF9" s="5">
        <v>0.0</v>
      </c>
      <c r="BG9" s="5">
        <v>0.0</v>
      </c>
      <c r="BH9" s="5">
        <v>0.0</v>
      </c>
      <c r="BI9" s="5">
        <v>0.0</v>
      </c>
      <c r="BJ9" s="5">
        <v>0.0</v>
      </c>
      <c r="BK9" s="5">
        <v>0.0</v>
      </c>
      <c r="BL9" s="5">
        <v>0.0</v>
      </c>
      <c r="BM9" s="7">
        <f t="shared" si="2"/>
        <v>104.8800526</v>
      </c>
      <c r="BN9" s="8"/>
    </row>
    <row r="10">
      <c r="A10" s="1" t="s">
        <v>73</v>
      </c>
      <c r="B10" s="1">
        <f>1748/66491*100</f>
        <v>2.628927223</v>
      </c>
      <c r="C10" s="2">
        <f>10632/66491*100</f>
        <v>15.990134</v>
      </c>
      <c r="D10" s="2">
        <f>15887/66491*100</f>
        <v>23.89345927</v>
      </c>
      <c r="E10" s="2">
        <f>33815/66491*100</f>
        <v>50.8565069</v>
      </c>
      <c r="F10" s="1">
        <f>12/66491*100</f>
        <v>0.01804755531</v>
      </c>
      <c r="G10" s="1">
        <f>57/66491*100</f>
        <v>0.08572588771</v>
      </c>
      <c r="H10" s="3">
        <f>1393/66491*100</f>
        <v>2.095020379</v>
      </c>
      <c r="I10" s="1">
        <v>0.0</v>
      </c>
      <c r="J10" s="2">
        <f>1064/66491*100</f>
        <v>1.600216571</v>
      </c>
      <c r="K10" s="1">
        <f>564/66491*100</f>
        <v>0.8482350995</v>
      </c>
      <c r="L10" s="1">
        <f>102/66491*100</f>
        <v>0.1534042201</v>
      </c>
      <c r="M10" s="5">
        <f>13/66491*100</f>
        <v>0.01955151825</v>
      </c>
      <c r="N10" s="1">
        <f>42/66491*100</f>
        <v>0.06316644358</v>
      </c>
      <c r="O10" s="1">
        <f>43/66491*100</f>
        <v>0.06467040652</v>
      </c>
      <c r="P10" s="1">
        <f>252/66491*100</f>
        <v>0.3789986615</v>
      </c>
      <c r="Q10" s="1">
        <f>32/66491*100</f>
        <v>0.04812681416</v>
      </c>
      <c r="R10" s="1">
        <f>72/66491*100</f>
        <v>0.1082853318</v>
      </c>
      <c r="S10" s="1">
        <f>337/66491*100</f>
        <v>0.5068355116</v>
      </c>
      <c r="T10" s="1">
        <f>37/66491*100</f>
        <v>0.05564662887</v>
      </c>
      <c r="U10" s="7">
        <f>28/66491*100</f>
        <v>0.04211096239</v>
      </c>
      <c r="V10" s="5">
        <f>40/66491*100</f>
        <v>0.06015851769</v>
      </c>
      <c r="W10" s="1">
        <f>37/66491*100</f>
        <v>0.05564662887</v>
      </c>
      <c r="X10" s="5">
        <f>35/66491*100</f>
        <v>0.05263870298</v>
      </c>
      <c r="Y10" s="5">
        <v>0.0</v>
      </c>
      <c r="Z10" s="1">
        <f>41/66491*100</f>
        <v>0.06166248064</v>
      </c>
      <c r="AA10" s="1">
        <f>43/66491*100</f>
        <v>0.06467040652</v>
      </c>
      <c r="AB10" s="5">
        <f>4/66491*100</f>
        <v>0.006015851769</v>
      </c>
      <c r="AC10" s="5">
        <f>68/66491*100</f>
        <v>0.1022694801</v>
      </c>
      <c r="AD10" s="1">
        <f>9/66491*100</f>
        <v>0.01353566648</v>
      </c>
      <c r="AE10" s="1">
        <f>24/66491*100</f>
        <v>0.03609511062</v>
      </c>
      <c r="AF10" s="5">
        <f>2/66491*100</f>
        <v>0.003007925885</v>
      </c>
      <c r="AG10" s="1">
        <f>48/66491*100</f>
        <v>0.07219022123</v>
      </c>
      <c r="AH10" s="5">
        <v>0.0</v>
      </c>
      <c r="AI10" s="3">
        <f>4/66491*100</f>
        <v>0.006015851769</v>
      </c>
      <c r="AJ10" s="5">
        <v>0.0</v>
      </c>
      <c r="AK10" s="5">
        <v>0.0</v>
      </c>
      <c r="AL10" s="5">
        <v>0.0</v>
      </c>
      <c r="AM10" s="5">
        <f>2/66491*100</f>
        <v>0.003007925885</v>
      </c>
      <c r="AN10" s="5">
        <v>0.0</v>
      </c>
      <c r="AO10" s="5">
        <f>2/66491*100</f>
        <v>0.003007925885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f>2/66491*100</f>
        <v>0.003007925885</v>
      </c>
      <c r="AZ10" s="5">
        <v>0.0</v>
      </c>
      <c r="BA10" s="5">
        <v>0.0</v>
      </c>
      <c r="BB10" s="5">
        <v>0.0</v>
      </c>
      <c r="BC10" s="5">
        <v>0.0</v>
      </c>
      <c r="BD10" s="5">
        <v>0.0</v>
      </c>
      <c r="BE10" s="5">
        <v>0.0</v>
      </c>
      <c r="BF10" s="5">
        <v>0.0</v>
      </c>
      <c r="BG10" s="5">
        <v>0.0</v>
      </c>
      <c r="BH10" s="5">
        <v>0.0</v>
      </c>
      <c r="BI10" s="5">
        <v>0.0</v>
      </c>
      <c r="BJ10" s="5">
        <v>0.0</v>
      </c>
      <c r="BK10" s="5">
        <v>0.0</v>
      </c>
      <c r="BL10" s="5">
        <v>0.0</v>
      </c>
      <c r="BM10" s="7">
        <f t="shared" si="2"/>
        <v>100</v>
      </c>
      <c r="BN10" s="8"/>
    </row>
    <row r="11">
      <c r="A11" s="1" t="s">
        <v>74</v>
      </c>
      <c r="B11" s="1">
        <f>46/50567*100</f>
        <v>0.09096841814</v>
      </c>
      <c r="C11" s="2">
        <f>17895/50567*100</f>
        <v>35.38869223</v>
      </c>
      <c r="D11" s="2">
        <f>10911/50567*100</f>
        <v>21.57731327</v>
      </c>
      <c r="E11" s="2">
        <f>14261/50567*100</f>
        <v>28.2021872</v>
      </c>
      <c r="F11" s="1">
        <v>0.0</v>
      </c>
      <c r="G11" s="1">
        <v>0.0</v>
      </c>
      <c r="H11" s="3">
        <f>526/50567*100</f>
        <v>1.040204086</v>
      </c>
      <c r="I11" s="1">
        <v>0.0</v>
      </c>
      <c r="J11" s="2">
        <f>4678/50567*100</f>
        <v>9.25109261</v>
      </c>
      <c r="K11" s="1">
        <f>113/50567*100</f>
        <v>0.2234658967</v>
      </c>
      <c r="L11" s="1">
        <f>42/50567*100</f>
        <v>0.08305812091</v>
      </c>
      <c r="M11" s="5">
        <v>0.0</v>
      </c>
      <c r="N11" s="1">
        <f>41/50567*100</f>
        <v>0.0810805466</v>
      </c>
      <c r="O11" s="1">
        <v>0.0</v>
      </c>
      <c r="P11" s="1">
        <f>70/50567*100</f>
        <v>0.1384302015</v>
      </c>
      <c r="Q11" s="1">
        <f>45/50567*100</f>
        <v>0.08899084383</v>
      </c>
      <c r="R11" s="1">
        <f>7/50567*100</f>
        <v>0.01384302015</v>
      </c>
      <c r="S11" s="1">
        <f>4/50567*100</f>
        <v>0.007910297229</v>
      </c>
      <c r="T11" s="1">
        <f>8/50567*100</f>
        <v>0.01582059446</v>
      </c>
      <c r="U11" s="1">
        <f>15/50567*100</f>
        <v>0.02966361461</v>
      </c>
      <c r="V11" s="5">
        <f t="shared" ref="V11:W11" si="4">6/50567*100</f>
        <v>0.01186544584</v>
      </c>
      <c r="W11" s="1">
        <f t="shared" si="4"/>
        <v>0.01186544584</v>
      </c>
      <c r="X11" s="5">
        <v>0.0</v>
      </c>
      <c r="Y11" s="5">
        <v>0.0</v>
      </c>
      <c r="Z11" s="1">
        <f>5/50567*100</f>
        <v>0.009887871537</v>
      </c>
      <c r="AA11" s="1">
        <v>0.0</v>
      </c>
      <c r="AB11" s="5">
        <f>5/50567*100</f>
        <v>0.009887871537</v>
      </c>
      <c r="AC11" s="5">
        <v>0.0</v>
      </c>
      <c r="AD11" s="1">
        <f>3/50567*100</f>
        <v>0.005932722922</v>
      </c>
      <c r="AE11" s="1">
        <f>6/50567*100</f>
        <v>0.01186544584</v>
      </c>
      <c r="AF11" s="5">
        <v>0.0</v>
      </c>
      <c r="AG11" s="1">
        <v>0.0</v>
      </c>
      <c r="AH11" s="5">
        <v>0.0</v>
      </c>
      <c r="AI11" s="3">
        <f>1858/50567*100</f>
        <v>3.674333063</v>
      </c>
      <c r="AJ11" s="5">
        <v>0.0</v>
      </c>
      <c r="AK11" s="5">
        <f>9/50567*100</f>
        <v>0.01779816877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f>2/50567*100</f>
        <v>0.003955148615</v>
      </c>
      <c r="AV11" s="5">
        <f>5/50567*100</f>
        <v>0.009887871537</v>
      </c>
      <c r="AW11" s="5">
        <v>0.0</v>
      </c>
      <c r="AX11" s="5">
        <v>0.0</v>
      </c>
      <c r="AY11" s="5">
        <v>0.0</v>
      </c>
      <c r="AZ11" s="5">
        <v>0.0</v>
      </c>
      <c r="BA11" s="5">
        <v>0.0</v>
      </c>
      <c r="BB11" s="5">
        <v>0.0</v>
      </c>
      <c r="BC11" s="5">
        <v>0.0</v>
      </c>
      <c r="BD11" s="5">
        <v>0.0</v>
      </c>
      <c r="BE11" s="5">
        <v>0.0</v>
      </c>
      <c r="BF11" s="5">
        <v>0.0</v>
      </c>
      <c r="BG11" s="5">
        <v>0.0</v>
      </c>
      <c r="BH11" s="5">
        <v>0.0</v>
      </c>
      <c r="BI11" s="5">
        <v>0.0</v>
      </c>
      <c r="BJ11" s="5">
        <v>0.0</v>
      </c>
      <c r="BK11" s="5">
        <v>0.0</v>
      </c>
      <c r="BL11" s="5">
        <v>0.0</v>
      </c>
      <c r="BM11" s="7">
        <f t="shared" si="2"/>
        <v>100</v>
      </c>
      <c r="BN11" s="8"/>
    </row>
    <row r="12">
      <c r="A12" s="1" t="s">
        <v>75</v>
      </c>
      <c r="B12" s="1">
        <f>63/56647*100</f>
        <v>0.1112150688</v>
      </c>
      <c r="C12" s="2">
        <f>16889/56647*100</f>
        <v>29.81446502</v>
      </c>
      <c r="D12" s="2">
        <f>13939/56647*100</f>
        <v>24.60677529</v>
      </c>
      <c r="E12" s="2">
        <f>14699/56647*100</f>
        <v>25.94841739</v>
      </c>
      <c r="F12" s="1">
        <v>0.0</v>
      </c>
      <c r="G12" s="1">
        <v>0.0</v>
      </c>
      <c r="H12" s="3">
        <f>912/56647*100</f>
        <v>1.609970519</v>
      </c>
      <c r="I12" s="1">
        <v>0.0</v>
      </c>
      <c r="J12" s="2">
        <f>5394/56647*100</f>
        <v>9.522128268</v>
      </c>
      <c r="K12" s="1">
        <f>319/56647*100</f>
        <v>0.563136618</v>
      </c>
      <c r="L12" s="1">
        <f>93/56647*100</f>
        <v>0.1641746253</v>
      </c>
      <c r="M12" s="5">
        <v>0.0</v>
      </c>
      <c r="N12" s="1">
        <f>185/56647*100</f>
        <v>0.3265839321</v>
      </c>
      <c r="O12" s="1">
        <f>2/56647*100</f>
        <v>0.003530637103</v>
      </c>
      <c r="P12" s="1">
        <f>61/56647*100</f>
        <v>0.1076844317</v>
      </c>
      <c r="Q12" s="1">
        <f>96/56647*100</f>
        <v>0.169470581</v>
      </c>
      <c r="R12" s="1">
        <f>92/56647*100</f>
        <v>0.1624093068</v>
      </c>
      <c r="S12" s="1">
        <v>0.0</v>
      </c>
      <c r="T12" s="1">
        <f>24/56647*100</f>
        <v>0.04236764524</v>
      </c>
      <c r="U12" s="1">
        <f>44/56647*100</f>
        <v>0.07767401628</v>
      </c>
      <c r="V12" s="5">
        <f>22/56647*100</f>
        <v>0.03883700814</v>
      </c>
      <c r="W12" s="1">
        <f>26/56647*100</f>
        <v>0.04589828235</v>
      </c>
      <c r="X12" s="5">
        <f>6/56647*100</f>
        <v>0.01059191131</v>
      </c>
      <c r="Y12" s="5">
        <v>0.0</v>
      </c>
      <c r="Z12" s="1">
        <v>0.0</v>
      </c>
      <c r="AA12" s="1">
        <f>10/56647*100</f>
        <v>0.01765318552</v>
      </c>
      <c r="AB12" s="5">
        <f>4/56647*100</f>
        <v>0.007061274207</v>
      </c>
      <c r="AC12" s="5">
        <v>0.0</v>
      </c>
      <c r="AD12" s="1">
        <f>19/56647*100</f>
        <v>0.03354105248</v>
      </c>
      <c r="AE12" s="1">
        <f>13/56647*100</f>
        <v>0.02294914117</v>
      </c>
      <c r="AF12" s="5">
        <v>0.0</v>
      </c>
      <c r="AG12" s="1">
        <f>5/56647*100</f>
        <v>0.008826592759</v>
      </c>
      <c r="AH12" s="5">
        <v>3.0</v>
      </c>
      <c r="AI12" s="3">
        <f>3721/56647*100</f>
        <v>6.568750331</v>
      </c>
      <c r="AJ12" s="5">
        <v>0.0</v>
      </c>
      <c r="AK12" s="5">
        <f>6/56647*100</f>
        <v>0.01059191131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  <c r="AZ12" s="5">
        <v>0.0</v>
      </c>
      <c r="BA12" s="5">
        <v>0.0</v>
      </c>
      <c r="BB12" s="5">
        <v>0.0</v>
      </c>
      <c r="BC12" s="5">
        <v>0.0</v>
      </c>
      <c r="BD12" s="5">
        <v>0.0</v>
      </c>
      <c r="BE12" s="5">
        <v>0.0</v>
      </c>
      <c r="BF12" s="5">
        <v>0.0</v>
      </c>
      <c r="BG12" s="5">
        <v>0.0</v>
      </c>
      <c r="BH12" s="5">
        <v>0.0</v>
      </c>
      <c r="BI12" s="5">
        <v>0.0</v>
      </c>
      <c r="BJ12" s="5">
        <v>0.0</v>
      </c>
      <c r="BK12" s="5">
        <v>0.0</v>
      </c>
      <c r="BL12" s="5">
        <v>0.0</v>
      </c>
      <c r="BM12" s="7">
        <f t="shared" si="2"/>
        <v>102.994704</v>
      </c>
      <c r="BN12" s="8"/>
    </row>
    <row r="13">
      <c r="A13" s="1" t="s">
        <v>76</v>
      </c>
      <c r="B13" s="2">
        <f>2062/93891*100</f>
        <v>2.196163637</v>
      </c>
      <c r="C13" s="2">
        <f>2705/93891*100</f>
        <v>2.881000309</v>
      </c>
      <c r="D13" s="2">
        <f>8108/93891*100</f>
        <v>8.635545473</v>
      </c>
      <c r="E13" s="2">
        <f>72558/93891*100</f>
        <v>77.27897243</v>
      </c>
      <c r="F13" s="1">
        <f>65/93891*100</f>
        <v>0.0692292126</v>
      </c>
      <c r="G13" s="1">
        <f>98/93891*100</f>
        <v>0.1043763513</v>
      </c>
      <c r="H13" s="3">
        <f>1080/93891*100</f>
        <v>1.150269994</v>
      </c>
      <c r="I13" s="1">
        <v>0.0</v>
      </c>
      <c r="J13" s="1">
        <f>527/93891*100</f>
        <v>0.5612891544</v>
      </c>
      <c r="K13" s="2">
        <f>1959/93891*100</f>
        <v>2.086461961</v>
      </c>
      <c r="L13" s="1">
        <f>124/93891*100</f>
        <v>0.1320680363</v>
      </c>
      <c r="M13" s="5">
        <f>413/93891*100</f>
        <v>0.4398717662</v>
      </c>
      <c r="N13" s="1">
        <f>325/93891*100</f>
        <v>0.346146063</v>
      </c>
      <c r="O13" s="1">
        <f>135/93891*100</f>
        <v>0.1437837492</v>
      </c>
      <c r="P13" s="1">
        <f>704/93891*100</f>
        <v>0.7498056257</v>
      </c>
      <c r="Q13" s="1">
        <f>156/93891*100</f>
        <v>0.1661501102</v>
      </c>
      <c r="R13" s="1">
        <f>394/93891*100</f>
        <v>0.4196355348</v>
      </c>
      <c r="S13" s="1">
        <f>527/93891*100</f>
        <v>0.5612891544</v>
      </c>
      <c r="T13" s="1">
        <f>57/93891*100</f>
        <v>0.06070869412</v>
      </c>
      <c r="U13" s="1">
        <f>114/93891*100</f>
        <v>0.1214173882</v>
      </c>
      <c r="V13" s="5">
        <f>177/93891*100</f>
        <v>0.1885164712</v>
      </c>
      <c r="W13" s="1">
        <f>69/93891*100</f>
        <v>0.07348947183</v>
      </c>
      <c r="X13" s="5">
        <f>260/93891*100</f>
        <v>0.2769168504</v>
      </c>
      <c r="Y13" s="5">
        <f>62/93891*100</f>
        <v>0.06603401817</v>
      </c>
      <c r="Z13" s="1">
        <f>198/93891*100</f>
        <v>0.2108828322</v>
      </c>
      <c r="AA13" s="1">
        <f>30/93891*100</f>
        <v>0.03195194428</v>
      </c>
      <c r="AB13" s="5">
        <f>108/93891*100</f>
        <v>0.1150269994</v>
      </c>
      <c r="AC13" s="5">
        <f>196/93891*100</f>
        <v>0.2087527026</v>
      </c>
      <c r="AD13" s="1">
        <f>4/93891*100</f>
        <v>0.004260259237</v>
      </c>
      <c r="AE13" s="1">
        <f>21/93891*100</f>
        <v>0.02236636099</v>
      </c>
      <c r="AF13" s="5">
        <f>33/93891*100</f>
        <v>0.0351471387</v>
      </c>
      <c r="AG13" s="1">
        <f>566/93891*100</f>
        <v>0.602826682</v>
      </c>
      <c r="AH13" s="5">
        <v>0.0</v>
      </c>
      <c r="AI13" s="3">
        <f>5/93891*100</f>
        <v>0.005325324046</v>
      </c>
      <c r="AJ13" s="5">
        <v>0.0</v>
      </c>
      <c r="AK13" s="5">
        <f>9/93891*100</f>
        <v>0.009585583283</v>
      </c>
      <c r="AL13" s="5">
        <v>0.0</v>
      </c>
      <c r="AM13" s="5">
        <v>0.0</v>
      </c>
      <c r="AN13" s="5">
        <v>0.0</v>
      </c>
      <c r="AO13" s="5">
        <f>3/93891*100</f>
        <v>0.003195194428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f>23/93891*100</f>
        <v>0.02449649061</v>
      </c>
      <c r="AW13" s="5">
        <f>4/93891*100</f>
        <v>0.004260259237</v>
      </c>
      <c r="AX13" s="5">
        <v>0.0</v>
      </c>
      <c r="AY13" s="5">
        <v>0.0</v>
      </c>
      <c r="AZ13" s="5">
        <v>0.0</v>
      </c>
      <c r="BA13" s="5">
        <v>0.0</v>
      </c>
      <c r="BB13" s="5">
        <v>0.0</v>
      </c>
      <c r="BC13" s="5">
        <v>0.0</v>
      </c>
      <c r="BD13" s="5">
        <v>0.0</v>
      </c>
      <c r="BE13" s="5">
        <f>2/93891*100</f>
        <v>0.002130129618</v>
      </c>
      <c r="BF13" s="5">
        <v>0.0</v>
      </c>
      <c r="BG13" s="5">
        <f>10/93891*100</f>
        <v>0.01065064809</v>
      </c>
      <c r="BH13" s="5">
        <v>0.0</v>
      </c>
      <c r="BI13" s="5">
        <v>0.0</v>
      </c>
      <c r="BJ13" s="5">
        <v>0.0</v>
      </c>
      <c r="BK13" s="5">
        <v>0.0</v>
      </c>
      <c r="BL13" s="5">
        <v>0.0</v>
      </c>
      <c r="BM13" s="7">
        <f t="shared" si="2"/>
        <v>100</v>
      </c>
      <c r="BN13" s="8"/>
    </row>
    <row r="14">
      <c r="A14" s="1" t="s">
        <v>77</v>
      </c>
      <c r="B14" s="2">
        <f>1398/74865*100</f>
        <v>1.86736125</v>
      </c>
      <c r="C14" s="2">
        <f>1929/74865*100</f>
        <v>2.576637948</v>
      </c>
      <c r="D14" s="2">
        <f>6103/74865*100</f>
        <v>8.152006946</v>
      </c>
      <c r="E14" s="2">
        <f>57032/74865*100</f>
        <v>76.17979029</v>
      </c>
      <c r="F14" s="1">
        <f>71/74865*100</f>
        <v>0.09483737394</v>
      </c>
      <c r="G14" s="1">
        <f>72/74865*100</f>
        <v>0.0961731116</v>
      </c>
      <c r="H14" s="3">
        <f>626/74865*100</f>
        <v>0.8361717759</v>
      </c>
      <c r="I14" s="1">
        <v>0.0</v>
      </c>
      <c r="J14" s="1">
        <f>622/74865*100</f>
        <v>0.8308288252</v>
      </c>
      <c r="K14" s="2">
        <f>3281/74865*100</f>
        <v>4.382555266</v>
      </c>
      <c r="L14" s="1">
        <f>108/74865*100</f>
        <v>0.1442596674</v>
      </c>
      <c r="M14" s="5">
        <f>182/74865*100</f>
        <v>0.2431042543</v>
      </c>
      <c r="N14" s="1">
        <f>237/74865*100</f>
        <v>0.3165698257</v>
      </c>
      <c r="O14" s="1">
        <f>127/74865*100</f>
        <v>0.169638683</v>
      </c>
      <c r="P14" s="1">
        <f>482/74865*100</f>
        <v>0.6438255527</v>
      </c>
      <c r="Q14" s="1">
        <f>109/74865*100</f>
        <v>0.1455954051</v>
      </c>
      <c r="R14" s="1">
        <f>170/74865*100</f>
        <v>0.2270754024</v>
      </c>
      <c r="S14" s="1">
        <f>387/74865*100</f>
        <v>0.5169304749</v>
      </c>
      <c r="T14" s="1">
        <f>61/74865*100</f>
        <v>0.08147999733</v>
      </c>
      <c r="U14" s="1">
        <f>97/74865*100</f>
        <v>0.1295665531</v>
      </c>
      <c r="V14" s="5">
        <f>113/74865*100</f>
        <v>0.1509383557</v>
      </c>
      <c r="W14" s="1">
        <f>44/74865*100</f>
        <v>0.05877245709</v>
      </c>
      <c r="X14" s="5">
        <f>210/74865*100</f>
        <v>0.2805049088</v>
      </c>
      <c r="Y14" s="5">
        <f>20/74865*100</f>
        <v>0.02671475322</v>
      </c>
      <c r="Z14" s="1">
        <f>285/74865*100</f>
        <v>0.3806852334</v>
      </c>
      <c r="AA14" s="1">
        <f>24/74865*100</f>
        <v>0.03205770387</v>
      </c>
      <c r="AB14" s="5">
        <f>78/74865*100</f>
        <v>0.1041875376</v>
      </c>
      <c r="AC14" s="5">
        <f>171/74865*100</f>
        <v>0.2284111401</v>
      </c>
      <c r="AD14" s="1">
        <f>6/74865*100</f>
        <v>0.008014425967</v>
      </c>
      <c r="AE14" s="1">
        <f>39/74865*100</f>
        <v>0.05209376878</v>
      </c>
      <c r="AF14" s="5">
        <f>30/74865*100</f>
        <v>0.04007212983</v>
      </c>
      <c r="AG14" s="1">
        <f>666/74865*100</f>
        <v>0.8896012823</v>
      </c>
      <c r="AH14" s="5">
        <f>3/74865*100</f>
        <v>0.004007212983</v>
      </c>
      <c r="AI14" s="3">
        <f>10/74865*100</f>
        <v>0.01335737661</v>
      </c>
      <c r="AJ14" s="5">
        <v>0.0</v>
      </c>
      <c r="AK14" s="5">
        <f>41/74865*100</f>
        <v>0.05476524411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f>3/74865*100</f>
        <v>0.004007212983</v>
      </c>
      <c r="AR14" s="5">
        <v>0.0</v>
      </c>
      <c r="AS14" s="5">
        <v>0.0</v>
      </c>
      <c r="AT14" s="5">
        <v>0.0</v>
      </c>
      <c r="AU14" s="5">
        <v>0.0</v>
      </c>
      <c r="AV14" s="5">
        <f>17/74865*100</f>
        <v>0.02270754024</v>
      </c>
      <c r="AW14" s="5">
        <f>6/74865*100</f>
        <v>0.008014425967</v>
      </c>
      <c r="AX14" s="5">
        <v>0.0</v>
      </c>
      <c r="AY14" s="5">
        <v>0.0</v>
      </c>
      <c r="AZ14" s="5">
        <v>0.0</v>
      </c>
      <c r="BA14" s="5">
        <v>0.0</v>
      </c>
      <c r="BB14" s="5">
        <v>0.0</v>
      </c>
      <c r="BC14" s="5">
        <v>0.0</v>
      </c>
      <c r="BD14" s="5">
        <v>0.0</v>
      </c>
      <c r="BE14" s="5">
        <v>0.0</v>
      </c>
      <c r="BF14" s="5">
        <v>0.0</v>
      </c>
      <c r="BG14" s="5">
        <f>5/74865*100</f>
        <v>0.006678688306</v>
      </c>
      <c r="BH14" s="5">
        <v>0.0</v>
      </c>
      <c r="BI14" s="5">
        <v>0.0</v>
      </c>
      <c r="BJ14" s="5">
        <v>0.0</v>
      </c>
      <c r="BK14" s="5">
        <v>0.0</v>
      </c>
      <c r="BL14" s="5">
        <v>0.0</v>
      </c>
      <c r="BM14" s="7">
        <f t="shared" si="2"/>
        <v>100</v>
      </c>
      <c r="BN14" s="8"/>
    </row>
    <row r="15">
      <c r="A15" s="1" t="s">
        <v>78</v>
      </c>
      <c r="B15" s="1">
        <f>241/44336*100</f>
        <v>0.5435763262</v>
      </c>
      <c r="C15" s="2">
        <f>3883/44336*100</f>
        <v>8.758119812</v>
      </c>
      <c r="D15" s="2">
        <f>1530/44336*100</f>
        <v>3.450920245</v>
      </c>
      <c r="E15" s="2">
        <f>33945/44336*100</f>
        <v>76.56306388</v>
      </c>
      <c r="F15" s="1">
        <f>6/44336*100</f>
        <v>0.01353302057</v>
      </c>
      <c r="G15" s="1">
        <f>7/44336*100</f>
        <v>0.015788524</v>
      </c>
      <c r="H15" s="3">
        <f>1122/44336*100</f>
        <v>2.530674847</v>
      </c>
      <c r="I15" s="1">
        <v>0.0</v>
      </c>
      <c r="J15" s="1">
        <f>460/44336*100</f>
        <v>1.037531577</v>
      </c>
      <c r="K15" s="1">
        <f>1775/44336*100</f>
        <v>4.003518585</v>
      </c>
      <c r="L15" s="1">
        <f>41/44336*100</f>
        <v>0.09247564056</v>
      </c>
      <c r="M15" s="5">
        <f>2/44336*100</f>
        <v>0.004511006857</v>
      </c>
      <c r="N15" s="1">
        <f>182/44336*100</f>
        <v>0.410501624</v>
      </c>
      <c r="O15" s="1">
        <f>57/44336*100</f>
        <v>0.1285636954</v>
      </c>
      <c r="P15" s="1">
        <f>351/44336*100</f>
        <v>0.7916817034</v>
      </c>
      <c r="Q15" s="1">
        <f>145/44336*100</f>
        <v>0.3270479971</v>
      </c>
      <c r="R15" s="1">
        <f>17/44336*100</f>
        <v>0.03834355828</v>
      </c>
      <c r="S15" s="1">
        <f>7/44336*100</f>
        <v>0.015788524</v>
      </c>
      <c r="T15" s="1">
        <f>31/44336*100</f>
        <v>0.06992060628</v>
      </c>
      <c r="U15" s="1">
        <f>33/44336*100</f>
        <v>0.07443161314</v>
      </c>
      <c r="V15" s="5">
        <f>45/44336*100</f>
        <v>0.1014976543</v>
      </c>
      <c r="W15" s="1">
        <v>0.0</v>
      </c>
      <c r="X15" s="5">
        <f>156/44336*100</f>
        <v>0.3518585348</v>
      </c>
      <c r="Y15" s="5">
        <f>10/44336*100</f>
        <v>0.02255503428</v>
      </c>
      <c r="Z15" s="1">
        <f>15/44336*100</f>
        <v>0.03383255143</v>
      </c>
      <c r="AA15" s="1">
        <f>18/44336*100</f>
        <v>0.04059906171</v>
      </c>
      <c r="AB15" s="5">
        <f>15/44336*100</f>
        <v>0.03383255143</v>
      </c>
      <c r="AC15" s="5">
        <v>0.0</v>
      </c>
      <c r="AD15" s="7">
        <f>38/44336*100</f>
        <v>0.08570913028</v>
      </c>
      <c r="AE15" s="7">
        <f>36/44336*100</f>
        <v>0.08119812342</v>
      </c>
      <c r="AF15" s="5">
        <v>0.0</v>
      </c>
      <c r="AG15" s="7">
        <f>140/44336*100</f>
        <v>0.31577048</v>
      </c>
      <c r="AH15" s="5">
        <v>0.0</v>
      </c>
      <c r="AI15" s="9">
        <f>7/44336*100</f>
        <v>0.015788524</v>
      </c>
      <c r="AJ15" s="5">
        <v>0.0</v>
      </c>
      <c r="AK15" s="10">
        <f>14/44336*100</f>
        <v>0.031577048</v>
      </c>
      <c r="AL15" s="5">
        <v>0.0</v>
      </c>
      <c r="AM15" s="5">
        <v>0.0</v>
      </c>
      <c r="AN15" s="5">
        <v>0.0</v>
      </c>
      <c r="AO15" s="10">
        <f>7/44336*100</f>
        <v>0.015788524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  <c r="AZ15" s="5">
        <v>0.0</v>
      </c>
      <c r="BA15" s="5">
        <v>0.0</v>
      </c>
      <c r="BB15" s="5">
        <v>0.0</v>
      </c>
      <c r="BC15" s="5">
        <v>0.0</v>
      </c>
      <c r="BD15" s="5">
        <v>0.0</v>
      </c>
      <c r="BE15" s="5">
        <v>0.0</v>
      </c>
      <c r="BF15" s="5">
        <v>0.0</v>
      </c>
      <c r="BG15" s="5">
        <v>0.0</v>
      </c>
      <c r="BH15" s="5">
        <v>0.0</v>
      </c>
      <c r="BI15" s="5">
        <v>0.0</v>
      </c>
      <c r="BJ15" s="5">
        <v>0.0</v>
      </c>
      <c r="BK15" s="5">
        <v>0.0</v>
      </c>
      <c r="BL15" s="5">
        <v>0.0</v>
      </c>
      <c r="BM15" s="7">
        <f t="shared" si="2"/>
        <v>100</v>
      </c>
      <c r="BN15" s="8"/>
    </row>
    <row r="16">
      <c r="A16" s="1" t="s">
        <v>79</v>
      </c>
      <c r="B16" s="1">
        <f>449/51656*100</f>
        <v>0.8692117082</v>
      </c>
      <c r="C16" s="2">
        <f>4299/51656*100</f>
        <v>8.322363327</v>
      </c>
      <c r="D16" s="2">
        <f>3852/51656*100</f>
        <v>7.457023385</v>
      </c>
      <c r="E16" s="2">
        <f>37967/51656*100</f>
        <v>73.49969026</v>
      </c>
      <c r="F16" s="1">
        <f>6/51656*100</f>
        <v>0.01161530122</v>
      </c>
      <c r="G16" s="1">
        <f>29/51656*100</f>
        <v>0.05614062258</v>
      </c>
      <c r="H16" s="3">
        <f>1640/51656*100</f>
        <v>3.174849001</v>
      </c>
      <c r="I16" s="1">
        <v>0.0</v>
      </c>
      <c r="J16" s="1">
        <f>251/51656*100</f>
        <v>0.4859067678</v>
      </c>
      <c r="K16" s="1">
        <f>1376/51656*100</f>
        <v>2.663775747</v>
      </c>
      <c r="L16" s="1">
        <f>84/51656*100</f>
        <v>0.1626142171</v>
      </c>
      <c r="M16" s="5">
        <v>0.0</v>
      </c>
      <c r="N16" s="1">
        <f>139/51656*100</f>
        <v>0.2690878117</v>
      </c>
      <c r="O16" s="1">
        <f>63/51656*100</f>
        <v>0.1219606628</v>
      </c>
      <c r="P16" s="1">
        <f>889/51656*100</f>
        <v>1.721000465</v>
      </c>
      <c r="Q16" s="1">
        <f>58/51656*100</f>
        <v>0.1122812452</v>
      </c>
      <c r="R16" s="1">
        <f>27/51656*100</f>
        <v>0.05226885551</v>
      </c>
      <c r="S16" s="1">
        <f>29/51656*100</f>
        <v>0.05614062258</v>
      </c>
      <c r="T16" s="1">
        <f>43/51656*100</f>
        <v>0.0832429921</v>
      </c>
      <c r="U16" s="1">
        <f>40/51656*100</f>
        <v>0.07743534149</v>
      </c>
      <c r="V16" s="10">
        <f>47/51656*100</f>
        <v>0.09098652625</v>
      </c>
      <c r="W16" s="7">
        <f>3/51656*100</f>
        <v>0.005807650612</v>
      </c>
      <c r="X16" s="10">
        <f>98/51656*100</f>
        <v>0.1897165867</v>
      </c>
      <c r="Y16" s="5">
        <f>13/51656*100</f>
        <v>0.02516648598</v>
      </c>
      <c r="Z16" s="1">
        <f>34/51656*100</f>
        <v>0.06582004027</v>
      </c>
      <c r="AA16" s="1">
        <f>19/51656*100</f>
        <v>0.03678178721</v>
      </c>
      <c r="AB16" s="5">
        <f>13/51656*100</f>
        <v>0.02516648598</v>
      </c>
      <c r="AC16" s="5">
        <v>0.0</v>
      </c>
      <c r="AD16" s="1">
        <f>33/51656*100</f>
        <v>0.06388415673</v>
      </c>
      <c r="AE16" s="1">
        <f>24/51656*100</f>
        <v>0.04646120489</v>
      </c>
      <c r="AF16" s="5">
        <v>0.0</v>
      </c>
      <c r="AG16" s="1">
        <f>99/51656*100</f>
        <v>0.1916524702</v>
      </c>
      <c r="AH16" s="5">
        <v>0.0</v>
      </c>
      <c r="AI16" s="1">
        <f>13/51656*100</f>
        <v>0.02516648598</v>
      </c>
      <c r="AJ16" s="5">
        <v>0.0</v>
      </c>
      <c r="AK16" s="5">
        <f>7/51656*100</f>
        <v>0.01355118476</v>
      </c>
      <c r="AL16" s="5">
        <v>0.0</v>
      </c>
      <c r="AM16" s="5">
        <v>0.0</v>
      </c>
      <c r="AN16" s="5">
        <v>0.0</v>
      </c>
      <c r="AO16" s="10">
        <f>7/51656*100</f>
        <v>0.01355118476</v>
      </c>
      <c r="AP16" s="5">
        <v>0.0</v>
      </c>
      <c r="AQ16" s="5">
        <v>0.0</v>
      </c>
      <c r="AR16" s="10">
        <f>2/51656*100</f>
        <v>0.003871767074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  <c r="AZ16" s="5">
        <v>0.0</v>
      </c>
      <c r="BA16" s="5">
        <v>0.0</v>
      </c>
      <c r="BB16" s="5">
        <v>0.0</v>
      </c>
      <c r="BC16" s="5">
        <v>0.0</v>
      </c>
      <c r="BD16" s="5">
        <v>0.0</v>
      </c>
      <c r="BE16" s="10">
        <f>3/51656*100</f>
        <v>0.005807650612</v>
      </c>
      <c r="BF16" s="5">
        <v>0.0</v>
      </c>
      <c r="BG16" s="5">
        <v>0.0</v>
      </c>
      <c r="BH16" s="5">
        <v>0.0</v>
      </c>
      <c r="BI16" s="5">
        <v>0.0</v>
      </c>
      <c r="BJ16" s="5">
        <v>0.0</v>
      </c>
      <c r="BK16" s="5">
        <v>0.0</v>
      </c>
      <c r="BL16" s="5">
        <v>0.0</v>
      </c>
      <c r="BM16" s="7">
        <f t="shared" si="2"/>
        <v>100</v>
      </c>
      <c r="BN16" s="8"/>
    </row>
    <row r="17">
      <c r="A17" s="1" t="s">
        <v>80</v>
      </c>
      <c r="B17" s="1">
        <f>131/24431*100</f>
        <v>0.5362040031</v>
      </c>
      <c r="C17" s="2">
        <f>4489/24431*100</f>
        <v>18.37419672</v>
      </c>
      <c r="D17" s="2">
        <f>3753/24431*100</f>
        <v>15.36163072</v>
      </c>
      <c r="E17" s="2">
        <f>15061/24431*100</f>
        <v>61.64708772</v>
      </c>
      <c r="F17" s="1">
        <f>2/24431*100</f>
        <v>0.008186320658</v>
      </c>
      <c r="G17" s="7">
        <f>15/24431*100</f>
        <v>0.06139740494</v>
      </c>
      <c r="H17" s="9">
        <f>87/24431*100</f>
        <v>0.3561049486</v>
      </c>
      <c r="I17" s="1">
        <v>0.0</v>
      </c>
      <c r="J17" s="7">
        <f>64/24431*100</f>
        <v>0.2619622611</v>
      </c>
      <c r="K17" s="7">
        <f>190/24431*100</f>
        <v>0.7777004625</v>
      </c>
      <c r="L17" s="7">
        <f>70/24431*100</f>
        <v>0.286521223</v>
      </c>
      <c r="M17" s="10">
        <f>20/24431*100</f>
        <v>0.08186320658</v>
      </c>
      <c r="N17" s="7">
        <f>55/24431*100</f>
        <v>0.2251238181</v>
      </c>
      <c r="O17" s="7">
        <f>8/24431*100</f>
        <v>0.03274528263</v>
      </c>
      <c r="P17" s="7">
        <f>106/24431*100</f>
        <v>0.4338749949</v>
      </c>
      <c r="Q17" s="7">
        <f>2/24431*100</f>
        <v>0.008186320658</v>
      </c>
      <c r="R17" s="7">
        <f>48/24431*100</f>
        <v>0.1964716958</v>
      </c>
      <c r="S17" s="7">
        <f>12/24431*100</f>
        <v>0.04911792395</v>
      </c>
      <c r="T17" s="7">
        <f>7/24431*100</f>
        <v>0.0286521223</v>
      </c>
      <c r="U17" s="7">
        <f>54/24431*100</f>
        <v>0.2210306578</v>
      </c>
      <c r="V17" s="10">
        <f>8/24431*100</f>
        <v>0.03274528263</v>
      </c>
      <c r="W17" s="7">
        <f t="shared" ref="W17:X17" si="5">3/24431*100</f>
        <v>0.01227948099</v>
      </c>
      <c r="X17" s="10">
        <f t="shared" si="5"/>
        <v>0.01227948099</v>
      </c>
      <c r="Y17" s="5">
        <v>0.0</v>
      </c>
      <c r="Z17" s="7">
        <f>54/24431*100</f>
        <v>0.2210306578</v>
      </c>
      <c r="AA17" s="7">
        <f>29/24431*100</f>
        <v>0.1187016495</v>
      </c>
      <c r="AB17" s="10">
        <f>59/24431*100</f>
        <v>0.2414964594</v>
      </c>
      <c r="AC17" s="10">
        <f>4/24431*100</f>
        <v>0.01637264132</v>
      </c>
      <c r="AD17" s="7">
        <f>14/24431*100</f>
        <v>0.05730424461</v>
      </c>
      <c r="AE17" s="7">
        <f>57/24431*100</f>
        <v>0.2333101388</v>
      </c>
      <c r="AF17" s="5">
        <v>0.0</v>
      </c>
      <c r="AG17" s="7">
        <f>14/24431*100</f>
        <v>0.05730424461</v>
      </c>
      <c r="AH17" s="10">
        <f>3/24431*100</f>
        <v>0.01227948099</v>
      </c>
      <c r="AI17" s="3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10">
        <f>5/24431*100</f>
        <v>0.02046580165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10">
        <f>4/24431*100</f>
        <v>0.01637264132</v>
      </c>
      <c r="AW17" s="5">
        <v>0.0</v>
      </c>
      <c r="AX17" s="5">
        <v>0.0</v>
      </c>
      <c r="AY17" s="5">
        <v>0.0</v>
      </c>
      <c r="AZ17" s="5">
        <v>0.0</v>
      </c>
      <c r="BA17" s="5">
        <v>0.0</v>
      </c>
      <c r="BB17" s="5">
        <v>0.0</v>
      </c>
      <c r="BC17" s="5">
        <v>0.0</v>
      </c>
      <c r="BD17" s="5">
        <v>0.0</v>
      </c>
      <c r="BE17" s="5">
        <v>0.0</v>
      </c>
      <c r="BF17" s="5">
        <v>0.0</v>
      </c>
      <c r="BG17" s="5">
        <v>0.0</v>
      </c>
      <c r="BH17" s="5">
        <v>0.0</v>
      </c>
      <c r="BI17" s="5">
        <v>0.0</v>
      </c>
      <c r="BJ17" s="5">
        <v>0.0</v>
      </c>
      <c r="BK17" s="5">
        <v>0.0</v>
      </c>
      <c r="BL17" s="5">
        <v>0.0</v>
      </c>
      <c r="BM17" s="7">
        <f t="shared" si="2"/>
        <v>100</v>
      </c>
      <c r="BN17" s="8"/>
    </row>
    <row r="18">
      <c r="A18" s="1" t="s">
        <v>81</v>
      </c>
      <c r="B18" s="1">
        <f>196/28491*100</f>
        <v>0.6879365414</v>
      </c>
      <c r="C18" s="2">
        <f>5428/28491*100</f>
        <v>19.05163034</v>
      </c>
      <c r="D18" s="2">
        <f>4125/28491*100</f>
        <v>14.47825629</v>
      </c>
      <c r="E18" s="2">
        <f>17552/28491*100</f>
        <v>61.60541926</v>
      </c>
      <c r="F18" s="1">
        <v>0.0</v>
      </c>
      <c r="G18" s="1">
        <f>9/28491*100</f>
        <v>0.03158892282</v>
      </c>
      <c r="H18" s="9">
        <f>102/28491*100</f>
        <v>0.3580077919</v>
      </c>
      <c r="I18" s="1">
        <v>0.0</v>
      </c>
      <c r="J18" s="7">
        <f>85/28491*100</f>
        <v>0.2983398266</v>
      </c>
      <c r="K18" s="1">
        <f>119/28491*100</f>
        <v>0.4176757573</v>
      </c>
      <c r="L18" s="7">
        <f>91/28491*100</f>
        <v>0.3193991085</v>
      </c>
      <c r="M18" s="10">
        <f>50/28491*100</f>
        <v>0.1754940157</v>
      </c>
      <c r="N18" s="7">
        <f>86/28491*100</f>
        <v>0.3018497069</v>
      </c>
      <c r="O18" s="7">
        <f>12/28491*100</f>
        <v>0.04211856376</v>
      </c>
      <c r="P18" s="1">
        <f>194/28491*100</f>
        <v>0.6809167807</v>
      </c>
      <c r="Q18" s="7">
        <f>2/28491*100</f>
        <v>0.007019760626</v>
      </c>
      <c r="R18" s="7">
        <f>57/28491*100</f>
        <v>0.2000631778</v>
      </c>
      <c r="S18" s="7">
        <f>31/28491*100</f>
        <v>0.1088062897</v>
      </c>
      <c r="T18" s="7">
        <f>8/28491*100</f>
        <v>0.0280790425</v>
      </c>
      <c r="U18" s="7">
        <f>52/28491*100</f>
        <v>0.1825137763</v>
      </c>
      <c r="V18" s="10">
        <f>9/28491*100</f>
        <v>0.03158892282</v>
      </c>
      <c r="W18" s="7">
        <f>2/28491*100</f>
        <v>0.007019760626</v>
      </c>
      <c r="X18" s="10">
        <f>7/28491*100</f>
        <v>0.02456916219</v>
      </c>
      <c r="Y18" s="10">
        <f>16/28491*100</f>
        <v>0.05615808501</v>
      </c>
      <c r="Z18" s="7">
        <f>42/28491*100</f>
        <v>0.1474149731</v>
      </c>
      <c r="AA18" s="7">
        <f>43/28491*100</f>
        <v>0.1509248535</v>
      </c>
      <c r="AB18" s="10">
        <f>97/28491*100</f>
        <v>0.3404583904</v>
      </c>
      <c r="AC18" s="10">
        <f>13/28491*100</f>
        <v>0.04562844407</v>
      </c>
      <c r="AD18" s="7">
        <f>8/28491*100</f>
        <v>0.0280790425</v>
      </c>
      <c r="AE18" s="7">
        <f>34/28491*100</f>
        <v>0.1193359306</v>
      </c>
      <c r="AF18" s="5">
        <v>0.0</v>
      </c>
      <c r="AG18" s="7">
        <f>10/28491*100</f>
        <v>0.03509880313</v>
      </c>
      <c r="AH18" s="5">
        <v>0.0</v>
      </c>
      <c r="AI18" s="3">
        <v>0.0</v>
      </c>
      <c r="AJ18" s="5">
        <v>0.0</v>
      </c>
      <c r="AK18" s="10">
        <f>3/28491*100</f>
        <v>0.01052964094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10">
        <f>8/28491*100</f>
        <v>0.0280790425</v>
      </c>
      <c r="AW18" s="5">
        <v>0.0</v>
      </c>
      <c r="AX18" s="5">
        <v>0.0</v>
      </c>
      <c r="AY18" s="5">
        <v>0.0</v>
      </c>
      <c r="AZ18" s="5">
        <v>0.0</v>
      </c>
      <c r="BA18" s="5">
        <v>0.0</v>
      </c>
      <c r="BB18" s="5">
        <v>0.0</v>
      </c>
      <c r="BC18" s="5">
        <v>0.0</v>
      </c>
      <c r="BD18" s="5">
        <v>0.0</v>
      </c>
      <c r="BE18" s="5">
        <v>0.0</v>
      </c>
      <c r="BF18" s="5">
        <v>0.0</v>
      </c>
      <c r="BG18" s="5">
        <v>0.0</v>
      </c>
      <c r="BH18" s="5">
        <v>0.0</v>
      </c>
      <c r="BI18" s="5">
        <v>0.0</v>
      </c>
      <c r="BJ18" s="5">
        <v>0.0</v>
      </c>
      <c r="BK18" s="5">
        <v>0.0</v>
      </c>
      <c r="BL18" s="5">
        <v>0.0</v>
      </c>
      <c r="BM18" s="7">
        <f t="shared" si="2"/>
        <v>100</v>
      </c>
      <c r="BN18" s="8"/>
    </row>
    <row r="19">
      <c r="A19" s="1" t="s">
        <v>82</v>
      </c>
      <c r="B19" s="1">
        <f>8/5947*100</f>
        <v>0.1345216075</v>
      </c>
      <c r="C19" s="2">
        <f>164/5947*100</f>
        <v>2.757692954</v>
      </c>
      <c r="D19" s="2">
        <f>872/5947*100</f>
        <v>14.66285522</v>
      </c>
      <c r="E19" s="2">
        <f>4001/5947*100</f>
        <v>67.27761897</v>
      </c>
      <c r="F19" s="1">
        <v>0.0</v>
      </c>
      <c r="G19" s="1">
        <v>0.0</v>
      </c>
      <c r="H19" s="9">
        <f>59/5947*100</f>
        <v>0.9920968556</v>
      </c>
      <c r="I19" s="1">
        <v>0.0</v>
      </c>
      <c r="J19" s="7">
        <f>365/5947*100</f>
        <v>6.137548344</v>
      </c>
      <c r="K19" s="1">
        <f>265/5947*100</f>
        <v>4.45602825</v>
      </c>
      <c r="L19" s="7">
        <f>4/5947*100</f>
        <v>0.06726080377</v>
      </c>
      <c r="M19" s="5">
        <v>0.0</v>
      </c>
      <c r="N19" s="7">
        <f>73/5947*100</f>
        <v>1.227509669</v>
      </c>
      <c r="O19" s="1">
        <v>0.0</v>
      </c>
      <c r="P19" s="7">
        <f>49/5947*100</f>
        <v>0.8239448461</v>
      </c>
      <c r="Q19" s="7">
        <f>27/5947*100</f>
        <v>0.4540104254</v>
      </c>
      <c r="R19" s="7">
        <f>2/5947*100</f>
        <v>0.03363040188</v>
      </c>
      <c r="S19" s="1">
        <v>0.0</v>
      </c>
      <c r="T19" s="1">
        <v>0.0</v>
      </c>
      <c r="U19" s="7">
        <f>13/5947*100</f>
        <v>0.2185976122</v>
      </c>
      <c r="V19" s="5">
        <v>0.0</v>
      </c>
      <c r="W19" s="1">
        <v>0.0</v>
      </c>
      <c r="X19" s="5">
        <v>0.0</v>
      </c>
      <c r="Y19" s="5">
        <v>0.0</v>
      </c>
      <c r="Z19" s="7">
        <f>12/5947*100</f>
        <v>0.2017824113</v>
      </c>
      <c r="AA19" s="1">
        <v>0.0</v>
      </c>
      <c r="AB19" s="10">
        <f>4/5947*100</f>
        <v>0.06726080377</v>
      </c>
      <c r="AC19" s="5">
        <v>0.0</v>
      </c>
      <c r="AD19" s="7">
        <f>3/5947*100</f>
        <v>0.05044560282</v>
      </c>
      <c r="AE19" s="7">
        <f>15/5947*100</f>
        <v>0.2522280141</v>
      </c>
      <c r="AF19" s="5">
        <v>0.0</v>
      </c>
      <c r="AG19" s="1">
        <v>0.0</v>
      </c>
      <c r="AH19" s="5">
        <v>0.0</v>
      </c>
      <c r="AI19" s="9">
        <f>9/5947*100</f>
        <v>0.1513368085</v>
      </c>
      <c r="AJ19" s="5">
        <v>0.0</v>
      </c>
      <c r="AK19" s="10">
        <f>2/5947*100</f>
        <v>0.03363040188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  <c r="AZ19" s="5">
        <v>0.0</v>
      </c>
      <c r="BA19" s="5">
        <v>0.0</v>
      </c>
      <c r="BB19" s="5">
        <v>0.0</v>
      </c>
      <c r="BC19" s="5">
        <v>0.0</v>
      </c>
      <c r="BD19" s="5">
        <v>0.0</v>
      </c>
      <c r="BE19" s="5">
        <v>0.0</v>
      </c>
      <c r="BF19" s="5">
        <v>0.0</v>
      </c>
      <c r="BG19" s="5">
        <v>0.0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7">
        <f t="shared" si="2"/>
        <v>100</v>
      </c>
      <c r="BN19" s="8"/>
    </row>
    <row r="20">
      <c r="A20" s="1" t="s">
        <v>83</v>
      </c>
      <c r="B20" s="1">
        <f>80/32757*100</f>
        <v>0.2442226089</v>
      </c>
      <c r="C20" s="2">
        <f>4376/32757*100</f>
        <v>13.35897671</v>
      </c>
      <c r="D20" s="2">
        <f>2138/32757*100</f>
        <v>6.526849223</v>
      </c>
      <c r="E20" s="2">
        <f>20976/32757*100</f>
        <v>64.03516806</v>
      </c>
      <c r="F20" s="1">
        <v>0.0</v>
      </c>
      <c r="G20" s="7">
        <f>11/32757*100</f>
        <v>0.03358060872</v>
      </c>
      <c r="H20" s="9">
        <f>903/32757*100</f>
        <v>2.756662698</v>
      </c>
      <c r="I20" s="1">
        <v>0.0</v>
      </c>
      <c r="J20" s="1">
        <f>3005/32757*100</f>
        <v>9.173611747</v>
      </c>
      <c r="K20" s="1">
        <f>299/32757*100</f>
        <v>0.9127820008</v>
      </c>
      <c r="L20" s="7">
        <f>12/32757*100</f>
        <v>0.03663339134</v>
      </c>
      <c r="M20" s="5">
        <v>0.0</v>
      </c>
      <c r="N20" s="7">
        <f>219/32757*100</f>
        <v>0.6685593919</v>
      </c>
      <c r="O20" s="7">
        <f>16/32757*100</f>
        <v>0.04884452178</v>
      </c>
      <c r="P20" s="1">
        <f>328/32757*100</f>
        <v>1.001312697</v>
      </c>
      <c r="Q20" s="7">
        <f>32/32757*100</f>
        <v>0.09768904356</v>
      </c>
      <c r="R20" s="7">
        <f>26/32757*100</f>
        <v>0.0793723479</v>
      </c>
      <c r="S20" s="7">
        <f>2/32757*100</f>
        <v>0.006105565223</v>
      </c>
      <c r="T20" s="7">
        <f>10/32757*100</f>
        <v>0.03052782611</v>
      </c>
      <c r="U20" s="7">
        <f>12/32757*100</f>
        <v>0.03663339134</v>
      </c>
      <c r="V20" s="10">
        <f>15/32757*100</f>
        <v>0.04579173917</v>
      </c>
      <c r="W20" s="1">
        <v>0.0</v>
      </c>
      <c r="X20" s="10">
        <f>11/32757*100</f>
        <v>0.03358060872</v>
      </c>
      <c r="Y20" s="5">
        <v>0.0</v>
      </c>
      <c r="Z20" s="7">
        <f>21/32757*100</f>
        <v>0.06410843484</v>
      </c>
      <c r="AA20" s="7">
        <f>19/32757*100</f>
        <v>0.05800286962</v>
      </c>
      <c r="AB20" s="10">
        <f>25/32757*100</f>
        <v>0.07631956528</v>
      </c>
      <c r="AC20" s="5">
        <v>0.0</v>
      </c>
      <c r="AD20" s="7">
        <f>63/32757*100</f>
        <v>0.1923253045</v>
      </c>
      <c r="AE20" s="7">
        <f>119/32757*100</f>
        <v>0.3632811308</v>
      </c>
      <c r="AF20" s="5">
        <v>0.0</v>
      </c>
      <c r="AG20" s="7">
        <f>24/32757*100</f>
        <v>0.07326678267</v>
      </c>
      <c r="AH20" s="5">
        <v>0.0</v>
      </c>
      <c r="AI20" s="9">
        <f>6/32757*100</f>
        <v>0.01831669567</v>
      </c>
      <c r="AJ20" s="5">
        <v>0.0</v>
      </c>
      <c r="AK20" s="10">
        <f>3/32757*100</f>
        <v>0.009158347834</v>
      </c>
      <c r="AL20" s="5">
        <v>0.0</v>
      </c>
      <c r="AM20" s="5">
        <v>0.0</v>
      </c>
      <c r="AN20" s="5">
        <v>0.0</v>
      </c>
      <c r="AO20" s="10">
        <f>6/32757*100</f>
        <v>0.01831669567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  <c r="AZ20" s="5">
        <v>0.0</v>
      </c>
      <c r="BA20" s="5">
        <v>0.0</v>
      </c>
      <c r="BB20" s="5">
        <v>0.0</v>
      </c>
      <c r="BC20" s="5">
        <v>0.0</v>
      </c>
      <c r="BD20" s="5">
        <v>0.0</v>
      </c>
      <c r="BE20" s="5">
        <v>0.0</v>
      </c>
      <c r="BF20" s="5">
        <v>0.0</v>
      </c>
      <c r="BG20" s="5">
        <v>0.0</v>
      </c>
      <c r="BH20" s="5">
        <v>0.0</v>
      </c>
      <c r="BI20" s="5">
        <v>0.0</v>
      </c>
      <c r="BJ20" s="5">
        <v>0.0</v>
      </c>
      <c r="BK20" s="5">
        <v>0.0</v>
      </c>
      <c r="BL20" s="5">
        <v>0.0</v>
      </c>
      <c r="BM20" s="7">
        <f t="shared" si="2"/>
        <v>100</v>
      </c>
      <c r="BN20" s="8"/>
    </row>
    <row r="21">
      <c r="A21" s="1" t="s">
        <v>84</v>
      </c>
      <c r="B21" s="1">
        <f>522/80003*100</f>
        <v>0.6524755322</v>
      </c>
      <c r="C21" s="2">
        <f>17123/80003*100</f>
        <v>21.40294739</v>
      </c>
      <c r="D21" s="2">
        <f>7844/80003*100</f>
        <v>9.804632326</v>
      </c>
      <c r="E21" s="2">
        <f>46607/80003*100</f>
        <v>58.25656538</v>
      </c>
      <c r="F21" s="7">
        <f>6/80003*100</f>
        <v>0.007499718761</v>
      </c>
      <c r="G21" s="7">
        <f>19/80003*100</f>
        <v>0.02374910941</v>
      </c>
      <c r="H21" s="3">
        <f>2605/80003*100</f>
        <v>3.256127895</v>
      </c>
      <c r="I21" s="1">
        <v>0.0</v>
      </c>
      <c r="J21" s="7">
        <f>604/80003*100</f>
        <v>0.7549716886</v>
      </c>
      <c r="K21" s="1">
        <f>1625/80003*100</f>
        <v>2.031173831</v>
      </c>
      <c r="L21" s="1">
        <f>89/80003*100</f>
        <v>0.1112458283</v>
      </c>
      <c r="M21" s="10">
        <f>16/80003*100</f>
        <v>0.01999925003</v>
      </c>
      <c r="N21" s="7">
        <f>335/80003*100</f>
        <v>0.4187342975</v>
      </c>
      <c r="O21" s="7">
        <f>211/80003*100</f>
        <v>0.2637401097</v>
      </c>
      <c r="P21" s="7">
        <f>653/80003*100</f>
        <v>0.8162193918</v>
      </c>
      <c r="Q21" s="7">
        <f>344/80003*100</f>
        <v>0.4299838756</v>
      </c>
      <c r="R21" s="7">
        <f>44/80003*100</f>
        <v>0.05499793758</v>
      </c>
      <c r="S21" s="7">
        <f>88/80003*100</f>
        <v>0.1099958752</v>
      </c>
      <c r="T21" s="7">
        <f>179/80003*100</f>
        <v>0.2237416097</v>
      </c>
      <c r="U21" s="7">
        <f>88/80003*100</f>
        <v>0.1099958752</v>
      </c>
      <c r="V21" s="10">
        <f>82/80003*100</f>
        <v>0.1024961564</v>
      </c>
      <c r="W21" s="7">
        <f>50/80003*100</f>
        <v>0.06249765634</v>
      </c>
      <c r="X21" s="10">
        <f>97/80003*100</f>
        <v>0.1212454533</v>
      </c>
      <c r="Y21" s="10">
        <f>95/80003*100</f>
        <v>0.118745547</v>
      </c>
      <c r="Z21" s="7">
        <f>71/80003*100</f>
        <v>0.088746672</v>
      </c>
      <c r="AA21" s="7">
        <f>60/80003*100</f>
        <v>0.07499718761</v>
      </c>
      <c r="AB21" s="5">
        <f>74/80003*100</f>
        <v>0.09249653138</v>
      </c>
      <c r="AC21" s="5">
        <f>42/80003*100</f>
        <v>0.05249803132</v>
      </c>
      <c r="AD21" s="7">
        <f>6/80003*100</f>
        <v>0.007499718761</v>
      </c>
      <c r="AE21" s="7">
        <f>46/80003*100</f>
        <v>0.05749784383</v>
      </c>
      <c r="AF21" s="10">
        <f>14/80003*100</f>
        <v>0.01749934377</v>
      </c>
      <c r="AG21" s="1">
        <f>294/80003*100</f>
        <v>0.3674862193</v>
      </c>
      <c r="AH21" s="10">
        <f>5/80003*100</f>
        <v>0.006249765634</v>
      </c>
      <c r="AI21" s="9">
        <f>25/80003*100</f>
        <v>0.03124882817</v>
      </c>
      <c r="AJ21" s="5">
        <v>0.0</v>
      </c>
      <c r="AK21" s="10">
        <f>10/80003*100</f>
        <v>0.01249953127</v>
      </c>
      <c r="AL21" s="10">
        <f>2/80003*100</f>
        <v>0.002499906254</v>
      </c>
      <c r="AM21" s="5">
        <v>0.0</v>
      </c>
      <c r="AN21" s="5">
        <v>0.0</v>
      </c>
      <c r="AO21" s="10">
        <f>12/80003*100</f>
        <v>0.01499943752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10">
        <f>12/80003*100</f>
        <v>0.01499943752</v>
      </c>
      <c r="AW21" s="5">
        <v>0.0</v>
      </c>
      <c r="AX21" s="5">
        <v>0.0</v>
      </c>
      <c r="AY21" s="5">
        <v>0.0</v>
      </c>
      <c r="AZ21" s="5">
        <v>0.0</v>
      </c>
      <c r="BA21" s="5">
        <v>0.0</v>
      </c>
      <c r="BB21" s="5">
        <v>0.0</v>
      </c>
      <c r="BC21" s="5">
        <v>0.0</v>
      </c>
      <c r="BD21" s="5">
        <v>0.0</v>
      </c>
      <c r="BE21" s="10">
        <f>4/80003*100</f>
        <v>0.004999812507</v>
      </c>
      <c r="BF21" s="5">
        <v>0.0</v>
      </c>
      <c r="BG21" s="5">
        <v>0.0</v>
      </c>
      <c r="BH21" s="5">
        <v>0.0</v>
      </c>
      <c r="BI21" s="5">
        <v>0.0</v>
      </c>
      <c r="BJ21" s="5">
        <v>0.0</v>
      </c>
      <c r="BK21" s="5">
        <v>0.0</v>
      </c>
      <c r="BL21" s="5">
        <v>0.0</v>
      </c>
      <c r="BM21" s="7">
        <f t="shared" si="2"/>
        <v>100</v>
      </c>
      <c r="BN21" s="8"/>
    </row>
    <row r="22">
      <c r="A22" s="1" t="s">
        <v>85</v>
      </c>
      <c r="B22" s="1">
        <f>285/59470*100</f>
        <v>0.4792332268</v>
      </c>
      <c r="C22" s="2">
        <f>11052/59470*100</f>
        <v>18.58416008</v>
      </c>
      <c r="D22" s="2">
        <f>6253/59470*100</f>
        <v>10.51454515</v>
      </c>
      <c r="E22" s="2">
        <f>38373/59470*100</f>
        <v>64.52497057</v>
      </c>
      <c r="F22" s="1">
        <f>9/59470*100</f>
        <v>0.01513368085</v>
      </c>
      <c r="G22" s="7">
        <f>10/59470*100</f>
        <v>0.01681520094</v>
      </c>
      <c r="H22" s="3">
        <f>1073/59470*100</f>
        <v>1.804271061</v>
      </c>
      <c r="I22" s="1">
        <v>0.0</v>
      </c>
      <c r="J22" s="1">
        <f>212/59470*100</f>
        <v>0.35648226</v>
      </c>
      <c r="K22" s="1">
        <f>727/59470*100</f>
        <v>1.222465108</v>
      </c>
      <c r="L22" s="7">
        <f>76/59470*100</f>
        <v>0.1277955272</v>
      </c>
      <c r="M22" s="10">
        <f>12/59470*100</f>
        <v>0.02017824113</v>
      </c>
      <c r="N22" s="1">
        <f>145/59470*100</f>
        <v>0.2438204137</v>
      </c>
      <c r="O22" s="1">
        <f>130/59470*100</f>
        <v>0.2185976122</v>
      </c>
      <c r="P22" s="1">
        <f>235/59470*100</f>
        <v>0.3951572221</v>
      </c>
      <c r="Q22" s="1">
        <f>164/59470*100</f>
        <v>0.2757692954</v>
      </c>
      <c r="R22" s="7">
        <f>10/59470*100</f>
        <v>0.01681520094</v>
      </c>
      <c r="S22" s="7">
        <f>57/59470*100</f>
        <v>0.09584664537</v>
      </c>
      <c r="T22" s="7">
        <f>96/59470*100</f>
        <v>0.161425929</v>
      </c>
      <c r="U22" s="7">
        <f>64/59470*100</f>
        <v>0.107617286</v>
      </c>
      <c r="V22" s="10">
        <f>74/59470*100</f>
        <v>0.124432487</v>
      </c>
      <c r="W22" s="7">
        <f>16/59470*100</f>
        <v>0.02690432151</v>
      </c>
      <c r="X22" s="10">
        <f>67/59470*100</f>
        <v>0.1126618463</v>
      </c>
      <c r="Y22" s="10">
        <f>68/59470*100</f>
        <v>0.1143433664</v>
      </c>
      <c r="Z22" s="7">
        <f>64/59470*100</f>
        <v>0.107617286</v>
      </c>
      <c r="AA22" s="7">
        <f>20/59470*100</f>
        <v>0.03363040188</v>
      </c>
      <c r="AB22" s="10">
        <f>37/59470*100</f>
        <v>0.06221624348</v>
      </c>
      <c r="AC22" s="10">
        <f>15/59470*100</f>
        <v>0.02522280141</v>
      </c>
      <c r="AD22" s="7">
        <f>8/59470*100</f>
        <v>0.01345216075</v>
      </c>
      <c r="AE22" s="7">
        <f>25/59470*100</f>
        <v>0.04203800235</v>
      </c>
      <c r="AF22" s="10">
        <f>6/59470*100</f>
        <v>0.01008912056</v>
      </c>
      <c r="AG22" s="7">
        <f>70/59470*100</f>
        <v>0.1177064066</v>
      </c>
      <c r="AH22" s="5">
        <v>0.0</v>
      </c>
      <c r="AI22" s="9">
        <f>13/59470*100</f>
        <v>0.02185976122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0.0</v>
      </c>
      <c r="BA22" s="5">
        <v>0.0</v>
      </c>
      <c r="BB22" s="5">
        <v>0.0</v>
      </c>
      <c r="BC22" s="5">
        <v>0.0</v>
      </c>
      <c r="BD22" s="5">
        <v>0.0</v>
      </c>
      <c r="BE22" s="5">
        <f>4/59470*100</f>
        <v>0.006726080377</v>
      </c>
      <c r="BF22" s="5">
        <v>0.0</v>
      </c>
      <c r="BG22" s="5">
        <v>0.0</v>
      </c>
      <c r="BH22" s="5">
        <v>0.0</v>
      </c>
      <c r="BI22" s="5">
        <v>0.0</v>
      </c>
      <c r="BJ22" s="5">
        <v>0.0</v>
      </c>
      <c r="BK22" s="5">
        <v>0.0</v>
      </c>
      <c r="BL22" s="5">
        <v>0.0</v>
      </c>
      <c r="BM22" s="7">
        <f t="shared" si="2"/>
        <v>100</v>
      </c>
      <c r="BN22" s="8"/>
    </row>
    <row r="23">
      <c r="A23" s="1" t="s">
        <v>86</v>
      </c>
      <c r="B23" s="1">
        <f>234/90605*100</f>
        <v>0.2582638927</v>
      </c>
      <c r="C23" s="2">
        <f>30178/90605*100</f>
        <v>33.30721263</v>
      </c>
      <c r="D23" s="2">
        <f>15267/90605*100</f>
        <v>16.85006346</v>
      </c>
      <c r="E23" s="2">
        <f>41481/90605*100</f>
        <v>45.7822416</v>
      </c>
      <c r="F23" s="1">
        <f>12/90605*100</f>
        <v>0.01324430219</v>
      </c>
      <c r="G23" s="1">
        <f>8/90605*100</f>
        <v>0.008829534794</v>
      </c>
      <c r="H23" s="3">
        <f>493/90605*100</f>
        <v>0.5441200817</v>
      </c>
      <c r="I23" s="1">
        <v>0.0</v>
      </c>
      <c r="J23" s="7">
        <f>101/90605*100</f>
        <v>0.1114728768</v>
      </c>
      <c r="K23" s="1">
        <f>1873/90605*100</f>
        <v>2.067214834</v>
      </c>
      <c r="L23" s="1">
        <f>9/90605*100</f>
        <v>0.009933226643</v>
      </c>
      <c r="M23" s="10">
        <f>10/90605*100</f>
        <v>0.01103691849</v>
      </c>
      <c r="N23" s="7">
        <f>78/90605*100</f>
        <v>0.08608796424</v>
      </c>
      <c r="O23" s="7">
        <f>22/90605*100</f>
        <v>0.02428122068</v>
      </c>
      <c r="P23" s="7">
        <f>90/90605*100</f>
        <v>0.09933226643</v>
      </c>
      <c r="Q23" s="1">
        <f>2/90605*100</f>
        <v>0.002207383698</v>
      </c>
      <c r="R23" s="7">
        <f>47/90605*100</f>
        <v>0.05187351691</v>
      </c>
      <c r="S23" s="7">
        <f>46/90605*100</f>
        <v>0.05076982506</v>
      </c>
      <c r="T23" s="7">
        <f>88/90605*100</f>
        <v>0.09712488273</v>
      </c>
      <c r="U23" s="7">
        <f>16/90605*100</f>
        <v>0.01765906959</v>
      </c>
      <c r="V23" s="10">
        <f>25/90605*100</f>
        <v>0.02759229623</v>
      </c>
      <c r="W23" s="7">
        <f>85/90605*100</f>
        <v>0.09381380719</v>
      </c>
      <c r="X23" s="10">
        <f>8/90605*100</f>
        <v>0.008829534794</v>
      </c>
      <c r="Y23" s="10">
        <f>9/90605*100</f>
        <v>0.009933226643</v>
      </c>
      <c r="Z23" s="1">
        <f>154/90605*100</f>
        <v>0.1699685448</v>
      </c>
      <c r="AA23" s="7">
        <f>4/90605*100</f>
        <v>0.004414767397</v>
      </c>
      <c r="AB23" s="10">
        <f>3/90605*100</f>
        <v>0.003311075548</v>
      </c>
      <c r="AC23" s="10">
        <f>10/90605*100</f>
        <v>0.01103691849</v>
      </c>
      <c r="AD23" s="7">
        <f>11/90605*100</f>
        <v>0.01214061034</v>
      </c>
      <c r="AE23" s="7">
        <f>29/90605*100</f>
        <v>0.03200706363</v>
      </c>
      <c r="AF23" s="10">
        <f>2/90605*100</f>
        <v>0.002207383698</v>
      </c>
      <c r="AG23" s="1">
        <f>50/90605*100</f>
        <v>0.05518459246</v>
      </c>
      <c r="AH23" s="5">
        <v>0.0</v>
      </c>
      <c r="AI23" s="9">
        <f>9/90605*100</f>
        <v>0.009933226643</v>
      </c>
      <c r="AJ23" s="5">
        <v>0.0</v>
      </c>
      <c r="AK23" s="10">
        <f>134/90605*100</f>
        <v>0.1478947078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10">
        <f>2/90605*100</f>
        <v>0.002207383698</v>
      </c>
      <c r="AW23" s="10">
        <f>4/90605*100</f>
        <v>0.004414767397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10">
        <f>11/90605*100</f>
        <v>0.01214061034</v>
      </c>
      <c r="BH23" s="5">
        <v>0.0</v>
      </c>
      <c r="BI23" s="5">
        <v>0.0</v>
      </c>
      <c r="BJ23" s="5">
        <v>0.0</v>
      </c>
      <c r="BK23" s="5">
        <v>0.0</v>
      </c>
      <c r="BL23" s="5">
        <v>0.0</v>
      </c>
      <c r="BM23" s="7">
        <f t="shared" si="2"/>
        <v>100</v>
      </c>
      <c r="BN23" s="8"/>
    </row>
    <row r="24">
      <c r="A24" s="1" t="s">
        <v>87</v>
      </c>
      <c r="B24" s="1">
        <f>265/79441*100</f>
        <v>0.3335808965</v>
      </c>
      <c r="C24" s="2">
        <f>25449/79441*100</f>
        <v>32.03509523</v>
      </c>
      <c r="D24" s="2">
        <f>14854/79441*100</f>
        <v>18.69815335</v>
      </c>
      <c r="E24" s="2">
        <f>35370/79441*100</f>
        <v>44.52360872</v>
      </c>
      <c r="F24" s="7">
        <f>11/79441*100</f>
        <v>0.01384675419</v>
      </c>
      <c r="G24" s="7">
        <f>14/79441*100</f>
        <v>0.0176231417</v>
      </c>
      <c r="H24" s="3">
        <f>581/79441*100</f>
        <v>0.7313603807</v>
      </c>
      <c r="I24" s="1">
        <v>0.0</v>
      </c>
      <c r="J24" s="7">
        <f>138/79441*100</f>
        <v>0.1737138254</v>
      </c>
      <c r="K24" s="1">
        <f>1600/79441*100</f>
        <v>2.014073337</v>
      </c>
      <c r="L24" s="7">
        <f>12/79441*100</f>
        <v>0.01510555003</v>
      </c>
      <c r="M24" s="5">
        <v>0.0</v>
      </c>
      <c r="N24" s="7">
        <f>96/79441*100</f>
        <v>0.1208444002</v>
      </c>
      <c r="O24" s="7">
        <f>320/79441*100</f>
        <v>0.4028146675</v>
      </c>
      <c r="P24" s="7">
        <f>69/79441*100</f>
        <v>0.08685691268</v>
      </c>
      <c r="Q24" s="7">
        <f>23/79441*100</f>
        <v>0.02895230423</v>
      </c>
      <c r="R24" s="7">
        <f>47/79441*100</f>
        <v>0.05916340429</v>
      </c>
      <c r="S24" s="7">
        <f>42/79441*100</f>
        <v>0.05286942511</v>
      </c>
      <c r="T24" s="7">
        <f>62/79441*100</f>
        <v>0.07804534183</v>
      </c>
      <c r="U24" s="7">
        <f>4/79441*100</f>
        <v>0.005035183344</v>
      </c>
      <c r="V24" s="10">
        <f>23/79441*100</f>
        <v>0.02895230423</v>
      </c>
      <c r="W24" s="7">
        <f>95/79441*100</f>
        <v>0.1195856044</v>
      </c>
      <c r="X24" s="5">
        <v>0.0</v>
      </c>
      <c r="Y24" s="10">
        <f>8/79441*100</f>
        <v>0.01007036669</v>
      </c>
      <c r="Z24" s="7">
        <f>59/79441*100</f>
        <v>0.07426895432</v>
      </c>
      <c r="AA24" s="7">
        <f>4/79441*100</f>
        <v>0.005035183344</v>
      </c>
      <c r="AB24" s="10">
        <f>6/79441*100</f>
        <v>0.007552775015</v>
      </c>
      <c r="AC24" s="10">
        <f>4/79441*100</f>
        <v>0.005035183344</v>
      </c>
      <c r="AD24" s="7">
        <f>23/79441*100</f>
        <v>0.02895230423</v>
      </c>
      <c r="AE24" s="7">
        <f>8/79441*100</f>
        <v>0.01007036669</v>
      </c>
      <c r="AF24" s="5">
        <v>0.0</v>
      </c>
      <c r="AG24" s="7">
        <f>45/79441*100</f>
        <v>0.05664581262</v>
      </c>
      <c r="AH24" s="5">
        <v>0.0</v>
      </c>
      <c r="AI24" s="9">
        <f>14/79441*100</f>
        <v>0.0176231417</v>
      </c>
      <c r="AJ24" s="5">
        <v>0.0</v>
      </c>
      <c r="AK24" s="10">
        <f>172/79441*100</f>
        <v>0.2165128838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10">
        <f>4/79441*100</f>
        <v>0.005035183344</v>
      </c>
      <c r="AX24" s="5">
        <v>0.0</v>
      </c>
      <c r="AY24" s="5">
        <v>0.0</v>
      </c>
      <c r="AZ24" s="5">
        <v>0.0</v>
      </c>
      <c r="BA24" s="5">
        <v>0.0</v>
      </c>
      <c r="BB24" s="5">
        <v>0.0</v>
      </c>
      <c r="BC24" s="5">
        <v>0.0</v>
      </c>
      <c r="BD24" s="5">
        <v>0.0</v>
      </c>
      <c r="BE24" s="5">
        <v>0.0</v>
      </c>
      <c r="BF24" s="5">
        <v>0.0</v>
      </c>
      <c r="BG24" s="10">
        <f>19/79441*100</f>
        <v>0.02391712088</v>
      </c>
      <c r="BH24" s="5">
        <v>0.0</v>
      </c>
      <c r="BI24" s="5">
        <v>0.0</v>
      </c>
      <c r="BJ24" s="5">
        <v>0.0</v>
      </c>
      <c r="BK24" s="5">
        <v>0.0</v>
      </c>
      <c r="BL24" s="5">
        <v>0.0</v>
      </c>
      <c r="BM24" s="7">
        <f t="shared" si="2"/>
        <v>100</v>
      </c>
      <c r="BN24" s="8"/>
    </row>
    <row r="25">
      <c r="A25" s="1" t="s">
        <v>88</v>
      </c>
      <c r="B25" s="1">
        <f>511/62901*100</f>
        <v>0.8123877204</v>
      </c>
      <c r="C25" s="2">
        <f>12446/62901*100</f>
        <v>19.78664886</v>
      </c>
      <c r="D25" s="2">
        <f>11068/62901*100</f>
        <v>17.59590468</v>
      </c>
      <c r="E25" s="2">
        <f>35190/62901*100</f>
        <v>55.94505652</v>
      </c>
      <c r="F25" s="7">
        <f>10/62901*100</f>
        <v>0.01589799844</v>
      </c>
      <c r="G25" s="7">
        <f>16/62901*100</f>
        <v>0.02543679751</v>
      </c>
      <c r="H25" s="3">
        <f>771/62901*100</f>
        <v>1.22573568</v>
      </c>
      <c r="I25" s="1">
        <v>0.0</v>
      </c>
      <c r="J25" s="1">
        <f>147/62901*100</f>
        <v>0.2337005771</v>
      </c>
      <c r="K25" s="1">
        <f>547/62901*100</f>
        <v>0.8696205148</v>
      </c>
      <c r="L25" s="7">
        <f>67/62901*100</f>
        <v>0.1065165896</v>
      </c>
      <c r="M25" s="10">
        <f>30/62901*100</f>
        <v>0.04769399533</v>
      </c>
      <c r="N25" s="7">
        <f>169/62901*100</f>
        <v>0.2686761737</v>
      </c>
      <c r="O25" s="1">
        <f>180/62901*100</f>
        <v>0.286163972</v>
      </c>
      <c r="P25" s="1">
        <f>644/62901*100</f>
        <v>1.0238311</v>
      </c>
      <c r="Q25" s="1">
        <f>168/62901*100</f>
        <v>0.2670863738</v>
      </c>
      <c r="R25" s="7">
        <f>43/62901*100</f>
        <v>0.0683613933</v>
      </c>
      <c r="S25" s="7">
        <f>75/62901*100</f>
        <v>0.1192349883</v>
      </c>
      <c r="T25" s="7">
        <f>195/62901*100</f>
        <v>0.3100109696</v>
      </c>
      <c r="U25" s="1">
        <f>84/62901*100</f>
        <v>0.1335431869</v>
      </c>
      <c r="V25" s="10">
        <f>90/62901*100</f>
        <v>0.143081986</v>
      </c>
      <c r="W25" s="7">
        <f>33/62901*100</f>
        <v>0.05246339486</v>
      </c>
      <c r="X25" s="10">
        <f>58/62901*100</f>
        <v>0.09220839096</v>
      </c>
      <c r="Y25" s="10">
        <f>56/62901*100</f>
        <v>0.08902879128</v>
      </c>
      <c r="Z25" s="7">
        <f>84/62901*100</f>
        <v>0.1335431869</v>
      </c>
      <c r="AA25" s="7">
        <f>28/62901*100</f>
        <v>0.04451439564</v>
      </c>
      <c r="AB25" s="10">
        <f>17/62901*100</f>
        <v>0.02702659735</v>
      </c>
      <c r="AC25" s="10">
        <f>37/62901*100</f>
        <v>0.05882259424</v>
      </c>
      <c r="AD25" s="7">
        <f>5/62901*100</f>
        <v>0.007948999221</v>
      </c>
      <c r="AE25" s="7">
        <f>10/62901*100</f>
        <v>0.01589799844</v>
      </c>
      <c r="AF25" s="5">
        <f>13/62901*100</f>
        <v>0.02066739797</v>
      </c>
      <c r="AG25" s="7">
        <f>86/62901*100</f>
        <v>0.1367227866</v>
      </c>
      <c r="AH25" s="5">
        <v>0.0</v>
      </c>
      <c r="AI25" s="3">
        <v>0.0</v>
      </c>
      <c r="AJ25" s="10">
        <f t="shared" ref="AJ25:AK25" si="6">3/62901*100</f>
        <v>0.004769399533</v>
      </c>
      <c r="AK25" s="10">
        <f t="shared" si="6"/>
        <v>0.004769399533</v>
      </c>
      <c r="AL25" s="5">
        <v>0.0</v>
      </c>
      <c r="AM25" s="5">
        <v>0.0</v>
      </c>
      <c r="AN25" s="5">
        <v>0.0</v>
      </c>
      <c r="AO25" s="10">
        <f>5/62901*100</f>
        <v>0.007948999221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10">
        <f>2/62901*100</f>
        <v>0.003179599688</v>
      </c>
      <c r="AZ25" s="5">
        <v>0.0</v>
      </c>
      <c r="BA25" s="5">
        <v>0.0</v>
      </c>
      <c r="BB25" s="5">
        <v>0.0</v>
      </c>
      <c r="BC25" s="5">
        <v>0.0</v>
      </c>
      <c r="BD25" s="5">
        <v>0.0</v>
      </c>
      <c r="BE25" s="10">
        <f>7/62901*100</f>
        <v>0.01112859891</v>
      </c>
      <c r="BF25" s="5">
        <v>0.0</v>
      </c>
      <c r="BG25" s="10">
        <f>3/62901*100</f>
        <v>0.004769399533</v>
      </c>
      <c r="BH25" s="5">
        <v>0.0</v>
      </c>
      <c r="BI25" s="5">
        <v>0.0</v>
      </c>
      <c r="BJ25" s="5">
        <v>0.0</v>
      </c>
      <c r="BK25" s="5">
        <v>0.0</v>
      </c>
      <c r="BL25" s="5">
        <v>0.0</v>
      </c>
      <c r="BM25" s="7">
        <f t="shared" si="2"/>
        <v>100</v>
      </c>
      <c r="BN25" s="8"/>
    </row>
    <row r="26">
      <c r="A26" s="1" t="s">
        <v>89</v>
      </c>
      <c r="B26" s="1">
        <f>1073/82538*100</f>
        <v>1.300007269</v>
      </c>
      <c r="C26" s="2">
        <f>18286/82538*100</f>
        <v>22.15464392</v>
      </c>
      <c r="D26" s="2">
        <f>14930/82538*100</f>
        <v>18.08863796</v>
      </c>
      <c r="E26" s="2">
        <f>44229/82538*100</f>
        <v>53.58622695</v>
      </c>
      <c r="F26" s="1">
        <f>14/82538*100</f>
        <v>0.01696188422</v>
      </c>
      <c r="G26" s="1">
        <f>25/82538*100</f>
        <v>0.03028907897</v>
      </c>
      <c r="H26" s="3">
        <f>877/82538*100</f>
        <v>1.06254089</v>
      </c>
      <c r="I26" s="1">
        <v>0.0</v>
      </c>
      <c r="J26" s="7">
        <f>284/82538*100</f>
        <v>0.3440839371</v>
      </c>
      <c r="K26" s="1">
        <f>564/82538*100</f>
        <v>0.6833216216</v>
      </c>
      <c r="L26" s="7">
        <f>77/82538*100</f>
        <v>0.09329036323</v>
      </c>
      <c r="M26" s="10">
        <f>16/82538*100</f>
        <v>0.01938501054</v>
      </c>
      <c r="N26" s="7">
        <f>126/82538*100</f>
        <v>0.152656958</v>
      </c>
      <c r="O26" s="7">
        <f>212/82538*100</f>
        <v>0.2568513897</v>
      </c>
      <c r="P26" s="1">
        <f>662/82538*100</f>
        <v>0.8020548111</v>
      </c>
      <c r="Q26" s="1">
        <f>152/82538*100</f>
        <v>0.1841576001</v>
      </c>
      <c r="R26" s="7">
        <f>56/82538*100</f>
        <v>0.06784753689</v>
      </c>
      <c r="S26" s="7">
        <f>132/82538*100</f>
        <v>0.159926337</v>
      </c>
      <c r="T26" s="7">
        <f>121/82538*100</f>
        <v>0.1465991422</v>
      </c>
      <c r="U26" s="7">
        <f>122/82538*100</f>
        <v>0.1478107054</v>
      </c>
      <c r="V26" s="10">
        <f>73/82538*100</f>
        <v>0.08844411059</v>
      </c>
      <c r="W26" s="7">
        <f>46/82538*100</f>
        <v>0.0557319053</v>
      </c>
      <c r="X26" s="10">
        <f>60/82538*100</f>
        <v>0.07269378953</v>
      </c>
      <c r="Y26" s="10">
        <f>75/82538*100</f>
        <v>0.09086723691</v>
      </c>
      <c r="Z26" s="7">
        <f>88/82538*100</f>
        <v>0.106617558</v>
      </c>
      <c r="AA26" s="7">
        <f>15/82538*100</f>
        <v>0.01817344738</v>
      </c>
      <c r="AB26" s="10">
        <f>33/82538*100</f>
        <v>0.03998158424</v>
      </c>
      <c r="AC26" s="10">
        <f>57/82538*100</f>
        <v>0.06905910005</v>
      </c>
      <c r="AD26" s="7">
        <f>14/82538*100</f>
        <v>0.01696188422</v>
      </c>
      <c r="AE26" s="1">
        <f>19/82538*100</f>
        <v>0.02301970002</v>
      </c>
      <c r="AF26" s="10">
        <f>13/82538*100</f>
        <v>0.01575032106</v>
      </c>
      <c r="AG26" s="7">
        <f>60/82538*100</f>
        <v>0.07269378953</v>
      </c>
      <c r="AH26" s="5">
        <v>0.0</v>
      </c>
      <c r="AI26" s="9">
        <f>4/82538*100</f>
        <v>0.004846252635</v>
      </c>
      <c r="AJ26" s="5">
        <v>0.0</v>
      </c>
      <c r="AK26" s="10">
        <f>11/82538*100</f>
        <v>0.01332719475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10">
        <f>5/82538*100</f>
        <v>0.006057815794</v>
      </c>
      <c r="AW26" s="5">
        <v>0.0</v>
      </c>
      <c r="AX26" s="10">
        <f>2/82538*100</f>
        <v>0.002423126318</v>
      </c>
      <c r="AY26" s="5">
        <v>0.0</v>
      </c>
      <c r="AZ26" s="5">
        <v>0.0</v>
      </c>
      <c r="BA26" s="5">
        <v>0.0</v>
      </c>
      <c r="BB26" s="5">
        <v>0.0</v>
      </c>
      <c r="BC26" s="5">
        <v>0.0</v>
      </c>
      <c r="BD26" s="5">
        <v>0.0</v>
      </c>
      <c r="BE26" s="10">
        <f>2/82538*100</f>
        <v>0.002423126318</v>
      </c>
      <c r="BF26" s="5">
        <v>0.0</v>
      </c>
      <c r="BG26" s="10">
        <f>3/82538*100</f>
        <v>0.003634689476</v>
      </c>
      <c r="BH26" s="5">
        <v>0.0</v>
      </c>
      <c r="BI26" s="5">
        <v>0.0</v>
      </c>
      <c r="BJ26" s="5">
        <v>0.0</v>
      </c>
      <c r="BK26" s="5">
        <v>0.0</v>
      </c>
      <c r="BL26" s="5">
        <v>0.0</v>
      </c>
      <c r="BM26" s="7">
        <f t="shared" si="2"/>
        <v>100</v>
      </c>
      <c r="BN26" s="8"/>
    </row>
    <row r="27">
      <c r="A27" s="1" t="s">
        <v>90</v>
      </c>
      <c r="B27" s="1">
        <f>588/64419*100</f>
        <v>0.9127741815</v>
      </c>
      <c r="C27" s="2">
        <f>5963/64419*100</f>
        <v>9.25658579</v>
      </c>
      <c r="D27" s="2">
        <f>6555/64419*100</f>
        <v>10.17556932</v>
      </c>
      <c r="E27" s="2">
        <f>30530/64419*100</f>
        <v>47.39284994</v>
      </c>
      <c r="F27" s="1">
        <f>7/64419*100</f>
        <v>0.0108663593</v>
      </c>
      <c r="G27" s="7">
        <f>10/64419*100</f>
        <v>0.01552337043</v>
      </c>
      <c r="H27" s="3">
        <f>2527/64419*100</f>
        <v>3.922755709</v>
      </c>
      <c r="I27" s="7">
        <f>6/64419*100</f>
        <v>0.009314022261</v>
      </c>
      <c r="J27" s="1">
        <f>6989/64419*100</f>
        <v>10.8492836</v>
      </c>
      <c r="K27" s="1">
        <f>6867/64419*100</f>
        <v>10.65989848</v>
      </c>
      <c r="L27" s="1">
        <f>266/64419*100</f>
        <v>0.4129216535</v>
      </c>
      <c r="M27" s="10">
        <f>2/64419*100</f>
        <v>0.003104674087</v>
      </c>
      <c r="N27" s="1">
        <f>1556/64419*100</f>
        <v>2.41543644</v>
      </c>
      <c r="O27" s="1">
        <f>178/64419*100</f>
        <v>0.2763159937</v>
      </c>
      <c r="P27" s="1">
        <f>156/64419*100</f>
        <v>0.2421645788</v>
      </c>
      <c r="Q27" s="7">
        <f>396/64419*100</f>
        <v>0.6147254692</v>
      </c>
      <c r="R27" s="1">
        <f>138/64419*100</f>
        <v>0.214222512</v>
      </c>
      <c r="S27" s="7">
        <f>16/64419*100</f>
        <v>0.02483739269</v>
      </c>
      <c r="T27" s="7">
        <f>129/64419*100</f>
        <v>0.2002514786</v>
      </c>
      <c r="U27" s="7">
        <f>35/64419*100</f>
        <v>0.05433179652</v>
      </c>
      <c r="V27" s="5">
        <f>25/64419*100</f>
        <v>0.03880842609</v>
      </c>
      <c r="W27" s="7">
        <f>17/64419*100</f>
        <v>0.02638972974</v>
      </c>
      <c r="X27" s="10">
        <f>87/64419*100</f>
        <v>0.1350533228</v>
      </c>
      <c r="Y27" s="10">
        <f>2/64419*100</f>
        <v>0.003104674087</v>
      </c>
      <c r="Z27" s="7">
        <f>94/64419*100</f>
        <v>0.1459196821</v>
      </c>
      <c r="AA27" s="7">
        <f>14/64419*100</f>
        <v>0.02173271861</v>
      </c>
      <c r="AB27" s="10">
        <f>35/64419*100</f>
        <v>0.05433179652</v>
      </c>
      <c r="AC27" s="10">
        <f>27/64419*100</f>
        <v>0.04191310017</v>
      </c>
      <c r="AD27" s="7">
        <f>47/64419*100</f>
        <v>0.07295984104</v>
      </c>
      <c r="AE27" s="1">
        <f>228/64419*100</f>
        <v>0.3539328459</v>
      </c>
      <c r="AF27" s="5">
        <v>0.0</v>
      </c>
      <c r="AG27" s="7">
        <f>207/64419*100</f>
        <v>0.321333768</v>
      </c>
      <c r="AH27" s="10">
        <f>5/64419*100</f>
        <v>0.007761685217</v>
      </c>
      <c r="AI27" s="9">
        <f>211/64419*100</f>
        <v>0.3275431162</v>
      </c>
      <c r="AJ27" s="5">
        <v>0.0</v>
      </c>
      <c r="AK27" s="10">
        <f>444/64419*100</f>
        <v>0.6892376473</v>
      </c>
      <c r="AL27" s="5">
        <v>0.0</v>
      </c>
      <c r="AM27" s="5">
        <v>0.0</v>
      </c>
      <c r="AN27" s="5">
        <v>0.0</v>
      </c>
      <c r="AO27" s="10">
        <f>59/64419*100</f>
        <v>0.09158788556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  <c r="AZ27" s="5">
        <v>0.0</v>
      </c>
      <c r="BA27" s="10">
        <f>3/64419*100</f>
        <v>0.00465701113</v>
      </c>
      <c r="BB27" s="5">
        <v>0.0</v>
      </c>
      <c r="BC27" s="5">
        <v>0.0</v>
      </c>
      <c r="BD27" s="5">
        <v>0.0</v>
      </c>
      <c r="BE27" s="5">
        <v>0.0</v>
      </c>
      <c r="BF27" s="5">
        <v>0.0</v>
      </c>
      <c r="BG27" s="5">
        <v>0.0</v>
      </c>
      <c r="BH27" s="5">
        <v>0.0</v>
      </c>
      <c r="BI27" s="5">
        <v>0.0</v>
      </c>
      <c r="BJ27" s="5">
        <v>0.0</v>
      </c>
      <c r="BK27" s="5">
        <v>0.0</v>
      </c>
      <c r="BL27" s="5">
        <v>0.0</v>
      </c>
      <c r="BM27" s="7">
        <f t="shared" si="2"/>
        <v>100</v>
      </c>
      <c r="BN27" s="8"/>
    </row>
    <row r="28">
      <c r="A28" s="1" t="s">
        <v>91</v>
      </c>
      <c r="B28" s="1">
        <f>894/75577*100</f>
        <v>1.182899559</v>
      </c>
      <c r="C28" s="2">
        <f>8198/75577*100</f>
        <v>10.84721542</v>
      </c>
      <c r="D28" s="2">
        <f>8467/75577*100</f>
        <v>11.20314381</v>
      </c>
      <c r="E28" s="2">
        <f>36766/75577*100</f>
        <v>48.64707517</v>
      </c>
      <c r="F28" s="7">
        <f>15/75577*100</f>
        <v>0.01984730804</v>
      </c>
      <c r="G28" s="7">
        <f>13/75577*100</f>
        <v>0.0172010003</v>
      </c>
      <c r="H28" s="3">
        <f>1167/75577*100</f>
        <v>1.544120566</v>
      </c>
      <c r="I28" s="7">
        <f>444/75577*100</f>
        <v>0.5874803181</v>
      </c>
      <c r="J28" s="1">
        <f>1108/75577*100</f>
        <v>1.466054487</v>
      </c>
      <c r="K28" s="1">
        <f>8428/75577*100</f>
        <v>11.15154081</v>
      </c>
      <c r="L28" s="1">
        <f>212/75577*100</f>
        <v>0.2805086203</v>
      </c>
      <c r="M28" s="10">
        <f>3/75577*100</f>
        <v>0.003969461609</v>
      </c>
      <c r="N28" s="1">
        <f>941/75577*100</f>
        <v>1.245087791</v>
      </c>
      <c r="O28" s="1">
        <f>1556/75577*100</f>
        <v>2.058827421</v>
      </c>
      <c r="P28" s="1">
        <f>296/75577*100</f>
        <v>0.3916535454</v>
      </c>
      <c r="Q28" s="1">
        <f>3302/75577*100</f>
        <v>4.369054077</v>
      </c>
      <c r="R28" s="1">
        <f>98/75577*100</f>
        <v>0.1296690792</v>
      </c>
      <c r="S28" s="1">
        <f>249/75577*100</f>
        <v>0.3294653135</v>
      </c>
      <c r="T28" s="1">
        <f>84/75577*100</f>
        <v>0.111144925</v>
      </c>
      <c r="U28" s="7">
        <f>36/75577*100</f>
        <v>0.0476335393</v>
      </c>
      <c r="V28" s="10">
        <f>7/75577*100</f>
        <v>0.009262077087</v>
      </c>
      <c r="W28" s="7">
        <f>18/75577*100</f>
        <v>0.02381676965</v>
      </c>
      <c r="X28" s="10">
        <f>33/75577*100</f>
        <v>0.0436640777</v>
      </c>
      <c r="Y28" s="10">
        <f>86/75577*100</f>
        <v>0.1137912328</v>
      </c>
      <c r="Z28" s="7">
        <f>44/75577*100</f>
        <v>0.05821877026</v>
      </c>
      <c r="AA28" s="7">
        <f>96/75577*100</f>
        <v>0.1270227715</v>
      </c>
      <c r="AB28" s="10">
        <f>8/75577*100</f>
        <v>0.01058523096</v>
      </c>
      <c r="AC28" s="10">
        <f>54/75577*100</f>
        <v>0.07145030896</v>
      </c>
      <c r="AD28" s="7">
        <f>30/75577*100</f>
        <v>0.03969461609</v>
      </c>
      <c r="AE28" s="7">
        <f>108/75577*100</f>
        <v>0.1429006179</v>
      </c>
      <c r="AF28" s="5">
        <v>0.0</v>
      </c>
      <c r="AG28" s="1">
        <f>1297/75577*100</f>
        <v>1.716130569</v>
      </c>
      <c r="AH28" s="10">
        <f>6/75577*100</f>
        <v>0.007938923217</v>
      </c>
      <c r="AI28" s="3">
        <f>499/75577*100</f>
        <v>0.6602537809</v>
      </c>
      <c r="AJ28" s="5">
        <v>0.0</v>
      </c>
      <c r="AK28" s="10">
        <f>140/75577*100</f>
        <v>0.1852415417</v>
      </c>
      <c r="AL28" s="10">
        <f>729/75577*100</f>
        <v>0.9645791709</v>
      </c>
      <c r="AM28" s="5">
        <v>0.0</v>
      </c>
      <c r="AN28" s="5">
        <v>0.0</v>
      </c>
      <c r="AO28" s="10">
        <f t="shared" ref="AO28:AP28" si="7">12/75577*100</f>
        <v>0.01587784643</v>
      </c>
      <c r="AP28" s="10">
        <f t="shared" si="7"/>
        <v>0.01587784643</v>
      </c>
      <c r="AQ28" s="10">
        <f>17/75577*100</f>
        <v>0.02249361578</v>
      </c>
      <c r="AR28" s="10">
        <f>20/75577*100</f>
        <v>0.02646307739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10">
        <f>42/75577*100</f>
        <v>0.05557246252</v>
      </c>
      <c r="AY28" s="5">
        <v>0.0</v>
      </c>
      <c r="AZ28" s="5">
        <v>0.0</v>
      </c>
      <c r="BA28" s="5">
        <v>0.0</v>
      </c>
      <c r="BB28" s="10">
        <f>25/75577*100</f>
        <v>0.03307884674</v>
      </c>
      <c r="BC28" s="5">
        <v>0.0</v>
      </c>
      <c r="BD28" s="5">
        <v>0.0</v>
      </c>
      <c r="BE28" s="10">
        <f>15/75577*100</f>
        <v>0.01984730804</v>
      </c>
      <c r="BF28" s="5">
        <v>0.0</v>
      </c>
      <c r="BG28" s="5">
        <v>0.0</v>
      </c>
      <c r="BH28" s="5">
        <v>0.0</v>
      </c>
      <c r="BI28" s="10">
        <f>2/75577*100</f>
        <v>0.002646307739</v>
      </c>
      <c r="BJ28" s="5">
        <v>0.0</v>
      </c>
      <c r="BK28" s="5">
        <v>0.0</v>
      </c>
      <c r="BL28" s="5">
        <v>0.0</v>
      </c>
      <c r="BM28" s="7">
        <f t="shared" si="2"/>
        <v>100</v>
      </c>
      <c r="BN28" s="8"/>
    </row>
    <row r="29">
      <c r="A29" s="1" t="s">
        <v>92</v>
      </c>
      <c r="B29" s="1">
        <f>234/67906*100</f>
        <v>0.3445939976</v>
      </c>
      <c r="C29" s="2">
        <f>26642/67906*100</f>
        <v>39.23364651</v>
      </c>
      <c r="D29" s="2">
        <f>1418/67906*100</f>
        <v>2.08818072</v>
      </c>
      <c r="E29" s="2">
        <f>36536/67906*100</f>
        <v>53.80378759</v>
      </c>
      <c r="F29" s="1">
        <v>0.0</v>
      </c>
      <c r="G29" s="1">
        <v>0.0</v>
      </c>
      <c r="H29" s="3">
        <f>359/67906*100</f>
        <v>0.5286719877</v>
      </c>
      <c r="I29" s="1">
        <v>0.0</v>
      </c>
      <c r="J29" s="1">
        <f>1358/67906*100</f>
        <v>1.999823285</v>
      </c>
      <c r="K29" s="7">
        <f>390/67906*100</f>
        <v>0.5743233293</v>
      </c>
      <c r="L29" s="7">
        <f>41/67906*100</f>
        <v>0.06037758077</v>
      </c>
      <c r="M29" s="5">
        <v>0.0</v>
      </c>
      <c r="N29" s="7">
        <f>281/67906*100</f>
        <v>0.4138073219</v>
      </c>
      <c r="O29" s="7">
        <f>21/67906*100</f>
        <v>0.03092510235</v>
      </c>
      <c r="P29" s="7">
        <f>235/67906*100</f>
        <v>0.3460666215</v>
      </c>
      <c r="Q29" s="7">
        <f>22/67906*100</f>
        <v>0.03239772627</v>
      </c>
      <c r="R29" s="7">
        <f>36/67906*100</f>
        <v>0.05301446117</v>
      </c>
      <c r="S29" s="7">
        <f>23/67906*100</f>
        <v>0.03387035019</v>
      </c>
      <c r="T29" s="7">
        <f>17/67906*100</f>
        <v>0.02503460666</v>
      </c>
      <c r="U29" s="7">
        <f>4/67906*100</f>
        <v>0.005890495685</v>
      </c>
      <c r="V29" s="10">
        <f>2/67906*100</f>
        <v>0.002945247843</v>
      </c>
      <c r="W29" s="1">
        <f t="shared" ref="W29:X29" si="8">4/67906*100</f>
        <v>0.005890495685</v>
      </c>
      <c r="X29" s="5">
        <f t="shared" si="8"/>
        <v>0.005890495685</v>
      </c>
      <c r="Y29" s="10">
        <f>7/67906*100</f>
        <v>0.01030836745</v>
      </c>
      <c r="Z29" s="7">
        <f>19/67906*100</f>
        <v>0.0279798545</v>
      </c>
      <c r="AA29" s="7">
        <f>12/67906*100</f>
        <v>0.01767148706</v>
      </c>
      <c r="AB29" s="10">
        <f>10/67906*100</f>
        <v>0.01472623921</v>
      </c>
      <c r="AC29" s="10">
        <f>2/67906*100</f>
        <v>0.002945247843</v>
      </c>
      <c r="AD29" s="7">
        <f>17/67906*100</f>
        <v>0.02503460666</v>
      </c>
      <c r="AE29" s="7">
        <f>176/67906*100</f>
        <v>0.2591818101</v>
      </c>
      <c r="AF29" s="5">
        <v>0.0</v>
      </c>
      <c r="AG29" s="7">
        <f>20/67906*100</f>
        <v>0.02945247843</v>
      </c>
      <c r="AH29" s="5">
        <v>0.0</v>
      </c>
      <c r="AI29" s="9">
        <f>14/67906*100</f>
        <v>0.0206167349</v>
      </c>
      <c r="AJ29" s="5">
        <v>0.0</v>
      </c>
      <c r="AK29" s="10">
        <f>2/67906*100</f>
        <v>0.002945247843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  <c r="AZ29" s="5">
        <v>0.0</v>
      </c>
      <c r="BA29" s="5">
        <v>0.0</v>
      </c>
      <c r="BB29" s="5">
        <v>0.0</v>
      </c>
      <c r="BC29" s="5">
        <v>0.0</v>
      </c>
      <c r="BD29" s="5">
        <v>0.0</v>
      </c>
      <c r="BE29" s="5">
        <v>0.0</v>
      </c>
      <c r="BF29" s="5">
        <v>0.0</v>
      </c>
      <c r="BG29" s="5">
        <v>0.0</v>
      </c>
      <c r="BH29" s="5">
        <v>0.0</v>
      </c>
      <c r="BI29" s="5">
        <v>0.0</v>
      </c>
      <c r="BJ29" s="5">
        <v>0.0</v>
      </c>
      <c r="BK29" s="5">
        <v>0.0</v>
      </c>
      <c r="BL29" s="5">
        <v>0.0</v>
      </c>
      <c r="BM29" s="7">
        <f t="shared" si="2"/>
        <v>100</v>
      </c>
      <c r="BN29" s="8"/>
    </row>
    <row r="30">
      <c r="A30" s="1" t="s">
        <v>93</v>
      </c>
      <c r="B30" s="1">
        <f>487/59873*100</f>
        <v>0.8133883387</v>
      </c>
      <c r="C30" s="2">
        <f>15925/59873*100</f>
        <v>26.59796569</v>
      </c>
      <c r="D30" s="2">
        <f>1918/59873*100</f>
        <v>3.203447297</v>
      </c>
      <c r="E30" s="2">
        <f>32313/59873*100</f>
        <v>53.96923488</v>
      </c>
      <c r="F30" s="1">
        <v>0.0</v>
      </c>
      <c r="G30" s="7">
        <f>2/59873*100</f>
        <v>0.003340403855</v>
      </c>
      <c r="H30" s="3">
        <f>1177/59873*100</f>
        <v>1.965827669</v>
      </c>
      <c r="I30" s="1">
        <v>0.0</v>
      </c>
      <c r="J30" s="1">
        <f>5711/59873*100</f>
        <v>9.538523207</v>
      </c>
      <c r="K30" s="7">
        <f>678/59873*100</f>
        <v>1.132396907</v>
      </c>
      <c r="L30" s="7">
        <f>35/59873*100</f>
        <v>0.05845706746</v>
      </c>
      <c r="M30" s="5">
        <v>0.0</v>
      </c>
      <c r="N30" s="7">
        <f>347/59873*100</f>
        <v>0.5795600688</v>
      </c>
      <c r="O30" s="7">
        <f>19/59873*100</f>
        <v>0.03173383662</v>
      </c>
      <c r="P30" s="7">
        <f>203/59873*100</f>
        <v>0.3390509913</v>
      </c>
      <c r="Q30" s="7">
        <f>13/59873*100</f>
        <v>0.02171262506</v>
      </c>
      <c r="R30" s="7">
        <f>77/59873*100</f>
        <v>0.1286055484</v>
      </c>
      <c r="S30" s="7">
        <f>59/59873*100</f>
        <v>0.09854191372</v>
      </c>
      <c r="T30" s="7">
        <f>30/59873*100</f>
        <v>0.05010605782</v>
      </c>
      <c r="U30" s="7">
        <f>4/59873*100</f>
        <v>0.00668080771</v>
      </c>
      <c r="V30" s="10">
        <f>8/59873*100</f>
        <v>0.01336161542</v>
      </c>
      <c r="W30" s="7">
        <f>2/59873*100</f>
        <v>0.003340403855</v>
      </c>
      <c r="X30" s="10">
        <f>14/59873*100</f>
        <v>0.02338282698</v>
      </c>
      <c r="Y30" s="10">
        <f>12/59873*100</f>
        <v>0.02004242313</v>
      </c>
      <c r="Z30" s="7">
        <f>34/59873*100</f>
        <v>0.05678686553</v>
      </c>
      <c r="AA30" s="7">
        <f>13/59873*100</f>
        <v>0.02171262506</v>
      </c>
      <c r="AB30" s="5">
        <v>0.0</v>
      </c>
      <c r="AC30" s="10">
        <f>2/59873*100</f>
        <v>0.003340403855</v>
      </c>
      <c r="AD30" s="7">
        <f>13/59873*100</f>
        <v>0.02171262506</v>
      </c>
      <c r="AE30" s="7">
        <f>91/59873*100</f>
        <v>0.1519883754</v>
      </c>
      <c r="AF30" s="5">
        <v>0.0</v>
      </c>
      <c r="AG30" s="7">
        <f>48/59873*100</f>
        <v>0.08016969252</v>
      </c>
      <c r="AH30" s="5">
        <v>0.0</v>
      </c>
      <c r="AI30" s="9">
        <f>634/59873*100</f>
        <v>1.058908022</v>
      </c>
      <c r="AJ30" s="5">
        <v>0.0</v>
      </c>
      <c r="AK30" s="10">
        <f>4/59873*100</f>
        <v>0.00668080771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  <c r="AZ30" s="5">
        <v>0.0</v>
      </c>
      <c r="BA30" s="5">
        <v>0.0</v>
      </c>
      <c r="BB30" s="5">
        <v>0.0</v>
      </c>
      <c r="BC30" s="5">
        <v>0.0</v>
      </c>
      <c r="BD30" s="5">
        <v>0.0</v>
      </c>
      <c r="BE30" s="5">
        <v>0.0</v>
      </c>
      <c r="BF30" s="5">
        <v>0.0</v>
      </c>
      <c r="BG30" s="5">
        <v>0.0</v>
      </c>
      <c r="BH30" s="5">
        <v>0.0</v>
      </c>
      <c r="BI30" s="5">
        <v>0.0</v>
      </c>
      <c r="BJ30" s="5">
        <v>0.0</v>
      </c>
      <c r="BK30" s="5">
        <v>0.0</v>
      </c>
      <c r="BL30" s="5">
        <v>0.0</v>
      </c>
      <c r="BM30" s="7">
        <f t="shared" si="2"/>
        <v>100</v>
      </c>
      <c r="BN30" s="8"/>
    </row>
    <row r="31">
      <c r="A31" s="1" t="s">
        <v>94</v>
      </c>
      <c r="B31" s="1">
        <f>18/36310*100</f>
        <v>0.04957312035</v>
      </c>
      <c r="C31" s="2">
        <f>4315/36310*100</f>
        <v>11.88377857</v>
      </c>
      <c r="D31" s="2">
        <f>6966/36310*100</f>
        <v>19.18479758</v>
      </c>
      <c r="E31" s="2">
        <f>22772/36310*100</f>
        <v>62.71550537</v>
      </c>
      <c r="F31" s="1">
        <v>0.0</v>
      </c>
      <c r="G31" s="1">
        <v>0.0</v>
      </c>
      <c r="H31" s="9">
        <f>349/36310*100</f>
        <v>0.9611677224</v>
      </c>
      <c r="I31" s="1">
        <v>0.0</v>
      </c>
      <c r="J31" s="7">
        <f>787/36310*100</f>
        <v>2.167446984</v>
      </c>
      <c r="K31" s="7">
        <f>198/36310*100</f>
        <v>0.5453043239</v>
      </c>
      <c r="L31" s="7">
        <f>25/36310*100</f>
        <v>0.06885155605</v>
      </c>
      <c r="M31" s="5">
        <v>0.0</v>
      </c>
      <c r="N31" s="7">
        <f>34/36310*100</f>
        <v>0.09363811622</v>
      </c>
      <c r="O31" s="7">
        <f>12/36310*100</f>
        <v>0.0330487469</v>
      </c>
      <c r="P31" s="7">
        <f>51/36310*100</f>
        <v>0.1404571743</v>
      </c>
      <c r="Q31" s="7">
        <f>46/36310*100</f>
        <v>0.1266868631</v>
      </c>
      <c r="R31" s="7">
        <f>19/36310*100</f>
        <v>0.05232718259</v>
      </c>
      <c r="S31" s="7">
        <f>2/36310*100</f>
        <v>0.005508124484</v>
      </c>
      <c r="T31" s="7">
        <f>21/36310*100</f>
        <v>0.05783530708</v>
      </c>
      <c r="U31" s="7">
        <f>4/36310*100</f>
        <v>0.01101624897</v>
      </c>
      <c r="V31" s="10">
        <f>6/36310*100</f>
        <v>0.01652437345</v>
      </c>
      <c r="W31" s="7">
        <f>10/36310*100</f>
        <v>0.02754062242</v>
      </c>
      <c r="X31" s="10">
        <f>2/36310*100</f>
        <v>0.005508124484</v>
      </c>
      <c r="Y31" s="10">
        <f>10/36310*100</f>
        <v>0.02754062242</v>
      </c>
      <c r="Z31" s="7">
        <f>13/36310*100</f>
        <v>0.03580280914</v>
      </c>
      <c r="AA31" s="7">
        <f>5/36310*100</f>
        <v>0.01377031121</v>
      </c>
      <c r="AB31" s="10">
        <f>2/36310*100</f>
        <v>0.005508124484</v>
      </c>
      <c r="AC31" s="10">
        <f>11/36310*100</f>
        <v>0.03029468466</v>
      </c>
      <c r="AD31" s="7">
        <f>30/36310*100</f>
        <v>0.08262186725</v>
      </c>
      <c r="AE31" s="7">
        <f>8/36310*100</f>
        <v>0.02203249793</v>
      </c>
      <c r="AF31" s="5">
        <v>0.0</v>
      </c>
      <c r="AG31" s="7">
        <f>17/36310*100</f>
        <v>0.04681905811</v>
      </c>
      <c r="AH31" s="5">
        <v>0.0</v>
      </c>
      <c r="AI31" s="9">
        <f>543/36310*100</f>
        <v>1.495455797</v>
      </c>
      <c r="AJ31" s="5">
        <v>0.0</v>
      </c>
      <c r="AK31" s="10">
        <f>25/36310*100</f>
        <v>0.06885155605</v>
      </c>
      <c r="AL31" s="10">
        <f>6/36310*100</f>
        <v>0.01652437345</v>
      </c>
      <c r="AM31" s="10">
        <f>3/36310*100</f>
        <v>0.008262186725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  <c r="AZ31" s="5">
        <v>0.0</v>
      </c>
      <c r="BA31" s="5">
        <v>0.0</v>
      </c>
      <c r="BB31" s="5">
        <v>0.0</v>
      </c>
      <c r="BC31" s="5">
        <v>0.0</v>
      </c>
      <c r="BD31" s="5">
        <v>0.0</v>
      </c>
      <c r="BE31" s="5">
        <v>0.0</v>
      </c>
      <c r="BF31" s="5">
        <v>0.0</v>
      </c>
      <c r="BG31" s="5">
        <v>0.0</v>
      </c>
      <c r="BH31" s="5">
        <v>0.0</v>
      </c>
      <c r="BI31" s="5">
        <v>0.0</v>
      </c>
      <c r="BJ31" s="5">
        <v>0.0</v>
      </c>
      <c r="BK31" s="5">
        <v>0.0</v>
      </c>
      <c r="BL31" s="5">
        <v>0.0</v>
      </c>
      <c r="BM31" s="7">
        <f t="shared" si="2"/>
        <v>100</v>
      </c>
      <c r="BN31" s="8"/>
    </row>
    <row r="32">
      <c r="A32" s="1" t="s">
        <v>95</v>
      </c>
      <c r="B32" s="1">
        <f>34/40264*100</f>
        <v>0.08444267832</v>
      </c>
      <c r="C32" s="2">
        <f>3443/40264*100</f>
        <v>8.551062984</v>
      </c>
      <c r="D32" s="2">
        <f>3219/40264*100</f>
        <v>7.994734751</v>
      </c>
      <c r="E32" s="2">
        <f>24804/40264*100</f>
        <v>61.60341744</v>
      </c>
      <c r="F32" s="1">
        <v>0.0</v>
      </c>
      <c r="G32" s="7">
        <f>3/40264*100</f>
        <v>0.007450824558</v>
      </c>
      <c r="H32" s="3">
        <f>2472/40264*100</f>
        <v>6.139479436</v>
      </c>
      <c r="I32" s="1">
        <v>0.0</v>
      </c>
      <c r="J32" s="7">
        <f>286/40264*100</f>
        <v>0.7103119412</v>
      </c>
      <c r="K32" s="1">
        <f>1602/40264*100</f>
        <v>3.978740314</v>
      </c>
      <c r="L32" s="1">
        <v>0.0</v>
      </c>
      <c r="M32" s="5">
        <v>0.0</v>
      </c>
      <c r="N32" s="7">
        <f>855/40264*100</f>
        <v>2.123484999</v>
      </c>
      <c r="O32" s="7">
        <f>2/40264*100</f>
        <v>0.004967216372</v>
      </c>
      <c r="P32" s="1">
        <f>1516/40264*100</f>
        <v>3.76515001</v>
      </c>
      <c r="Q32" s="7">
        <f>21/40264*100</f>
        <v>0.05215577191</v>
      </c>
      <c r="R32" s="7">
        <f>280/40264*100</f>
        <v>0.6954102921</v>
      </c>
      <c r="S32" s="7">
        <f>7/40264*100</f>
        <v>0.0173852573</v>
      </c>
      <c r="T32" s="7">
        <f>2/40264*100</f>
        <v>0.004967216372</v>
      </c>
      <c r="U32" s="1">
        <f>1495/40264*100</f>
        <v>3.712994238</v>
      </c>
      <c r="V32" s="5">
        <v>0.0</v>
      </c>
      <c r="W32" s="1">
        <v>0.0</v>
      </c>
      <c r="X32" s="10">
        <f>8/40264*100</f>
        <v>0.01986886549</v>
      </c>
      <c r="Y32" s="5">
        <v>0.0</v>
      </c>
      <c r="Z32" s="7">
        <f>22/40264*100</f>
        <v>0.05463938009</v>
      </c>
      <c r="AA32" s="7">
        <f>40/40264*100</f>
        <v>0.09934432744</v>
      </c>
      <c r="AB32" s="5">
        <v>0.0</v>
      </c>
      <c r="AC32" s="10">
        <f>2/40264*100</f>
        <v>0.004967216372</v>
      </c>
      <c r="AD32" s="7">
        <f>8/40264*100</f>
        <v>0.01986886549</v>
      </c>
      <c r="AE32" s="7">
        <f>12/40264*100</f>
        <v>0.02980329823</v>
      </c>
      <c r="AF32" s="5">
        <v>0.0</v>
      </c>
      <c r="AG32" s="7">
        <f>15/40264*100</f>
        <v>0.03725412279</v>
      </c>
      <c r="AH32" s="5">
        <v>0.0</v>
      </c>
      <c r="AI32" s="9">
        <f>111/40264*100</f>
        <v>0.2756805086</v>
      </c>
      <c r="AJ32" s="5">
        <v>0.0</v>
      </c>
      <c r="AK32" s="10">
        <f>5/40264*100</f>
        <v>0.01241804093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  <c r="AZ32" s="5">
        <v>0.0</v>
      </c>
      <c r="BA32" s="5">
        <v>0.0</v>
      </c>
      <c r="BB32" s="5">
        <v>0.0</v>
      </c>
      <c r="BC32" s="5">
        <v>0.0</v>
      </c>
      <c r="BD32" s="5">
        <v>0.0</v>
      </c>
      <c r="BE32" s="5">
        <v>0.0</v>
      </c>
      <c r="BF32" s="5">
        <v>0.0</v>
      </c>
      <c r="BG32" s="5">
        <v>0.0</v>
      </c>
      <c r="BH32" s="5">
        <v>0.0</v>
      </c>
      <c r="BI32" s="5">
        <v>0.0</v>
      </c>
      <c r="BJ32" s="5">
        <v>0.0</v>
      </c>
      <c r="BK32" s="5">
        <v>0.0</v>
      </c>
      <c r="BL32" s="5">
        <v>0.0</v>
      </c>
      <c r="BM32" s="7">
        <f t="shared" si="2"/>
        <v>100</v>
      </c>
      <c r="BN32" s="8"/>
    </row>
    <row r="33">
      <c r="A33" s="1" t="s">
        <v>96</v>
      </c>
      <c r="B33" s="1">
        <f>27/47180*100</f>
        <v>0.05722763883</v>
      </c>
      <c r="C33" s="2">
        <f>4156/47180*100</f>
        <v>8.808817295</v>
      </c>
      <c r="D33" s="2">
        <f>4337/47180*100</f>
        <v>9.19245443</v>
      </c>
      <c r="E33" s="2">
        <f>28318/47180*100</f>
        <v>60.02119542</v>
      </c>
      <c r="F33" s="1">
        <v>0.0</v>
      </c>
      <c r="G33" s="1">
        <v>0.0</v>
      </c>
      <c r="H33" s="3">
        <f>4189/47180*100</f>
        <v>8.878762187</v>
      </c>
      <c r="I33" s="1">
        <v>0.0</v>
      </c>
      <c r="J33" s="7">
        <f>632/47180*100</f>
        <v>1.339550657</v>
      </c>
      <c r="K33" s="7">
        <f>461/47180*100</f>
        <v>0.9771089445</v>
      </c>
      <c r="L33" s="1">
        <v>0.0</v>
      </c>
      <c r="M33" s="5">
        <v>0.0</v>
      </c>
      <c r="N33" s="1">
        <f>1228/47180*100</f>
        <v>2.602797796</v>
      </c>
      <c r="O33" s="7">
        <f>2/47180*100</f>
        <v>0.004239084358</v>
      </c>
      <c r="P33" s="1">
        <f>2606/47180*100</f>
        <v>5.523526918</v>
      </c>
      <c r="Q33" s="7">
        <f>31/47180*100</f>
        <v>0.06570580755</v>
      </c>
      <c r="R33" s="7">
        <f>295/47180*100</f>
        <v>0.6252649428</v>
      </c>
      <c r="S33" s="7">
        <f>2/47180*100</f>
        <v>0.004239084358</v>
      </c>
      <c r="T33" s="7">
        <f>9/47180*100</f>
        <v>0.01907587961</v>
      </c>
      <c r="U33" s="1">
        <f>492/47180*100</f>
        <v>1.042814752</v>
      </c>
      <c r="V33" s="10">
        <f>2/47180*100</f>
        <v>0.004239084358</v>
      </c>
      <c r="W33" s="7">
        <f>3/47180*100</f>
        <v>0.006358626537</v>
      </c>
      <c r="X33" s="5">
        <v>0.0</v>
      </c>
      <c r="Y33" s="10">
        <f>2/47180*100</f>
        <v>0.004239084358</v>
      </c>
      <c r="Z33" s="7">
        <f>14/47180*100</f>
        <v>0.0296735905</v>
      </c>
      <c r="AA33" s="7">
        <f>130/47180*100</f>
        <v>0.2755404833</v>
      </c>
      <c r="AB33" s="10">
        <f>6/47180*100</f>
        <v>0.01271725307</v>
      </c>
      <c r="AC33" s="5">
        <v>0.0</v>
      </c>
      <c r="AD33" s="7">
        <f>23/47180*100</f>
        <v>0.04874947011</v>
      </c>
      <c r="AE33" s="7">
        <f>25/47180*100</f>
        <v>0.05298855447</v>
      </c>
      <c r="AF33" s="5">
        <v>0.0</v>
      </c>
      <c r="AG33" s="7">
        <f>21/47180*100</f>
        <v>0.04451038576</v>
      </c>
      <c r="AH33" s="5">
        <v>0.0</v>
      </c>
      <c r="AI33" s="9">
        <f>164/47180*100</f>
        <v>0.3476049173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10">
        <f>2/47180*100</f>
        <v>0.004239084358</v>
      </c>
      <c r="AP33" s="10">
        <f>3/47180*100</f>
        <v>0.006358626537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  <c r="AZ33" s="5">
        <v>0.0</v>
      </c>
      <c r="BA33" s="5">
        <v>0.0</v>
      </c>
      <c r="BB33" s="5">
        <v>0.0</v>
      </c>
      <c r="BC33" s="5">
        <v>0.0</v>
      </c>
      <c r="BD33" s="5">
        <v>0.0</v>
      </c>
      <c r="BE33" s="5">
        <v>0.0</v>
      </c>
      <c r="BF33" s="5">
        <v>0.0</v>
      </c>
      <c r="BG33" s="5">
        <v>0.0</v>
      </c>
      <c r="BH33" s="5">
        <v>0.0</v>
      </c>
      <c r="BI33" s="5">
        <v>0.0</v>
      </c>
      <c r="BJ33" s="5">
        <v>0.0</v>
      </c>
      <c r="BK33" s="5">
        <v>0.0</v>
      </c>
      <c r="BL33" s="5">
        <v>0.0</v>
      </c>
      <c r="BM33" s="7">
        <f t="shared" si="2"/>
        <v>100</v>
      </c>
      <c r="BN33" s="8"/>
    </row>
    <row r="34">
      <c r="A34" s="1" t="s">
        <v>97</v>
      </c>
      <c r="B34" s="1">
        <f>79/64680*100</f>
        <v>0.122139765</v>
      </c>
      <c r="C34" s="2">
        <f>6949/64680*100</f>
        <v>10.7436611</v>
      </c>
      <c r="D34" s="2">
        <f>11216/64680*100</f>
        <v>17.34075448</v>
      </c>
      <c r="E34" s="2">
        <f>34670/64680*100</f>
        <v>53.60235003</v>
      </c>
      <c r="F34" s="1">
        <v>0.0</v>
      </c>
      <c r="G34" s="7">
        <f>7/64680*100</f>
        <v>0.01082251082</v>
      </c>
      <c r="H34" s="3">
        <f>6744/64680*100</f>
        <v>10.42671614</v>
      </c>
      <c r="I34" s="1">
        <v>0.0</v>
      </c>
      <c r="J34" s="1">
        <f>1532/64680*100</f>
        <v>2.368583797</v>
      </c>
      <c r="K34" s="7">
        <f>967/64680*100</f>
        <v>1.495052566</v>
      </c>
      <c r="L34" s="7">
        <f>134/64680*100</f>
        <v>0.2071737786</v>
      </c>
      <c r="M34" s="5">
        <v>0.0</v>
      </c>
      <c r="N34" s="7">
        <f>443/64680*100</f>
        <v>0.6849103278</v>
      </c>
      <c r="O34" s="7">
        <f>5/64680*100</f>
        <v>0.007730364873</v>
      </c>
      <c r="P34" s="7">
        <f>639/64680*100</f>
        <v>0.9879406308</v>
      </c>
      <c r="Q34" s="7">
        <f>129/64680*100</f>
        <v>0.1994434137</v>
      </c>
      <c r="R34" s="7">
        <f>151/64680*100</f>
        <v>0.2334570192</v>
      </c>
      <c r="S34" s="7">
        <f>77/64680*100</f>
        <v>0.119047619</v>
      </c>
      <c r="T34" s="7">
        <f>20/64680*100</f>
        <v>0.03092145949</v>
      </c>
      <c r="U34" s="7">
        <f>150/64680*100</f>
        <v>0.2319109462</v>
      </c>
      <c r="V34" s="10">
        <f>8/64680*100</f>
        <v>0.0123685838</v>
      </c>
      <c r="W34" s="7">
        <f>11/64680*100</f>
        <v>0.01700680272</v>
      </c>
      <c r="X34" s="10">
        <f>6/64680*100</f>
        <v>0.009276437848</v>
      </c>
      <c r="Y34" s="10">
        <f>8/64680*100</f>
        <v>0.0123685838</v>
      </c>
      <c r="Z34" s="7">
        <f>42/64680*100</f>
        <v>0.06493506494</v>
      </c>
      <c r="AA34" s="7">
        <f>119/64680*100</f>
        <v>0.183982684</v>
      </c>
      <c r="AB34" s="10">
        <f>15/64680*100</f>
        <v>0.02319109462</v>
      </c>
      <c r="AC34" s="10">
        <f>14/64680*100</f>
        <v>0.02164502165</v>
      </c>
      <c r="AD34" s="7">
        <f>4/64680*100</f>
        <v>0.006184291899</v>
      </c>
      <c r="AE34" s="7">
        <f>225/64680*100</f>
        <v>0.3478664193</v>
      </c>
      <c r="AF34" s="5">
        <v>0.0</v>
      </c>
      <c r="AG34" s="7">
        <f>111/64680*100</f>
        <v>0.1716141002</v>
      </c>
      <c r="AH34" s="5">
        <v>0.0</v>
      </c>
      <c r="AI34" s="9">
        <f>200/64680*100</f>
        <v>0.3092145949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10">
        <f>3/64680*100</f>
        <v>0.004638218924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  <c r="AZ34" s="10">
        <f>2/64680*100</f>
        <v>0.003092145949</v>
      </c>
      <c r="BA34" s="5">
        <v>0.0</v>
      </c>
      <c r="BB34" s="5">
        <v>0.0</v>
      </c>
      <c r="BC34" s="5">
        <v>0.0</v>
      </c>
      <c r="BD34" s="5">
        <v>0.0</v>
      </c>
      <c r="BE34" s="5">
        <v>0.0</v>
      </c>
      <c r="BF34" s="5">
        <v>0.0</v>
      </c>
      <c r="BG34" s="5">
        <v>0.0</v>
      </c>
      <c r="BH34" s="5">
        <v>0.0</v>
      </c>
      <c r="BI34" s="5">
        <v>0.0</v>
      </c>
      <c r="BJ34" s="5">
        <v>0.0</v>
      </c>
      <c r="BK34" s="5">
        <v>0.0</v>
      </c>
      <c r="BL34" s="5">
        <v>0.0</v>
      </c>
      <c r="BM34" s="7">
        <f t="shared" si="2"/>
        <v>100</v>
      </c>
      <c r="BN34" s="8"/>
    </row>
    <row r="35">
      <c r="A35" s="1" t="s">
        <v>98</v>
      </c>
      <c r="B35" s="1">
        <f>38/39412*100</f>
        <v>0.09641733482</v>
      </c>
      <c r="C35" s="2">
        <f>4579/39412*100</f>
        <v>11.61828885</v>
      </c>
      <c r="D35" s="2">
        <f>5096/39412*100</f>
        <v>12.93007206</v>
      </c>
      <c r="E35" s="2">
        <f>21181/39412*100</f>
        <v>53.74251497</v>
      </c>
      <c r="F35" s="1">
        <v>0.0</v>
      </c>
      <c r="G35" s="1">
        <v>0.0</v>
      </c>
      <c r="H35" s="3">
        <f>4123/39412*100</f>
        <v>10.46128083</v>
      </c>
      <c r="I35" s="1">
        <v>0.0</v>
      </c>
      <c r="J35" s="1">
        <f>1617/39412*100</f>
        <v>4.102811326</v>
      </c>
      <c r="K35" s="1">
        <f>976/39412*100</f>
        <v>2.476403126</v>
      </c>
      <c r="L35" s="7">
        <f>47/39412*100</f>
        <v>0.1192530194</v>
      </c>
      <c r="M35" s="5">
        <v>0.0</v>
      </c>
      <c r="N35" s="7">
        <f>295/39412*100</f>
        <v>0.748502994</v>
      </c>
      <c r="O35" s="7">
        <f>13/39412*100</f>
        <v>0.0329848777</v>
      </c>
      <c r="P35" s="7">
        <f>497/39412*100</f>
        <v>1.261037248</v>
      </c>
      <c r="Q35" s="7">
        <f>101/39412*100</f>
        <v>0.2562671268</v>
      </c>
      <c r="R35" s="7">
        <f>16/39412*100</f>
        <v>0.04059677256</v>
      </c>
      <c r="S35" s="7">
        <f>23/39412*100</f>
        <v>0.05835786055</v>
      </c>
      <c r="T35" s="7">
        <f>12/39412*100</f>
        <v>0.03044757942</v>
      </c>
      <c r="U35" s="7">
        <f>49/39412*100</f>
        <v>0.124327616</v>
      </c>
      <c r="V35" s="10">
        <f>11/39412*100</f>
        <v>0.02791028113</v>
      </c>
      <c r="W35" s="7">
        <f>3/39412*100</f>
        <v>0.007611894854</v>
      </c>
      <c r="X35" s="5">
        <v>0.0</v>
      </c>
      <c r="Y35" s="10">
        <f>11/39412*100</f>
        <v>0.02791028113</v>
      </c>
      <c r="Z35" s="7">
        <f>57/39412*100</f>
        <v>0.1446260022</v>
      </c>
      <c r="AA35" s="7">
        <f>83/39412*100</f>
        <v>0.2105957576</v>
      </c>
      <c r="AB35" s="5">
        <v>0.0</v>
      </c>
      <c r="AC35" s="10">
        <f>24/39412*100</f>
        <v>0.06089515883</v>
      </c>
      <c r="AD35" s="1">
        <v>0.0</v>
      </c>
      <c r="AE35" s="7">
        <f>248/39412*100</f>
        <v>0.6292499746</v>
      </c>
      <c r="AF35" s="5">
        <v>0.0</v>
      </c>
      <c r="AG35" s="7">
        <f>95/39412*100</f>
        <v>0.2410433371</v>
      </c>
      <c r="AH35" s="5">
        <v>0.0</v>
      </c>
      <c r="AI35" s="9">
        <f>211/39412*100</f>
        <v>0.5353699381</v>
      </c>
      <c r="AJ35" s="5">
        <v>0.0</v>
      </c>
      <c r="AK35" s="10">
        <f t="shared" ref="AK35:AM35" si="9">2/39412*100</f>
        <v>0.00507459657</v>
      </c>
      <c r="AL35" s="10">
        <f t="shared" si="9"/>
        <v>0.00507459657</v>
      </c>
      <c r="AM35" s="10">
        <f t="shared" si="9"/>
        <v>0.00507459657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  <c r="AZ35" s="5">
        <v>0.0</v>
      </c>
      <c r="BA35" s="5">
        <v>0.0</v>
      </c>
      <c r="BB35" s="5">
        <v>0.0</v>
      </c>
      <c r="BC35" s="5">
        <v>0.0</v>
      </c>
      <c r="BD35" s="5">
        <v>0.0</v>
      </c>
      <c r="BE35" s="5">
        <v>0.0</v>
      </c>
      <c r="BF35" s="5">
        <v>0.0</v>
      </c>
      <c r="BG35" s="5">
        <v>0.0</v>
      </c>
      <c r="BH35" s="5">
        <v>0.0</v>
      </c>
      <c r="BI35" s="5">
        <v>0.0</v>
      </c>
      <c r="BJ35" s="5">
        <v>0.0</v>
      </c>
      <c r="BK35" s="5">
        <v>0.0</v>
      </c>
      <c r="BL35" s="5">
        <v>0.0</v>
      </c>
      <c r="BM35" s="7">
        <f t="shared" si="2"/>
        <v>100</v>
      </c>
      <c r="BN35" s="8"/>
    </row>
    <row r="36">
      <c r="A36" s="1" t="s">
        <v>99</v>
      </c>
      <c r="B36" s="1">
        <f>59/54045*100</f>
        <v>0.1091682857</v>
      </c>
      <c r="C36" s="2">
        <f>4502/54045*100</f>
        <v>8.330095291</v>
      </c>
      <c r="D36" s="2">
        <f>1065/54045*100</f>
        <v>1.970580072</v>
      </c>
      <c r="E36" s="2">
        <f>30121/54045*100</f>
        <v>55.73318531</v>
      </c>
      <c r="F36" s="7">
        <f>2/54045*100</f>
        <v>0.003700619854</v>
      </c>
      <c r="G36" s="1">
        <v>0.0</v>
      </c>
      <c r="H36" s="3">
        <f>5696/54045*100</f>
        <v>10.53936534</v>
      </c>
      <c r="I36" s="1">
        <v>0.0</v>
      </c>
      <c r="J36" s="7">
        <f>122/54045*100</f>
        <v>0.2257378111</v>
      </c>
      <c r="K36" s="7">
        <f>403/54045*100</f>
        <v>0.7456749005</v>
      </c>
      <c r="L36" s="7">
        <f>31/54045*100</f>
        <v>0.05735960773</v>
      </c>
      <c r="M36" s="10">
        <f>2/54045*100</f>
        <v>0.003700619854</v>
      </c>
      <c r="N36" s="1">
        <f>8061/54045*100</f>
        <v>14.91534832</v>
      </c>
      <c r="O36" s="7">
        <f>136/54045*100</f>
        <v>0.2516421501</v>
      </c>
      <c r="P36" s="1">
        <f>1800/54045*100</f>
        <v>3.330557868</v>
      </c>
      <c r="Q36" s="7">
        <f>450/54045*100</f>
        <v>0.8326394671</v>
      </c>
      <c r="R36" s="7">
        <f>40/54045*100</f>
        <v>0.07401239708</v>
      </c>
      <c r="S36" s="7">
        <f>16/54045*100</f>
        <v>0.02960495883</v>
      </c>
      <c r="T36" s="7">
        <f>5/54045*100</f>
        <v>0.009251549635</v>
      </c>
      <c r="U36" s="7">
        <f>11/54045*100</f>
        <v>0.0203534092</v>
      </c>
      <c r="V36" s="10">
        <f>4/54045*100</f>
        <v>0.007401239708</v>
      </c>
      <c r="W36" s="7">
        <f>8/54045*100</f>
        <v>0.01480247942</v>
      </c>
      <c r="X36" s="10">
        <f>6/54045*100</f>
        <v>0.01110185956</v>
      </c>
      <c r="Y36" s="10">
        <f>34/54045*100</f>
        <v>0.06291053752</v>
      </c>
      <c r="Z36" s="7">
        <f>100/54045*100</f>
        <v>0.1850309927</v>
      </c>
      <c r="AA36" s="7">
        <f>528/54045*100</f>
        <v>0.9769636414</v>
      </c>
      <c r="AB36" s="10">
        <f>2/54045*100</f>
        <v>0.003700619854</v>
      </c>
      <c r="AC36" s="10">
        <f>10/54045*100</f>
        <v>0.01850309927</v>
      </c>
      <c r="AD36" s="7">
        <f>479/54045*100</f>
        <v>0.886298455</v>
      </c>
      <c r="AE36" s="7">
        <f>100/54045*100</f>
        <v>0.1850309927</v>
      </c>
      <c r="AF36" s="5">
        <v>0.0</v>
      </c>
      <c r="AG36" s="7">
        <f>231/54045*100</f>
        <v>0.4274215931</v>
      </c>
      <c r="AH36" s="5">
        <v>0.0</v>
      </c>
      <c r="AI36" s="9">
        <f>4/54045*100</f>
        <v>0.007401239708</v>
      </c>
      <c r="AJ36" s="5">
        <v>0.0</v>
      </c>
      <c r="AK36" s="5">
        <v>0.0</v>
      </c>
      <c r="AL36" s="10">
        <f>5/54045*100</f>
        <v>0.009251549635</v>
      </c>
      <c r="AM36" s="5">
        <v>0.0</v>
      </c>
      <c r="AN36" s="5">
        <v>0.0</v>
      </c>
      <c r="AO36" s="10">
        <f>3/54045*100</f>
        <v>0.005550929781</v>
      </c>
      <c r="AP36" s="5">
        <v>0.0</v>
      </c>
      <c r="AQ36" s="10">
        <f>4/54045*100</f>
        <v>0.007401239708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10">
        <f>2/54045*100</f>
        <v>0.003700619854</v>
      </c>
      <c r="AY36" s="5">
        <v>0.0</v>
      </c>
      <c r="AZ36" s="5">
        <v>0.0</v>
      </c>
      <c r="BA36" s="5">
        <v>0.0</v>
      </c>
      <c r="BB36" s="5">
        <v>0.0</v>
      </c>
      <c r="BC36" s="5">
        <v>0.0</v>
      </c>
      <c r="BD36" s="5">
        <v>0.0</v>
      </c>
      <c r="BE36" s="10">
        <f>3/54045*100</f>
        <v>0.005550929781</v>
      </c>
      <c r="BF36" s="5">
        <v>0.0</v>
      </c>
      <c r="BG36" s="5">
        <v>0.0</v>
      </c>
      <c r="BH36" s="5">
        <v>0.0</v>
      </c>
      <c r="BI36" s="5">
        <v>0.0</v>
      </c>
      <c r="BJ36" s="5">
        <v>0.0</v>
      </c>
      <c r="BK36" s="5">
        <v>0.0</v>
      </c>
      <c r="BL36" s="5">
        <v>0.0</v>
      </c>
      <c r="BM36" s="7">
        <f t="shared" si="2"/>
        <v>100</v>
      </c>
    </row>
    <row r="37">
      <c r="A37" s="1" t="s">
        <v>100</v>
      </c>
      <c r="B37" s="1">
        <f>82/49288*100</f>
        <v>0.1663690959</v>
      </c>
      <c r="C37" s="2">
        <f>2140/49288*100</f>
        <v>4.341827625</v>
      </c>
      <c r="D37" s="2">
        <f>1616/49288*100</f>
        <v>3.278688525</v>
      </c>
      <c r="E37" s="2">
        <f>26446/49288*100</f>
        <v>53.65606233</v>
      </c>
      <c r="F37" s="7">
        <f>2/49288*100</f>
        <v>0.004057782827</v>
      </c>
      <c r="G37" s="7">
        <f>8/49288*100</f>
        <v>0.01623113131</v>
      </c>
      <c r="H37" s="3">
        <f>3610/49288*100</f>
        <v>7.324298004</v>
      </c>
      <c r="I37" s="1">
        <v>0.0</v>
      </c>
      <c r="J37" s="1">
        <f>427/49288*100</f>
        <v>0.8663366337</v>
      </c>
      <c r="K37" s="1">
        <f>1310/49288*100</f>
        <v>2.657847752</v>
      </c>
      <c r="L37" s="7">
        <f>24/49288*100</f>
        <v>0.04869339393</v>
      </c>
      <c r="M37" s="10">
        <f>8/49288*100</f>
        <v>0.01623113131</v>
      </c>
      <c r="N37" s="1">
        <f>8903/49288*100</f>
        <v>18.06322026</v>
      </c>
      <c r="O37" s="7">
        <f>215/49288*100</f>
        <v>0.436211654</v>
      </c>
      <c r="P37" s="1">
        <f>2134/49288*100</f>
        <v>4.329654277</v>
      </c>
      <c r="Q37" s="7">
        <f>791/49288*100</f>
        <v>1.604853108</v>
      </c>
      <c r="R37" s="7">
        <f>46/49288*100</f>
        <v>0.09332900503</v>
      </c>
      <c r="S37" s="7">
        <f>9/49288*100</f>
        <v>0.01826002272</v>
      </c>
      <c r="T37" s="7">
        <f>4/49288*100</f>
        <v>0.008115565655</v>
      </c>
      <c r="U37" s="7">
        <f>35/49288*100</f>
        <v>0.07101119948</v>
      </c>
      <c r="V37" s="10">
        <f>2/49288*100</f>
        <v>0.004057782827</v>
      </c>
      <c r="W37" s="7">
        <f>3/49288*100</f>
        <v>0.006086674241</v>
      </c>
      <c r="X37" s="10">
        <f>8/49288*100</f>
        <v>0.01623113131</v>
      </c>
      <c r="Y37" s="10">
        <f>75/49288*100</f>
        <v>0.152166856</v>
      </c>
      <c r="Z37" s="7">
        <f>131/49288*100</f>
        <v>0.2657847752</v>
      </c>
      <c r="AA37" s="1">
        <f>166/49288*100</f>
        <v>0.3367959747</v>
      </c>
      <c r="AB37" s="10">
        <f>4/49288*100</f>
        <v>0.008115565655</v>
      </c>
      <c r="AC37" s="5">
        <v>0.0</v>
      </c>
      <c r="AD37" s="1">
        <f>599/49288*100</f>
        <v>1.215305957</v>
      </c>
      <c r="AE37" s="7">
        <f>52/49288*100</f>
        <v>0.1055023535</v>
      </c>
      <c r="AF37" s="5">
        <v>0.0</v>
      </c>
      <c r="AG37" s="1">
        <f>406/49288*100</f>
        <v>0.823729914</v>
      </c>
      <c r="AH37" s="10">
        <f>4/49288*100</f>
        <v>0.008115565655</v>
      </c>
      <c r="AI37" s="3">
        <v>0.0</v>
      </c>
      <c r="AJ37" s="5">
        <v>0.0</v>
      </c>
      <c r="AK37" s="5">
        <v>0.0</v>
      </c>
      <c r="AL37" s="5">
        <v>0.0</v>
      </c>
      <c r="AM37" s="5">
        <v>0.0</v>
      </c>
      <c r="AN37" s="5">
        <v>0.0</v>
      </c>
      <c r="AO37" s="10">
        <f>5/49288*100</f>
        <v>0.01014445707</v>
      </c>
      <c r="AP37" s="5">
        <v>0.0</v>
      </c>
      <c r="AQ37" s="10">
        <f>12/49288*100</f>
        <v>0.02434669696</v>
      </c>
      <c r="AR37" s="5">
        <v>0.0</v>
      </c>
      <c r="AS37" s="5">
        <v>0.0</v>
      </c>
      <c r="AT37" s="5">
        <v>0.0</v>
      </c>
      <c r="AU37" s="10">
        <f>2/49288*100</f>
        <v>0.004057782827</v>
      </c>
      <c r="AV37" s="5">
        <v>0.0</v>
      </c>
      <c r="AW37" s="5">
        <v>0.0</v>
      </c>
      <c r="AX37" s="10">
        <f>9/49288*100</f>
        <v>0.01826002272</v>
      </c>
      <c r="AY37" s="5">
        <v>0.0</v>
      </c>
      <c r="AZ37" s="5">
        <v>0.0</v>
      </c>
      <c r="BA37" s="5">
        <v>0.0</v>
      </c>
      <c r="BB37" s="5">
        <v>0.0</v>
      </c>
      <c r="BC37" s="5">
        <v>0.0</v>
      </c>
      <c r="BD37" s="5">
        <v>0.0</v>
      </c>
      <c r="BE37" s="5">
        <v>0.0</v>
      </c>
      <c r="BF37" s="5">
        <v>0.0</v>
      </c>
      <c r="BG37" s="5">
        <v>0.0</v>
      </c>
      <c r="BH37" s="5">
        <v>0.0</v>
      </c>
      <c r="BI37" s="5">
        <v>0.0</v>
      </c>
      <c r="BJ37" s="5">
        <v>0.0</v>
      </c>
      <c r="BK37" s="5">
        <v>0.0</v>
      </c>
      <c r="BL37" s="5">
        <v>0.0</v>
      </c>
      <c r="BM37" s="7">
        <f t="shared" si="2"/>
        <v>100</v>
      </c>
    </row>
    <row r="38">
      <c r="A38" s="1" t="s">
        <v>101</v>
      </c>
      <c r="B38" s="1">
        <f>317/61299*100</f>
        <v>0.5171373106</v>
      </c>
      <c r="C38" s="2">
        <f>13657/61299*100</f>
        <v>22.2793194</v>
      </c>
      <c r="D38" s="2">
        <f>19110/61299*100</f>
        <v>31.17505995</v>
      </c>
      <c r="E38" s="2">
        <f>22662/61299*100</f>
        <v>36.96960799</v>
      </c>
      <c r="F38" s="1">
        <v>0.0</v>
      </c>
      <c r="G38" s="7">
        <f>21/61299*100</f>
        <v>0.03425830764</v>
      </c>
      <c r="H38" s="3">
        <f>676/61299*100</f>
        <v>1.102791236</v>
      </c>
      <c r="I38" s="1">
        <v>0.0</v>
      </c>
      <c r="J38" s="1">
        <f>115/61299*100</f>
        <v>0.187605018</v>
      </c>
      <c r="K38" s="1">
        <f>1092/61299*100</f>
        <v>1.781431997</v>
      </c>
      <c r="L38" s="7">
        <f>51/61299*100</f>
        <v>0.08319874712</v>
      </c>
      <c r="M38" s="10">
        <f>37/61299*100</f>
        <v>0.06035987537</v>
      </c>
      <c r="N38" s="7">
        <f>71/61299*100</f>
        <v>0.1158257068</v>
      </c>
      <c r="O38" s="7">
        <f>13/61299*100</f>
        <v>0.02120752378</v>
      </c>
      <c r="P38" s="1">
        <f>1126/61299*100</f>
        <v>1.836897829</v>
      </c>
      <c r="Q38" s="7">
        <f>25/61299*100</f>
        <v>0.04078369957</v>
      </c>
      <c r="R38" s="7">
        <f>21/61299*100</f>
        <v>0.03425830764</v>
      </c>
      <c r="S38" s="7">
        <f>70/61299*100</f>
        <v>0.1141943588</v>
      </c>
      <c r="T38" s="7">
        <f>9/61299*100</f>
        <v>0.01468213185</v>
      </c>
      <c r="U38" s="7">
        <f>60/61299*100</f>
        <v>0.09788087897</v>
      </c>
      <c r="V38" s="10">
        <f>53/61299*100</f>
        <v>0.08646144309</v>
      </c>
      <c r="W38" s="1">
        <f>1877/61299*100</f>
        <v>3.062040164</v>
      </c>
      <c r="X38" s="5">
        <f>5/61299*100</f>
        <v>0.008156739914</v>
      </c>
      <c r="Y38" s="10">
        <f>12/61299*100</f>
        <v>0.01957617579</v>
      </c>
      <c r="Z38" s="7">
        <f>40/61299*100</f>
        <v>0.06525391931</v>
      </c>
      <c r="AA38" s="7">
        <f>2/61299*100</f>
        <v>0.003262695966</v>
      </c>
      <c r="AB38" s="10">
        <f>6/61299*100</f>
        <v>0.009788087897</v>
      </c>
      <c r="AC38" s="10">
        <f>53/61299*100</f>
        <v>0.08646144309</v>
      </c>
      <c r="AD38" s="7">
        <f>13/61299*100</f>
        <v>0.02120752378</v>
      </c>
      <c r="AE38" s="7">
        <f>22/61299*100</f>
        <v>0.03588965562</v>
      </c>
      <c r="AF38" s="5">
        <v>0.0</v>
      </c>
      <c r="AG38" s="7">
        <f>50/61299*100</f>
        <v>0.08156739914</v>
      </c>
      <c r="AH38" s="5">
        <v>0.0</v>
      </c>
      <c r="AI38" s="9">
        <f>10/61299*100</f>
        <v>0.01631347983</v>
      </c>
      <c r="AJ38" s="5">
        <v>0.0</v>
      </c>
      <c r="AK38" s="5">
        <v>0.0</v>
      </c>
      <c r="AL38" s="5">
        <v>0.0</v>
      </c>
      <c r="AM38" s="5">
        <v>0.0</v>
      </c>
      <c r="AN38" s="5">
        <v>0.0</v>
      </c>
      <c r="AO38" s="10">
        <f>5/61299*100</f>
        <v>0.008156739914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10">
        <f>3/61299*100</f>
        <v>0.004894043949</v>
      </c>
      <c r="AW38" s="10">
        <f>9/61299*100</f>
        <v>0.01468213185</v>
      </c>
      <c r="AX38" s="5">
        <v>0.0</v>
      </c>
      <c r="AY38" s="5">
        <v>0.0</v>
      </c>
      <c r="AZ38" s="5">
        <v>0.0</v>
      </c>
      <c r="BA38" s="5">
        <v>0.0</v>
      </c>
      <c r="BB38" s="5">
        <v>0.0</v>
      </c>
      <c r="BC38" s="5">
        <v>0.0</v>
      </c>
      <c r="BD38" s="5">
        <v>0.0</v>
      </c>
      <c r="BE38" s="5">
        <v>0.0</v>
      </c>
      <c r="BF38" s="10">
        <f>6/61299*100</f>
        <v>0.009788087897</v>
      </c>
      <c r="BG38" s="5">
        <v>0.0</v>
      </c>
      <c r="BH38" s="5">
        <v>0.0</v>
      </c>
      <c r="BI38" s="5">
        <v>0.0</v>
      </c>
      <c r="BJ38" s="5">
        <v>0.0</v>
      </c>
      <c r="BK38" s="5">
        <v>0.0</v>
      </c>
      <c r="BL38" s="5">
        <v>0.0</v>
      </c>
      <c r="BM38" s="7">
        <f t="shared" si="2"/>
        <v>100</v>
      </c>
      <c r="BN38" s="8"/>
    </row>
    <row r="39">
      <c r="A39" s="1" t="s">
        <v>102</v>
      </c>
      <c r="B39" s="1">
        <f>177/47026*100</f>
        <v>0.3763875303</v>
      </c>
      <c r="C39" s="2">
        <f>8192/47026*100</f>
        <v>17.42015056</v>
      </c>
      <c r="D39" s="2">
        <f>6832/47026*100</f>
        <v>14.52813337</v>
      </c>
      <c r="E39" s="2">
        <f>25797/47026*100</f>
        <v>54.85688768</v>
      </c>
      <c r="F39" s="1">
        <v>0.0</v>
      </c>
      <c r="G39" s="1">
        <v>0.0</v>
      </c>
      <c r="H39" s="9">
        <f>625/47026*100</f>
        <v>1.329052014</v>
      </c>
      <c r="I39" s="1">
        <v>0.0</v>
      </c>
      <c r="J39" s="1">
        <f>1268/47026*100</f>
        <v>2.696380726</v>
      </c>
      <c r="K39" s="1">
        <f>181/47026*100</f>
        <v>0.3848934632</v>
      </c>
      <c r="L39" s="7">
        <f>7/47026*100</f>
        <v>0.01488538255</v>
      </c>
      <c r="M39" s="10">
        <f>8/47026*100</f>
        <v>0.01701186578</v>
      </c>
      <c r="N39" s="7">
        <f>169/47026*100</f>
        <v>0.3593756645</v>
      </c>
      <c r="O39" s="7">
        <f>10/47026*100</f>
        <v>0.02126483222</v>
      </c>
      <c r="P39" s="1">
        <f>3332/47026*100</f>
        <v>7.085442096</v>
      </c>
      <c r="Q39" s="1">
        <f>94/47026*100</f>
        <v>0.1998894229</v>
      </c>
      <c r="R39" s="7">
        <f>52/47026*100</f>
        <v>0.1105771275</v>
      </c>
      <c r="S39" s="7">
        <f>31/47026*100</f>
        <v>0.06592097988</v>
      </c>
      <c r="T39" s="7">
        <f>2/47026*100</f>
        <v>0.004252966444</v>
      </c>
      <c r="U39" s="7">
        <f>14/47026*100</f>
        <v>0.02977076511</v>
      </c>
      <c r="V39" s="10">
        <f>9/47026*100</f>
        <v>0.019138349</v>
      </c>
      <c r="W39" s="1">
        <v>0.0</v>
      </c>
      <c r="X39" s="5">
        <v>0.0</v>
      </c>
      <c r="Y39" s="10">
        <f>3/47026*100</f>
        <v>0.006379449666</v>
      </c>
      <c r="Z39" s="7">
        <f>11/47026*100</f>
        <v>0.02339131544</v>
      </c>
      <c r="AA39" s="7">
        <f>13/47026*100</f>
        <v>0.02764428189</v>
      </c>
      <c r="AB39" s="10">
        <f>4/47026*100</f>
        <v>0.008505932888</v>
      </c>
      <c r="AC39" s="10">
        <f>3/47026*100</f>
        <v>0.006379449666</v>
      </c>
      <c r="AD39" s="7">
        <f>6/47026*100</f>
        <v>0.01275889933</v>
      </c>
      <c r="AE39" s="7">
        <f>114/47026*100</f>
        <v>0.2424190873</v>
      </c>
      <c r="AF39" s="5">
        <v>0.0</v>
      </c>
      <c r="AG39" s="7">
        <f>8/47026*100</f>
        <v>0.01701186578</v>
      </c>
      <c r="AH39" s="10">
        <f>3/47026*100</f>
        <v>0.006379449666</v>
      </c>
      <c r="AI39" s="9">
        <f>57/47026*100</f>
        <v>0.1212095437</v>
      </c>
      <c r="AJ39" s="5">
        <v>0.0</v>
      </c>
      <c r="AK39" s="5">
        <v>0.0</v>
      </c>
      <c r="AL39" s="5">
        <v>0.0</v>
      </c>
      <c r="AM39" s="5">
        <v>0.0</v>
      </c>
      <c r="AN39" s="5">
        <v>0.0</v>
      </c>
      <c r="AO39" s="10">
        <f>4/47026*100</f>
        <v>0.008505932888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  <c r="AZ39" s="5">
        <v>0.0</v>
      </c>
      <c r="BA39" s="5">
        <v>0.0</v>
      </c>
      <c r="BB39" s="5">
        <v>0.0</v>
      </c>
      <c r="BC39" s="5">
        <v>0.0</v>
      </c>
      <c r="BD39" s="5">
        <v>0.0</v>
      </c>
      <c r="BE39" s="5">
        <v>0.0</v>
      </c>
      <c r="BF39" s="5">
        <v>0.0</v>
      </c>
      <c r="BG39" s="5">
        <v>0.0</v>
      </c>
      <c r="BH39" s="5">
        <v>0.0</v>
      </c>
      <c r="BI39" s="5">
        <v>0.0</v>
      </c>
      <c r="BJ39" s="5">
        <v>0.0</v>
      </c>
      <c r="BK39" s="5">
        <v>0.0</v>
      </c>
      <c r="BL39" s="5">
        <v>0.0</v>
      </c>
      <c r="BM39" s="7">
        <f t="shared" si="2"/>
        <v>100</v>
      </c>
      <c r="BN39" s="8"/>
    </row>
    <row r="40">
      <c r="A40" s="1" t="s">
        <v>103</v>
      </c>
      <c r="B40" s="1">
        <f>254/37087*100</f>
        <v>0.6848761021</v>
      </c>
      <c r="C40" s="2">
        <f>3265/37087*100</f>
        <v>8.803623911</v>
      </c>
      <c r="D40" s="2">
        <f>3348/37087*100</f>
        <v>9.027422008</v>
      </c>
      <c r="E40" s="2">
        <f>26800/37087*100</f>
        <v>72.26251786</v>
      </c>
      <c r="F40" s="1">
        <v>0.0</v>
      </c>
      <c r="G40" s="7">
        <f>7/37087*100</f>
        <v>0.01887453825</v>
      </c>
      <c r="H40" s="3">
        <f>534/37087*100</f>
        <v>1.439857632</v>
      </c>
      <c r="I40" s="1">
        <v>0.0</v>
      </c>
      <c r="J40" s="7">
        <f>80/37087*100</f>
        <v>0.2157090085</v>
      </c>
      <c r="K40" s="1">
        <f>1054/37087*100</f>
        <v>2.841966188</v>
      </c>
      <c r="L40" s="7">
        <f>16/37087*100</f>
        <v>0.04314180171</v>
      </c>
      <c r="M40" s="5">
        <v>0.0</v>
      </c>
      <c r="N40" s="7">
        <f>95/37087*100</f>
        <v>0.2561544477</v>
      </c>
      <c r="O40" s="7">
        <f>5/37087*100</f>
        <v>0.01348181303</v>
      </c>
      <c r="P40" s="1">
        <f>1178/37087*100</f>
        <v>3.176315151</v>
      </c>
      <c r="Q40" s="7">
        <f>2/37087*100</f>
        <v>0.005392725214</v>
      </c>
      <c r="R40" s="7">
        <f>9/37087*100</f>
        <v>0.02426726346</v>
      </c>
      <c r="S40" s="7">
        <f>117/37087*100/37087*100</f>
        <v>0.000850633443</v>
      </c>
      <c r="T40" s="7">
        <f>20/37087*100</f>
        <v>0.05392725214</v>
      </c>
      <c r="U40" s="7">
        <f>9/37087*100</f>
        <v>0.02426726346</v>
      </c>
      <c r="V40" s="10">
        <f>34/37087*100</f>
        <v>0.09167632863</v>
      </c>
      <c r="W40" s="7">
        <f>196/37087*100</f>
        <v>0.5284870709</v>
      </c>
      <c r="X40" s="5">
        <v>0.0</v>
      </c>
      <c r="Y40" s="10">
        <f>8/37087*100</f>
        <v>0.02157090085</v>
      </c>
      <c r="Z40" s="7">
        <f>10/37087*100</f>
        <v>0.02696362607</v>
      </c>
      <c r="AA40" s="7">
        <f>14/37087*100</f>
        <v>0.0377490765</v>
      </c>
      <c r="AB40" s="5">
        <v>0.0</v>
      </c>
      <c r="AC40" s="10">
        <f>4/37087*100</f>
        <v>0.01078545043</v>
      </c>
      <c r="AD40" s="1">
        <v>0.0</v>
      </c>
      <c r="AE40" s="7">
        <f>7/37087*100</f>
        <v>0.01887453825</v>
      </c>
      <c r="AF40" s="5">
        <v>0.0</v>
      </c>
      <c r="AG40" s="7">
        <f>14/37087*100</f>
        <v>0.0377490765</v>
      </c>
      <c r="AH40" s="5">
        <v>0.0</v>
      </c>
      <c r="AI40" s="9">
        <f>3/37087*100</f>
        <v>0.008089087821</v>
      </c>
      <c r="AJ40" s="5">
        <v>0.0</v>
      </c>
      <c r="AK40" s="10">
        <f>4/37087*100</f>
        <v>0.01078545043</v>
      </c>
      <c r="AL40" s="5">
        <v>0.0</v>
      </c>
      <c r="AM40" s="5">
        <v>0.0</v>
      </c>
      <c r="AN40" s="5">
        <v>0.0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  <c r="AZ40" s="5">
        <v>0.0</v>
      </c>
      <c r="BA40" s="5">
        <v>0.0</v>
      </c>
      <c r="BB40" s="5">
        <v>0.0</v>
      </c>
      <c r="BC40" s="5">
        <v>0.0</v>
      </c>
      <c r="BD40" s="5">
        <v>0.0</v>
      </c>
      <c r="BE40" s="5">
        <v>0.0</v>
      </c>
      <c r="BF40" s="5">
        <v>0.0</v>
      </c>
      <c r="BG40" s="5">
        <v>0.0</v>
      </c>
      <c r="BH40" s="5">
        <v>0.0</v>
      </c>
      <c r="BI40" s="5">
        <v>0.0</v>
      </c>
      <c r="BJ40" s="5">
        <v>0.0</v>
      </c>
      <c r="BK40" s="5">
        <v>0.0</v>
      </c>
      <c r="BL40" s="5">
        <v>0.0</v>
      </c>
      <c r="BM40" s="7">
        <f t="shared" si="2"/>
        <v>99.68537621</v>
      </c>
    </row>
    <row r="41">
      <c r="A41" s="1" t="s">
        <v>104</v>
      </c>
      <c r="B41" s="1">
        <f>621/62853*100</f>
        <v>0.9880196649</v>
      </c>
      <c r="C41" s="2">
        <f>11665/62853*100</f>
        <v>18.55917776</v>
      </c>
      <c r="D41" s="2">
        <f>6841/62853*100</f>
        <v>10.88412645</v>
      </c>
      <c r="E41" s="2">
        <f>36470/62853*100</f>
        <v>58.02427887</v>
      </c>
      <c r="F41" s="7">
        <f>18/62853*100</f>
        <v>0.02863825116</v>
      </c>
      <c r="G41" s="7">
        <f>5/62853*100</f>
        <v>0.007955069766</v>
      </c>
      <c r="H41" s="3">
        <f>564/62853*100</f>
        <v>0.8973318696</v>
      </c>
      <c r="I41" s="1">
        <v>0.0</v>
      </c>
      <c r="J41" s="7">
        <f>99/62853*100</f>
        <v>0.1575103814</v>
      </c>
      <c r="K41" s="1">
        <f>2063/62853*100</f>
        <v>3.282261785</v>
      </c>
      <c r="L41" s="1">
        <f>40/62853*100</f>
        <v>0.06364055813</v>
      </c>
      <c r="M41" s="10">
        <f>11/62853*100</f>
        <v>0.01750115349</v>
      </c>
      <c r="N41" s="7">
        <f>221/62853*100</f>
        <v>0.3516140837</v>
      </c>
      <c r="O41" s="7">
        <f>12/62853*100</f>
        <v>0.01909216744</v>
      </c>
      <c r="P41" s="1">
        <f>2881/62853*100</f>
        <v>4.583711199</v>
      </c>
      <c r="Q41" s="7">
        <f>9/62853*100</f>
        <v>0.01431912558</v>
      </c>
      <c r="R41" s="7">
        <f>18/62853*100</f>
        <v>0.02863825116</v>
      </c>
      <c r="S41" s="1">
        <f>214/62853*100</f>
        <v>0.340476986</v>
      </c>
      <c r="T41" s="7">
        <f>20/62853*100</f>
        <v>0.03182027906</v>
      </c>
      <c r="U41" s="7">
        <f>17/62853*100</f>
        <v>0.0270472372</v>
      </c>
      <c r="V41" s="10">
        <f>53/62853*100</f>
        <v>0.08432373952</v>
      </c>
      <c r="W41" s="1">
        <f>813/62853*100</f>
        <v>1.293494344</v>
      </c>
      <c r="X41" s="10">
        <f>6/62853*100</f>
        <v>0.009546083719</v>
      </c>
      <c r="Y41" s="10">
        <f>27/62853*100</f>
        <v>0.04295737674</v>
      </c>
      <c r="Z41" s="7">
        <f>22/62853*100</f>
        <v>0.03500230697</v>
      </c>
      <c r="AA41" s="7">
        <f>46/62853*100</f>
        <v>0.07318664185</v>
      </c>
      <c r="AB41" s="5">
        <v>0.0</v>
      </c>
      <c r="AC41" s="10">
        <f>12/62853*100</f>
        <v>0.01909216744</v>
      </c>
      <c r="AD41" s="7">
        <f>9/62853*100</f>
        <v>0.01431912558</v>
      </c>
      <c r="AE41" s="7">
        <f>21/62853*100</f>
        <v>0.03341129302</v>
      </c>
      <c r="AF41" s="5">
        <v>0.0</v>
      </c>
      <c r="AG41" s="7">
        <f>52/62853*100</f>
        <v>0.08273272557</v>
      </c>
      <c r="AH41" s="5">
        <v>0.0</v>
      </c>
      <c r="AI41" s="9">
        <f>3/62853*100</f>
        <v>0.00477304186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5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  <c r="AZ41" s="5">
        <v>0.0</v>
      </c>
      <c r="BA41" s="5">
        <v>0.0</v>
      </c>
      <c r="BB41" s="5">
        <v>0.0</v>
      </c>
      <c r="BC41" s="5">
        <v>0.0</v>
      </c>
      <c r="BD41" s="5">
        <v>0.0</v>
      </c>
      <c r="BE41" s="5">
        <v>0.0</v>
      </c>
      <c r="BF41" s="5">
        <v>0.0</v>
      </c>
      <c r="BG41" s="5">
        <v>0.0</v>
      </c>
      <c r="BH41" s="5">
        <v>0.0</v>
      </c>
      <c r="BI41" s="5">
        <v>0.0</v>
      </c>
      <c r="BJ41" s="5">
        <v>0.0</v>
      </c>
      <c r="BK41" s="5">
        <v>0.0</v>
      </c>
      <c r="BL41" s="5">
        <v>0.0</v>
      </c>
      <c r="BM41" s="7">
        <f t="shared" si="2"/>
        <v>100</v>
      </c>
    </row>
    <row r="42">
      <c r="A42" s="1" t="s">
        <v>105</v>
      </c>
      <c r="B42" s="1">
        <f>40/23904*100</f>
        <v>0.1673360107</v>
      </c>
      <c r="C42" s="2">
        <f>2414/23904*100</f>
        <v>10.09872825</v>
      </c>
      <c r="D42" s="2">
        <f>2036/23904*100</f>
        <v>8.517402945</v>
      </c>
      <c r="E42" s="2">
        <f>13588/23904*100</f>
        <v>56.84404284</v>
      </c>
      <c r="F42" s="1">
        <v>0.0</v>
      </c>
      <c r="G42" s="1">
        <v>0.0</v>
      </c>
      <c r="H42" s="3">
        <f>428/23904*100</f>
        <v>1.790495315</v>
      </c>
      <c r="I42" s="1">
        <v>0.0</v>
      </c>
      <c r="J42" s="1">
        <v>8.0</v>
      </c>
      <c r="K42" s="1">
        <f>632/23904*100</f>
        <v>2.643908969</v>
      </c>
      <c r="L42" s="1">
        <v>33.0</v>
      </c>
      <c r="M42" s="5">
        <v>0.0</v>
      </c>
      <c r="N42" s="1">
        <v>68.0</v>
      </c>
      <c r="O42" s="1">
        <v>2.0</v>
      </c>
      <c r="P42" s="1">
        <f>4252/23904*100</f>
        <v>17.78781794</v>
      </c>
      <c r="Q42" s="1">
        <v>12.0</v>
      </c>
      <c r="R42" s="1">
        <v>14.0</v>
      </c>
      <c r="S42" s="1">
        <v>10.0</v>
      </c>
      <c r="T42" s="1">
        <v>0.0</v>
      </c>
      <c r="U42" s="1">
        <v>7.0</v>
      </c>
      <c r="V42" s="5">
        <v>0.0</v>
      </c>
      <c r="W42" s="1">
        <f>312/23904*100</f>
        <v>1.305220884</v>
      </c>
      <c r="X42" s="5">
        <v>0.0</v>
      </c>
      <c r="Y42" s="5">
        <v>0.0</v>
      </c>
      <c r="Z42" s="1">
        <v>13.0</v>
      </c>
      <c r="AA42" s="1">
        <v>5.0</v>
      </c>
      <c r="AB42" s="5">
        <v>2.0</v>
      </c>
      <c r="AC42" s="5">
        <v>0.0</v>
      </c>
      <c r="AD42" s="1">
        <v>2.0</v>
      </c>
      <c r="AE42" s="1">
        <v>0.0</v>
      </c>
      <c r="AF42" s="5">
        <v>0.0</v>
      </c>
      <c r="AG42" s="1">
        <v>26.0</v>
      </c>
      <c r="AH42" s="5">
        <v>0.0</v>
      </c>
      <c r="AI42" s="3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5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  <c r="AZ42" s="5">
        <v>0.0</v>
      </c>
      <c r="BA42" s="5">
        <v>0.0</v>
      </c>
      <c r="BB42" s="5">
        <v>0.0</v>
      </c>
      <c r="BC42" s="5">
        <v>0.0</v>
      </c>
      <c r="BD42" s="5">
        <v>0.0</v>
      </c>
      <c r="BE42" s="5">
        <v>0.0</v>
      </c>
      <c r="BF42" s="5">
        <v>0.0</v>
      </c>
      <c r="BG42" s="5">
        <v>0.0</v>
      </c>
      <c r="BH42" s="5">
        <v>0.0</v>
      </c>
      <c r="BI42" s="5">
        <v>0.0</v>
      </c>
      <c r="BJ42" s="5">
        <v>0.0</v>
      </c>
      <c r="BK42" s="5">
        <v>0.0</v>
      </c>
      <c r="BL42" s="5">
        <v>0.0</v>
      </c>
      <c r="BM42" s="7">
        <f t="shared" si="2"/>
        <v>301.1549531</v>
      </c>
    </row>
    <row r="43">
      <c r="A43" s="1" t="s">
        <v>106</v>
      </c>
      <c r="B43" s="11">
        <v>2.64420654977933</v>
      </c>
      <c r="C43" s="12">
        <v>26.941724556888</v>
      </c>
      <c r="D43" s="2">
        <v>13.579</v>
      </c>
      <c r="E43" s="2">
        <v>40.977</v>
      </c>
      <c r="F43" s="1">
        <v>5.0</v>
      </c>
      <c r="G43" s="1">
        <v>2.0</v>
      </c>
      <c r="H43" s="3">
        <v>314.0</v>
      </c>
      <c r="I43" s="1">
        <v>0.0</v>
      </c>
      <c r="J43" s="1">
        <v>41.0</v>
      </c>
      <c r="K43" s="1">
        <v>299.0</v>
      </c>
      <c r="L43" s="1">
        <v>22.0</v>
      </c>
      <c r="M43" s="5">
        <v>12.0</v>
      </c>
      <c r="N43" s="1">
        <v>61.0</v>
      </c>
      <c r="O43" s="1">
        <v>5.0</v>
      </c>
      <c r="P43" s="1">
        <f>6484/41290*100</f>
        <v>15.70356018</v>
      </c>
      <c r="Q43" s="1">
        <v>0.0</v>
      </c>
      <c r="R43" s="1">
        <v>9.0</v>
      </c>
      <c r="S43" s="1">
        <v>33.0</v>
      </c>
      <c r="T43" s="1">
        <v>2.0</v>
      </c>
      <c r="U43" s="1">
        <v>3.0</v>
      </c>
      <c r="V43" s="5">
        <v>4.0</v>
      </c>
      <c r="W43" s="1">
        <v>234.0</v>
      </c>
      <c r="X43" s="5">
        <v>0.0</v>
      </c>
      <c r="Y43" s="5">
        <v>15.0</v>
      </c>
      <c r="Z43" s="1">
        <v>4.0</v>
      </c>
      <c r="AA43" s="1">
        <v>17.0</v>
      </c>
      <c r="AB43" s="5">
        <v>4.0</v>
      </c>
      <c r="AC43" s="5">
        <v>12.0</v>
      </c>
      <c r="AD43" s="1">
        <v>4.0</v>
      </c>
      <c r="AE43" s="1">
        <v>4.0</v>
      </c>
      <c r="AF43" s="5">
        <v>0.0</v>
      </c>
      <c r="AG43" s="1">
        <v>18.0</v>
      </c>
      <c r="AH43" s="5">
        <v>0.0</v>
      </c>
      <c r="AI43" s="3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5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  <c r="AZ43" s="5">
        <v>0.0</v>
      </c>
      <c r="BA43" s="5">
        <v>0.0</v>
      </c>
      <c r="BB43" s="5">
        <v>0.0</v>
      </c>
      <c r="BC43" s="5">
        <v>0.0</v>
      </c>
      <c r="BD43" s="5">
        <v>0.0</v>
      </c>
      <c r="BE43" s="5">
        <v>0.0</v>
      </c>
      <c r="BF43" s="5">
        <v>0.0</v>
      </c>
      <c r="BG43" s="5">
        <v>0.0</v>
      </c>
      <c r="BH43" s="5">
        <v>0.0</v>
      </c>
      <c r="BI43" s="5">
        <v>0.0</v>
      </c>
      <c r="BJ43" s="5">
        <v>0.0</v>
      </c>
      <c r="BK43" s="5">
        <v>0.0</v>
      </c>
      <c r="BL43" s="5">
        <v>0.0</v>
      </c>
      <c r="BM43" s="7">
        <f t="shared" si="2"/>
        <v>1223.845491</v>
      </c>
    </row>
    <row r="44">
      <c r="A44" s="13" t="s">
        <v>107</v>
      </c>
      <c r="B44" s="13">
        <v>110.0</v>
      </c>
      <c r="C44" s="13">
        <f>6550/42294*100</f>
        <v>15.48683028</v>
      </c>
      <c r="D44" s="13">
        <f>14201/42294*100</f>
        <v>33.5768667</v>
      </c>
      <c r="E44" s="13">
        <f>15525/42294*100</f>
        <v>36.70733437</v>
      </c>
      <c r="F44" s="13">
        <v>0.0</v>
      </c>
      <c r="G44" s="13">
        <v>9.0</v>
      </c>
      <c r="H44" s="13">
        <v>280.0</v>
      </c>
      <c r="I44" s="13">
        <v>25.0</v>
      </c>
      <c r="J44" s="13">
        <f>1550/42294*100</f>
        <v>3.664822433</v>
      </c>
      <c r="K44" s="13">
        <f>600/42294*100</f>
        <v>1.418640942</v>
      </c>
      <c r="L44" s="13">
        <v>30.0</v>
      </c>
      <c r="M44" s="5">
        <v>0.0</v>
      </c>
      <c r="N44" s="13">
        <v>290.0</v>
      </c>
      <c r="O44" s="13">
        <v>44.0</v>
      </c>
      <c r="P44" s="13">
        <f>2301/42294*100</f>
        <v>5.440488012</v>
      </c>
      <c r="Q44" s="13">
        <v>91.0</v>
      </c>
      <c r="R44" s="13">
        <v>105.0</v>
      </c>
      <c r="S44" s="13">
        <v>4.0</v>
      </c>
      <c r="T44" s="13">
        <v>7.0</v>
      </c>
      <c r="U44" s="13">
        <v>34.0</v>
      </c>
      <c r="V44" s="5">
        <v>0.0</v>
      </c>
      <c r="W44" s="13">
        <v>2.0</v>
      </c>
      <c r="X44" s="5">
        <v>10.0</v>
      </c>
      <c r="Y44" s="5">
        <v>2.0</v>
      </c>
      <c r="Z44" s="13">
        <v>17.0</v>
      </c>
      <c r="AA44" s="13">
        <v>150.0</v>
      </c>
      <c r="AB44" s="5">
        <v>10.0</v>
      </c>
      <c r="AC44" s="5">
        <v>0.0</v>
      </c>
      <c r="AD44" s="13">
        <v>30.0</v>
      </c>
      <c r="AE44" s="13">
        <v>215.0</v>
      </c>
      <c r="AF44" s="5">
        <v>0.0</v>
      </c>
      <c r="AG44" s="13">
        <v>13.0</v>
      </c>
      <c r="AH44" s="5">
        <v>9.0</v>
      </c>
      <c r="AI44" s="13">
        <v>39.0</v>
      </c>
      <c r="AJ44" s="5">
        <v>0.0</v>
      </c>
      <c r="AK44" s="5">
        <v>33.0</v>
      </c>
      <c r="AL44" s="5">
        <v>3.0</v>
      </c>
      <c r="AM44" s="5">
        <v>0.0</v>
      </c>
      <c r="AN44" s="5">
        <v>0.0</v>
      </c>
      <c r="AO44" s="5">
        <v>5.0</v>
      </c>
      <c r="AP44" s="5">
        <v>0.0</v>
      </c>
      <c r="AQ44" s="5">
        <v>0.0</v>
      </c>
      <c r="AR44" s="5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  <c r="AZ44" s="5">
        <v>0.0</v>
      </c>
      <c r="BA44" s="5">
        <v>0.0</v>
      </c>
      <c r="BB44" s="5">
        <v>0.0</v>
      </c>
      <c r="BC44" s="5">
        <v>0.0</v>
      </c>
      <c r="BD44" s="5">
        <v>0.0</v>
      </c>
      <c r="BE44" s="5">
        <v>0.0</v>
      </c>
      <c r="BF44" s="5">
        <v>0.0</v>
      </c>
      <c r="BG44" s="5">
        <v>0.0</v>
      </c>
      <c r="BH44" s="5">
        <v>0.0</v>
      </c>
      <c r="BI44" s="5">
        <v>0.0</v>
      </c>
      <c r="BJ44" s="5">
        <v>0.0</v>
      </c>
      <c r="BK44" s="5">
        <v>0.0</v>
      </c>
      <c r="BL44" s="5">
        <v>0.0</v>
      </c>
      <c r="BM44" s="14">
        <f t="shared" si="2"/>
        <v>1663.294983</v>
      </c>
      <c r="BN44" s="15"/>
      <c r="BO44" s="14"/>
      <c r="BP44" s="14"/>
      <c r="BQ44" s="14"/>
      <c r="BR44" s="14"/>
      <c r="BS44" s="14"/>
      <c r="BT44" s="14"/>
      <c r="BU44" s="14"/>
      <c r="BV44" s="14"/>
      <c r="BW44" s="14"/>
      <c r="BX44" s="14"/>
    </row>
    <row r="45">
      <c r="A45" s="1" t="s">
        <v>108</v>
      </c>
      <c r="B45" s="1">
        <v>140.0</v>
      </c>
      <c r="C45" s="1">
        <f>4543/48646*100</f>
        <v>9.33889734</v>
      </c>
      <c r="D45" s="1">
        <f>20406/48646*100</f>
        <v>41.9479505</v>
      </c>
      <c r="E45" s="1">
        <f>17743/48646*100</f>
        <v>36.47370801</v>
      </c>
      <c r="F45" s="1">
        <v>0.0</v>
      </c>
      <c r="G45" s="1">
        <v>15.0</v>
      </c>
      <c r="H45" s="1">
        <v>227.0</v>
      </c>
      <c r="I45" s="1">
        <v>0.0</v>
      </c>
      <c r="J45" s="1">
        <v>254.0</v>
      </c>
      <c r="K45" s="1">
        <f>640/48646*100</f>
        <v>1.315627184</v>
      </c>
      <c r="L45" s="1">
        <v>75.0</v>
      </c>
      <c r="M45" s="5">
        <v>0.0</v>
      </c>
      <c r="N45" s="1">
        <v>356.0</v>
      </c>
      <c r="O45" s="1">
        <v>6.0</v>
      </c>
      <c r="P45" s="1">
        <f>3523/48646*100</f>
        <v>7.242116515</v>
      </c>
      <c r="Q45" s="1">
        <v>82.0</v>
      </c>
      <c r="R45" s="1">
        <v>227.0</v>
      </c>
      <c r="S45" s="1">
        <v>17.0</v>
      </c>
      <c r="T45" s="1">
        <v>5.0</v>
      </c>
      <c r="U45" s="1">
        <v>54.0</v>
      </c>
      <c r="V45" s="5">
        <v>0.0</v>
      </c>
      <c r="W45" s="1">
        <v>4.0</v>
      </c>
      <c r="X45" s="5">
        <v>0.0</v>
      </c>
      <c r="Y45" s="5">
        <v>4.0</v>
      </c>
      <c r="Z45" s="1">
        <v>20.0</v>
      </c>
      <c r="AA45" s="1">
        <v>53.0</v>
      </c>
      <c r="AB45" s="5">
        <v>17.0</v>
      </c>
      <c r="AC45" s="5">
        <v>0.0</v>
      </c>
      <c r="AD45" s="1">
        <v>28.0</v>
      </c>
      <c r="AE45" s="1">
        <v>178.0</v>
      </c>
      <c r="AF45" s="5">
        <v>0.0</v>
      </c>
      <c r="AG45" s="1">
        <v>9.0</v>
      </c>
      <c r="AH45" s="5">
        <v>0.0</v>
      </c>
      <c r="AI45" s="1">
        <v>11.0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9.0</v>
      </c>
      <c r="AP45" s="5">
        <v>0.0</v>
      </c>
      <c r="AQ45" s="5">
        <v>0.0</v>
      </c>
      <c r="AR45" s="5">
        <v>0.0</v>
      </c>
      <c r="AS45" s="5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  <c r="AZ45" s="5">
        <v>0.0</v>
      </c>
      <c r="BA45" s="5">
        <v>0.0</v>
      </c>
      <c r="BB45" s="5">
        <v>0.0</v>
      </c>
      <c r="BC45" s="5">
        <v>0.0</v>
      </c>
      <c r="BD45" s="5">
        <v>0.0</v>
      </c>
      <c r="BE45" s="5">
        <v>0.0</v>
      </c>
      <c r="BF45" s="5">
        <v>0.0</v>
      </c>
      <c r="BG45" s="5">
        <v>0.0</v>
      </c>
      <c r="BH45" s="5">
        <v>0.0</v>
      </c>
      <c r="BI45" s="5">
        <v>0.0</v>
      </c>
      <c r="BJ45" s="5">
        <v>0.0</v>
      </c>
      <c r="BK45" s="5">
        <v>0.0</v>
      </c>
      <c r="BL45" s="5">
        <v>0.0</v>
      </c>
      <c r="BM45" s="7">
        <f t="shared" si="2"/>
        <v>1887.3183</v>
      </c>
      <c r="BN45" s="8"/>
    </row>
    <row r="46">
      <c r="A46" s="1" t="s">
        <v>109</v>
      </c>
      <c r="B46" s="1">
        <v>342.0</v>
      </c>
      <c r="C46" s="2">
        <f>7406/75022*100</f>
        <v>9.871770947</v>
      </c>
      <c r="D46" s="2">
        <f>9055/75022*100</f>
        <v>12.06979286</v>
      </c>
      <c r="E46" s="2">
        <f>46687/75022*100</f>
        <v>62.23107888</v>
      </c>
      <c r="F46" s="1">
        <v>2.0</v>
      </c>
      <c r="G46" s="1">
        <v>0.0</v>
      </c>
      <c r="H46" s="3">
        <f>5474/75022*100</f>
        <v>7.296526352</v>
      </c>
      <c r="I46" s="1">
        <v>0.0</v>
      </c>
      <c r="J46" s="1">
        <f>2516/75022*100</f>
        <v>3.35368292</v>
      </c>
      <c r="K46" s="1">
        <f>476/75022*100</f>
        <v>0.6344805524</v>
      </c>
      <c r="L46" s="1">
        <v>147.0</v>
      </c>
      <c r="M46" s="5">
        <v>0.0</v>
      </c>
      <c r="N46" s="1">
        <v>232.0</v>
      </c>
      <c r="O46" s="1">
        <v>28.0</v>
      </c>
      <c r="P46" s="1">
        <v>49.0</v>
      </c>
      <c r="Q46" s="1">
        <v>10.0</v>
      </c>
      <c r="R46" s="1">
        <f>1688/75022*100</f>
        <v>2.250006665</v>
      </c>
      <c r="S46" s="1">
        <v>6.0</v>
      </c>
      <c r="T46" s="1">
        <v>24.0</v>
      </c>
      <c r="U46" s="1">
        <v>5.0</v>
      </c>
      <c r="V46" s="5">
        <v>13.0</v>
      </c>
      <c r="W46" s="1">
        <v>199.0</v>
      </c>
      <c r="X46" s="5">
        <v>18.0</v>
      </c>
      <c r="Y46" s="5">
        <v>0.0</v>
      </c>
      <c r="Z46" s="1">
        <v>30.0</v>
      </c>
      <c r="AA46" s="1">
        <v>27.0</v>
      </c>
      <c r="AB46" s="5">
        <v>2.0</v>
      </c>
      <c r="AC46" s="5">
        <v>69.0</v>
      </c>
      <c r="AD46" s="1">
        <v>69.0</v>
      </c>
      <c r="AE46" s="1">
        <v>376.0</v>
      </c>
      <c r="AF46" s="5">
        <v>0.0</v>
      </c>
      <c r="AG46" s="1">
        <v>17.0</v>
      </c>
      <c r="AH46" s="5">
        <v>0.0</v>
      </c>
      <c r="AI46" s="3">
        <v>55.0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5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  <c r="AZ46" s="5">
        <v>0.0</v>
      </c>
      <c r="BA46" s="5">
        <v>0.0</v>
      </c>
      <c r="BB46" s="5">
        <v>0.0</v>
      </c>
      <c r="BC46" s="5">
        <v>0.0</v>
      </c>
      <c r="BD46" s="5">
        <v>0.0</v>
      </c>
      <c r="BE46" s="5">
        <v>0.0</v>
      </c>
      <c r="BF46" s="5">
        <v>0.0</v>
      </c>
      <c r="BG46" s="5">
        <v>0.0</v>
      </c>
      <c r="BH46" s="5">
        <v>0.0</v>
      </c>
      <c r="BI46" s="5">
        <v>0.0</v>
      </c>
      <c r="BJ46" s="5">
        <v>0.0</v>
      </c>
      <c r="BK46" s="5">
        <v>0.0</v>
      </c>
      <c r="BL46" s="5">
        <v>0.0</v>
      </c>
      <c r="BM46" s="7">
        <f t="shared" si="2"/>
        <v>1817.707339</v>
      </c>
      <c r="BN46" s="8"/>
    </row>
    <row r="47">
      <c r="A47" s="1" t="s">
        <v>110</v>
      </c>
      <c r="B47" s="1">
        <v>179.0</v>
      </c>
      <c r="C47" s="2">
        <f>7564/54764*100</f>
        <v>13.81199328</v>
      </c>
      <c r="D47" s="2">
        <f>9522/54764*100</f>
        <v>17.38733475</v>
      </c>
      <c r="E47" s="2">
        <f>27557/54764*100</f>
        <v>50.31955299</v>
      </c>
      <c r="F47" s="1">
        <v>4.0</v>
      </c>
      <c r="G47" s="1">
        <v>2.0</v>
      </c>
      <c r="H47" s="3">
        <f>5384/54764*100</f>
        <v>9.831276021</v>
      </c>
      <c r="I47" s="1">
        <v>0.0</v>
      </c>
      <c r="J47" s="1">
        <f>1848/54764*100</f>
        <v>3.374479585</v>
      </c>
      <c r="K47" s="1">
        <f>951/54764*100</f>
        <v>1.736542254</v>
      </c>
      <c r="L47" s="1">
        <v>86.0</v>
      </c>
      <c r="M47" s="5">
        <v>0.0</v>
      </c>
      <c r="N47" s="1">
        <v>151.0</v>
      </c>
      <c r="O47" s="1">
        <v>38.0</v>
      </c>
      <c r="P47" s="1">
        <v>31.0</v>
      </c>
      <c r="Q47" s="1">
        <v>27.0</v>
      </c>
      <c r="R47" s="1">
        <f>513/54764*100</f>
        <v>0.9367467679</v>
      </c>
      <c r="S47" s="1">
        <v>0.0</v>
      </c>
      <c r="T47" s="1">
        <v>3.0</v>
      </c>
      <c r="U47" s="1">
        <v>0.0</v>
      </c>
      <c r="V47" s="5">
        <v>7.0</v>
      </c>
      <c r="W47" s="1">
        <v>291.0</v>
      </c>
      <c r="X47" s="5">
        <v>22.0</v>
      </c>
      <c r="Y47" s="5">
        <v>2.0</v>
      </c>
      <c r="Z47" s="1">
        <v>41.0</v>
      </c>
      <c r="AA47" s="1">
        <v>15.0</v>
      </c>
      <c r="AB47" s="5">
        <v>2.0</v>
      </c>
      <c r="AC47" s="5">
        <v>67.0</v>
      </c>
      <c r="AD47" s="1">
        <v>59.0</v>
      </c>
      <c r="AE47" s="1">
        <v>336.0</v>
      </c>
      <c r="AF47" s="5">
        <v>4.0</v>
      </c>
      <c r="AG47" s="1">
        <v>38.0</v>
      </c>
      <c r="AH47" s="5">
        <v>0.0</v>
      </c>
      <c r="AI47" s="3">
        <v>7.0</v>
      </c>
      <c r="AJ47" s="5">
        <v>0.0</v>
      </c>
      <c r="AK47" s="5">
        <v>8.0</v>
      </c>
      <c r="AL47" s="5">
        <v>0.0</v>
      </c>
      <c r="AM47" s="5">
        <v>0.0</v>
      </c>
      <c r="AN47" s="5">
        <v>0.0</v>
      </c>
      <c r="AO47" s="5">
        <v>3.0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5">
        <v>0.0</v>
      </c>
      <c r="AV47" s="5">
        <v>0.0</v>
      </c>
      <c r="AW47" s="5">
        <v>0.0</v>
      </c>
      <c r="AX47" s="5">
        <v>2.0</v>
      </c>
      <c r="AY47" s="5">
        <v>0.0</v>
      </c>
      <c r="AZ47" s="5">
        <v>0.0</v>
      </c>
      <c r="BA47" s="5">
        <v>0.0</v>
      </c>
      <c r="BB47" s="5">
        <v>0.0</v>
      </c>
      <c r="BC47" s="5">
        <v>0.0</v>
      </c>
      <c r="BD47" s="5">
        <v>0.0</v>
      </c>
      <c r="BE47" s="5">
        <v>0.0</v>
      </c>
      <c r="BF47" s="5">
        <v>0.0</v>
      </c>
      <c r="BG47" s="5">
        <v>0.0</v>
      </c>
      <c r="BH47" s="5">
        <v>0.0</v>
      </c>
      <c r="BI47" s="5">
        <v>0.0</v>
      </c>
      <c r="BJ47" s="5">
        <v>0.0</v>
      </c>
      <c r="BK47" s="5">
        <v>0.0</v>
      </c>
      <c r="BL47" s="5">
        <v>0.0</v>
      </c>
      <c r="BM47" s="7">
        <f t="shared" si="2"/>
        <v>1522.397926</v>
      </c>
      <c r="BN47" s="8"/>
    </row>
    <row r="48">
      <c r="A48" s="1" t="s">
        <v>111</v>
      </c>
      <c r="B48" s="1">
        <v>165.0</v>
      </c>
      <c r="C48" s="2">
        <f>21778/100606*100</f>
        <v>21.64682027</v>
      </c>
      <c r="D48" s="2">
        <f>20577/100606*100</f>
        <v>20.45305449</v>
      </c>
      <c r="E48" s="2">
        <f>42864/100606*100</f>
        <v>42.6058088</v>
      </c>
      <c r="F48" s="1">
        <v>9.0</v>
      </c>
      <c r="G48" s="1">
        <v>0.0</v>
      </c>
      <c r="H48" s="3">
        <f>926/100606*100</f>
        <v>0.9204222412</v>
      </c>
      <c r="I48" s="1">
        <v>0.0</v>
      </c>
      <c r="J48" s="1">
        <v>599.0</v>
      </c>
      <c r="K48" s="1">
        <f>1018/100606*100</f>
        <v>1.011868079</v>
      </c>
      <c r="L48" s="1">
        <v>51.0</v>
      </c>
      <c r="M48" s="5">
        <v>14.0</v>
      </c>
      <c r="N48" s="1">
        <f>2559/100606*100</f>
        <v>2.54358587</v>
      </c>
      <c r="O48" s="1">
        <v>49.0</v>
      </c>
      <c r="P48" s="1">
        <f>7425/100606*100</f>
        <v>7.38027553</v>
      </c>
      <c r="Q48" s="1">
        <v>66.0</v>
      </c>
      <c r="R48" s="1">
        <v>376.0</v>
      </c>
      <c r="S48" s="1">
        <v>48.0</v>
      </c>
      <c r="T48" s="1">
        <v>6.0</v>
      </c>
      <c r="U48" s="1">
        <v>50.0</v>
      </c>
      <c r="V48" s="5">
        <v>33.0</v>
      </c>
      <c r="W48" s="1">
        <v>54.0</v>
      </c>
      <c r="X48" s="5">
        <v>3.0</v>
      </c>
      <c r="Y48" s="5">
        <v>15.0</v>
      </c>
      <c r="Z48" s="1">
        <v>10.0</v>
      </c>
      <c r="AA48" s="1">
        <v>67.0</v>
      </c>
      <c r="AB48" s="5">
        <v>8.0</v>
      </c>
      <c r="AC48" s="5">
        <v>2.0</v>
      </c>
      <c r="AD48" s="1">
        <f>1578/100606*100</f>
        <v>1.568494921</v>
      </c>
      <c r="AE48" s="1">
        <v>160.0</v>
      </c>
      <c r="AF48" s="5">
        <v>2.0</v>
      </c>
      <c r="AG48" s="1">
        <v>10.0</v>
      </c>
      <c r="AH48" s="5">
        <v>0.0</v>
      </c>
      <c r="AI48" s="3">
        <v>59.0</v>
      </c>
      <c r="AJ48" s="5">
        <v>0.0</v>
      </c>
      <c r="AK48" s="5">
        <v>2.0</v>
      </c>
      <c r="AL48" s="5">
        <v>3.0</v>
      </c>
      <c r="AM48" s="5">
        <v>0.0</v>
      </c>
      <c r="AN48" s="5">
        <v>0.0</v>
      </c>
      <c r="AO48" s="5">
        <v>5.0</v>
      </c>
      <c r="AP48" s="5">
        <v>2.0</v>
      </c>
      <c r="AQ48" s="5">
        <v>4.0</v>
      </c>
      <c r="AR48" s="5">
        <v>0.0</v>
      </c>
      <c r="AS48" s="5">
        <v>0.0</v>
      </c>
      <c r="AT48" s="5">
        <v>0.0</v>
      </c>
      <c r="AU48" s="5">
        <v>0.0</v>
      </c>
      <c r="AV48" s="5">
        <v>4.0</v>
      </c>
      <c r="AW48" s="5">
        <v>0.0</v>
      </c>
      <c r="AX48" s="5">
        <v>0.0</v>
      </c>
      <c r="AY48" s="5">
        <v>2.0</v>
      </c>
      <c r="AZ48" s="5">
        <v>0.0</v>
      </c>
      <c r="BA48" s="5">
        <v>0.0</v>
      </c>
      <c r="BB48" s="5">
        <v>0.0</v>
      </c>
      <c r="BC48" s="5">
        <v>0.0</v>
      </c>
      <c r="BD48" s="5">
        <v>0.0</v>
      </c>
      <c r="BE48" s="5">
        <v>0.0</v>
      </c>
      <c r="BF48" s="5">
        <v>0.0</v>
      </c>
      <c r="BG48" s="5">
        <v>0.0</v>
      </c>
      <c r="BH48" s="5">
        <v>3.0</v>
      </c>
      <c r="BI48" s="5">
        <v>0.0</v>
      </c>
      <c r="BJ48" s="5">
        <v>0.0</v>
      </c>
      <c r="BK48" s="5">
        <v>0.0</v>
      </c>
      <c r="BL48" s="5">
        <v>0.0</v>
      </c>
      <c r="BM48" s="7">
        <f t="shared" si="2"/>
        <v>1979.13033</v>
      </c>
      <c r="BN48" s="8"/>
    </row>
    <row r="49">
      <c r="A49" s="1" t="s">
        <v>112</v>
      </c>
      <c r="B49" s="1">
        <v>67.0</v>
      </c>
      <c r="C49" s="2">
        <f>10297/53688*100</f>
        <v>19.17933244</v>
      </c>
      <c r="D49" s="2">
        <f>10473/53688*100</f>
        <v>19.50715244</v>
      </c>
      <c r="E49" s="2">
        <f>25344/53688*100</f>
        <v>47.20607957</v>
      </c>
      <c r="F49" s="1">
        <v>11.0</v>
      </c>
      <c r="G49" s="1">
        <v>0.0</v>
      </c>
      <c r="H49" s="3">
        <f>521/53688*100</f>
        <v>0.9704216957</v>
      </c>
      <c r="I49" s="1">
        <v>3.0</v>
      </c>
      <c r="J49" s="1">
        <v>190.0</v>
      </c>
      <c r="K49" s="1">
        <v>373.0</v>
      </c>
      <c r="L49" s="1">
        <v>18.0</v>
      </c>
      <c r="M49" s="5">
        <v>3.0</v>
      </c>
      <c r="N49" s="1">
        <f>1140/53688*100</f>
        <v>2.123379526</v>
      </c>
      <c r="O49" s="1">
        <v>45.0</v>
      </c>
      <c r="P49" s="1">
        <f>3911/53688*100</f>
        <v>7.284681866</v>
      </c>
      <c r="Q49" s="1">
        <v>55.0</v>
      </c>
      <c r="R49" s="1">
        <v>170.0</v>
      </c>
      <c r="S49" s="1">
        <v>21.0</v>
      </c>
      <c r="T49" s="1">
        <v>8.0</v>
      </c>
      <c r="U49" s="1">
        <v>32.0</v>
      </c>
      <c r="V49" s="5">
        <v>4.0</v>
      </c>
      <c r="W49" s="1">
        <v>11.0</v>
      </c>
      <c r="X49" s="5">
        <v>11.0</v>
      </c>
      <c r="Y49" s="5">
        <v>33.0</v>
      </c>
      <c r="Z49" s="1">
        <v>4.0</v>
      </c>
      <c r="AA49" s="1">
        <v>36.0</v>
      </c>
      <c r="AB49" s="5">
        <v>12.0</v>
      </c>
      <c r="AC49" s="5">
        <v>5.0</v>
      </c>
      <c r="AD49" s="1">
        <f>741/53688*100</f>
        <v>1.380196692</v>
      </c>
      <c r="AE49" s="1">
        <v>80.0</v>
      </c>
      <c r="AF49" s="5">
        <v>4.0</v>
      </c>
      <c r="AG49" s="1">
        <v>15.0</v>
      </c>
      <c r="AH49" s="5">
        <v>0.0</v>
      </c>
      <c r="AI49" s="3">
        <v>14.0</v>
      </c>
      <c r="AJ49" s="5">
        <v>0.0</v>
      </c>
      <c r="AK49" s="5">
        <v>5.0</v>
      </c>
      <c r="AL49" s="5">
        <v>2.0</v>
      </c>
      <c r="AM49" s="5">
        <v>0.0</v>
      </c>
      <c r="AN49" s="5">
        <v>0.0</v>
      </c>
      <c r="AO49" s="5">
        <v>7.0</v>
      </c>
      <c r="AP49" s="5">
        <v>0.0</v>
      </c>
      <c r="AQ49" s="5">
        <v>12.0</v>
      </c>
      <c r="AR49" s="5">
        <v>0.0</v>
      </c>
      <c r="AS49" s="5">
        <v>0.0</v>
      </c>
      <c r="AT49" s="5">
        <v>0.0</v>
      </c>
      <c r="AU49" s="5">
        <v>0.0</v>
      </c>
      <c r="AV49" s="5">
        <v>7.0</v>
      </c>
      <c r="AW49" s="5">
        <v>0.0</v>
      </c>
      <c r="AX49" s="5">
        <v>0.0</v>
      </c>
      <c r="AY49" s="5">
        <v>0.0</v>
      </c>
      <c r="AZ49" s="5">
        <v>0.0</v>
      </c>
      <c r="BA49" s="5">
        <v>0.0</v>
      </c>
      <c r="BB49" s="5">
        <v>0.0</v>
      </c>
      <c r="BC49" s="5">
        <v>0.0</v>
      </c>
      <c r="BD49" s="5">
        <v>3.0</v>
      </c>
      <c r="BE49" s="5">
        <v>0.0</v>
      </c>
      <c r="BF49" s="5">
        <v>0.0</v>
      </c>
      <c r="BG49" s="5">
        <v>0.0</v>
      </c>
      <c r="BH49" s="5">
        <v>0.0</v>
      </c>
      <c r="BI49" s="5">
        <v>0.0</v>
      </c>
      <c r="BJ49" s="5">
        <v>0.0</v>
      </c>
      <c r="BK49" s="5">
        <v>0.0</v>
      </c>
      <c r="BL49" s="5">
        <v>0.0</v>
      </c>
      <c r="BM49" s="7">
        <f t="shared" si="2"/>
        <v>1358.651244</v>
      </c>
      <c r="BN49" s="8"/>
    </row>
    <row r="50">
      <c r="A50" s="1" t="s">
        <v>113</v>
      </c>
      <c r="B50" s="1">
        <f>691/43634*100</f>
        <v>1.583627446</v>
      </c>
      <c r="C50" s="2">
        <f>886/43634*100</f>
        <v>2.030526654</v>
      </c>
      <c r="D50" s="2">
        <f>1131/43634*100</f>
        <v>2.592015401</v>
      </c>
      <c r="E50" s="2">
        <f>24657/43634*100</f>
        <v>56.50868589</v>
      </c>
      <c r="F50" s="1">
        <v>0.0</v>
      </c>
      <c r="G50" s="1">
        <v>24.0</v>
      </c>
      <c r="H50" s="3">
        <f>12425/43634*100</f>
        <v>28.47550076</v>
      </c>
      <c r="I50" s="1">
        <v>0.0</v>
      </c>
      <c r="J50" s="1">
        <v>67.0</v>
      </c>
      <c r="K50" s="1">
        <f>2186/43634*100</f>
        <v>5.0098547</v>
      </c>
      <c r="L50" s="1">
        <v>5.0</v>
      </c>
      <c r="M50" s="5">
        <v>0.0</v>
      </c>
      <c r="N50" s="1">
        <v>43.0</v>
      </c>
      <c r="O50" s="1">
        <v>0.0</v>
      </c>
      <c r="P50" s="1">
        <v>12.0</v>
      </c>
      <c r="Q50" s="1">
        <v>18.0</v>
      </c>
      <c r="R50" s="1">
        <v>0.0</v>
      </c>
      <c r="S50" s="1">
        <v>110.0</v>
      </c>
      <c r="T50" s="1">
        <v>5.0</v>
      </c>
      <c r="U50" s="1">
        <v>11.0</v>
      </c>
      <c r="V50" s="5">
        <v>87.0</v>
      </c>
      <c r="W50" s="1">
        <v>0.0</v>
      </c>
      <c r="X50" s="5">
        <v>0.0</v>
      </c>
      <c r="Y50" s="5">
        <v>0.0</v>
      </c>
      <c r="Z50" s="1">
        <v>163.0</v>
      </c>
      <c r="AA50" s="1">
        <v>0.0</v>
      </c>
      <c r="AB50" s="5">
        <v>0.0</v>
      </c>
      <c r="AC50" s="5">
        <v>0.0</v>
      </c>
      <c r="AD50" s="1">
        <v>2.0</v>
      </c>
      <c r="AE50" s="1">
        <f>515/43634*100</f>
        <v>1.180272265</v>
      </c>
      <c r="AF50" s="5">
        <v>0.0</v>
      </c>
      <c r="AG50" s="1">
        <v>45.0</v>
      </c>
      <c r="AH50" s="5">
        <v>0.0</v>
      </c>
      <c r="AI50" s="3">
        <f>542/43634*100</f>
        <v>1.242150616</v>
      </c>
      <c r="AJ50" s="5">
        <v>0.0</v>
      </c>
      <c r="AK50" s="5">
        <v>2.0</v>
      </c>
      <c r="AL50" s="5">
        <v>0.0</v>
      </c>
      <c r="AM50" s="5">
        <v>0.0</v>
      </c>
      <c r="AN50" s="5">
        <v>0.0</v>
      </c>
      <c r="AO50" s="5">
        <v>7.0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5">
        <v>0.0</v>
      </c>
      <c r="AY50" s="5">
        <v>0.0</v>
      </c>
      <c r="AZ50" s="5">
        <v>0.0</v>
      </c>
      <c r="BA50" s="5">
        <v>0.0</v>
      </c>
      <c r="BB50" s="5">
        <v>0.0</v>
      </c>
      <c r="BC50" s="5">
        <v>0.0</v>
      </c>
      <c r="BD50" s="5">
        <v>0.0</v>
      </c>
      <c r="BE50" s="5">
        <v>0.0</v>
      </c>
      <c r="BF50" s="5">
        <v>0.0</v>
      </c>
      <c r="BG50" s="5">
        <v>0.0</v>
      </c>
      <c r="BH50" s="5">
        <v>0.0</v>
      </c>
      <c r="BI50" s="5">
        <v>0.0</v>
      </c>
      <c r="BJ50" s="5">
        <v>0.0</v>
      </c>
      <c r="BK50" s="5">
        <v>0.0</v>
      </c>
      <c r="BL50" s="5">
        <v>0.0</v>
      </c>
      <c r="BM50" s="7">
        <f t="shared" si="2"/>
        <v>699.6226337</v>
      </c>
      <c r="BN50" s="8"/>
    </row>
    <row r="51">
      <c r="A51" s="1" t="s">
        <v>114</v>
      </c>
      <c r="B51" s="1">
        <v>487.0</v>
      </c>
      <c r="C51" s="2">
        <f>6260/51967*100</f>
        <v>12.04610618</v>
      </c>
      <c r="D51" s="2">
        <f>4275/51967*100</f>
        <v>8.22637443</v>
      </c>
      <c r="E51" s="2">
        <f>27991/51967*100</f>
        <v>53.86302846</v>
      </c>
      <c r="F51" s="1">
        <v>5.0</v>
      </c>
      <c r="G51" s="1">
        <v>13.0</v>
      </c>
      <c r="H51" s="3">
        <f>7467/51967*100</f>
        <v>14.368734</v>
      </c>
      <c r="I51" s="1">
        <v>0.0</v>
      </c>
      <c r="J51" s="1">
        <v>40.0</v>
      </c>
      <c r="K51" s="1">
        <f>2306/51967*100</f>
        <v>4.437431447</v>
      </c>
      <c r="L51" s="1">
        <v>6.0</v>
      </c>
      <c r="M51" s="5">
        <v>0.0</v>
      </c>
      <c r="N51" s="1">
        <v>131.0</v>
      </c>
      <c r="O51" s="1">
        <v>0.0</v>
      </c>
      <c r="P51" s="1">
        <v>25.0</v>
      </c>
      <c r="Q51" s="1">
        <v>13.0</v>
      </c>
      <c r="R51" s="1">
        <v>4.0</v>
      </c>
      <c r="S51" s="1">
        <v>153.0</v>
      </c>
      <c r="T51" s="1">
        <v>5.0</v>
      </c>
      <c r="U51" s="1">
        <v>13.0</v>
      </c>
      <c r="V51" s="5">
        <v>58.0</v>
      </c>
      <c r="W51" s="1">
        <v>0.0</v>
      </c>
      <c r="X51" s="5">
        <v>5.0</v>
      </c>
      <c r="Y51" s="5">
        <v>0.0</v>
      </c>
      <c r="Z51" s="1">
        <v>150.0</v>
      </c>
      <c r="AA51" s="1">
        <v>0.0</v>
      </c>
      <c r="AB51" s="5">
        <v>0.0</v>
      </c>
      <c r="AC51" s="5">
        <v>0.0</v>
      </c>
      <c r="AD51" s="1">
        <v>6.0</v>
      </c>
      <c r="AE51" s="7">
        <f>2496/51967*100</f>
        <v>4.803048088</v>
      </c>
      <c r="AF51" s="5">
        <v>0.0</v>
      </c>
      <c r="AG51" s="1">
        <v>46.0</v>
      </c>
      <c r="AH51" s="5">
        <v>0.0</v>
      </c>
      <c r="AI51" s="3">
        <v>9.0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5">
        <v>3.0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5">
        <v>0.0</v>
      </c>
      <c r="AZ51" s="5">
        <v>0.0</v>
      </c>
      <c r="BA51" s="5">
        <v>0.0</v>
      </c>
      <c r="BB51" s="5">
        <v>0.0</v>
      </c>
      <c r="BC51" s="5">
        <v>0.0</v>
      </c>
      <c r="BD51" s="5">
        <v>0.0</v>
      </c>
      <c r="BE51" s="5">
        <v>0.0</v>
      </c>
      <c r="BF51" s="5">
        <v>0.0</v>
      </c>
      <c r="BG51" s="5">
        <v>0.0</v>
      </c>
      <c r="BH51" s="5">
        <v>0.0</v>
      </c>
      <c r="BI51" s="5">
        <v>0.0</v>
      </c>
      <c r="BJ51" s="5">
        <v>0.0</v>
      </c>
      <c r="BK51" s="5">
        <v>0.0</v>
      </c>
      <c r="BL51" s="5">
        <v>0.0</v>
      </c>
      <c r="BM51" s="7">
        <f t="shared" si="2"/>
        <v>1269.744723</v>
      </c>
      <c r="BN51" s="8"/>
    </row>
    <row r="52">
      <c r="A52" s="1" t="s">
        <v>115</v>
      </c>
      <c r="B52" s="1">
        <f>636/41135*100</f>
        <v>1.546128601</v>
      </c>
      <c r="C52" s="2">
        <f>5759/41135*100</f>
        <v>14.0002431</v>
      </c>
      <c r="D52" s="2">
        <f>5820/41135*100</f>
        <v>14.14853531</v>
      </c>
      <c r="E52" s="2">
        <f>23357/41135*100</f>
        <v>56.78132977</v>
      </c>
      <c r="F52" s="1">
        <v>9.0</v>
      </c>
      <c r="G52" s="1">
        <v>12.0</v>
      </c>
      <c r="H52" s="3">
        <f>1061/41135*100</f>
        <v>2.579312021</v>
      </c>
      <c r="I52" s="1">
        <v>0.0</v>
      </c>
      <c r="J52" s="1">
        <v>254.0</v>
      </c>
      <c r="K52" s="1">
        <f>1680/41135*100</f>
        <v>4.084113286</v>
      </c>
      <c r="L52" s="1">
        <v>165.0</v>
      </c>
      <c r="M52" s="5">
        <v>0.0</v>
      </c>
      <c r="N52" s="1">
        <f>668/41135*100</f>
        <v>1.623921235</v>
      </c>
      <c r="O52" s="1">
        <v>15.0</v>
      </c>
      <c r="P52" s="1">
        <f>594/41135*100</f>
        <v>1.444025769</v>
      </c>
      <c r="Q52" s="1">
        <v>86.0</v>
      </c>
      <c r="R52" s="7">
        <f>413/41135*100</f>
        <v>1.004011183</v>
      </c>
      <c r="S52" s="1">
        <v>167.0</v>
      </c>
      <c r="T52" s="1">
        <v>27.0</v>
      </c>
      <c r="U52" s="1">
        <v>30.0</v>
      </c>
      <c r="V52" s="5">
        <v>28.0</v>
      </c>
      <c r="W52" s="1">
        <v>10.0</v>
      </c>
      <c r="X52" s="5">
        <v>17.0</v>
      </c>
      <c r="Y52" s="5">
        <v>8.0</v>
      </c>
      <c r="Z52" s="1">
        <v>99.0</v>
      </c>
      <c r="AA52" s="1">
        <v>10.0</v>
      </c>
      <c r="AB52" s="5">
        <v>21.0</v>
      </c>
      <c r="AC52" s="5">
        <v>12.0</v>
      </c>
      <c r="AD52" s="1">
        <v>19.0</v>
      </c>
      <c r="AE52" s="1">
        <v>32.0</v>
      </c>
      <c r="AF52" s="5">
        <v>0.0</v>
      </c>
      <c r="AG52" s="1">
        <v>61.0</v>
      </c>
      <c r="AH52" s="5">
        <v>4.0</v>
      </c>
      <c r="AI52" s="3">
        <v>26.0</v>
      </c>
      <c r="AJ52" s="5">
        <v>6.0</v>
      </c>
      <c r="AK52" s="5">
        <v>3.0</v>
      </c>
      <c r="AL52" s="5">
        <v>0.0</v>
      </c>
      <c r="AM52" s="5">
        <v>0.0</v>
      </c>
      <c r="AN52" s="5">
        <v>0.0</v>
      </c>
      <c r="AO52" s="5">
        <v>24.0</v>
      </c>
      <c r="AP52" s="5">
        <v>0.0</v>
      </c>
      <c r="AQ52" s="5">
        <v>0.0</v>
      </c>
      <c r="AR52" s="5">
        <v>0.0</v>
      </c>
      <c r="AS52" s="5">
        <v>0.0</v>
      </c>
      <c r="AT52" s="5">
        <v>0.0</v>
      </c>
      <c r="AU52" s="5">
        <v>2.0</v>
      </c>
      <c r="AV52" s="5">
        <v>0.0</v>
      </c>
      <c r="AW52" s="5">
        <v>0.0</v>
      </c>
      <c r="AX52" s="5">
        <v>0.0</v>
      </c>
      <c r="AY52" s="5">
        <v>0.0</v>
      </c>
      <c r="AZ52" s="5">
        <v>0.0</v>
      </c>
      <c r="BA52" s="5">
        <v>0.0</v>
      </c>
      <c r="BB52" s="5">
        <v>0.0</v>
      </c>
      <c r="BC52" s="5">
        <v>0.0</v>
      </c>
      <c r="BD52" s="5">
        <v>0.0</v>
      </c>
      <c r="BE52" s="5">
        <v>0.0</v>
      </c>
      <c r="BF52" s="5">
        <v>0.0</v>
      </c>
      <c r="BG52" s="5">
        <v>0.0</v>
      </c>
      <c r="BH52" s="5">
        <v>0.0</v>
      </c>
      <c r="BI52" s="5">
        <v>0.0</v>
      </c>
      <c r="BJ52" s="5">
        <v>0.0</v>
      </c>
      <c r="BK52" s="5">
        <v>0.0</v>
      </c>
      <c r="BL52" s="5">
        <v>0.0</v>
      </c>
      <c r="BM52" s="7">
        <f t="shared" si="2"/>
        <v>1244.21162</v>
      </c>
      <c r="BN52" s="8"/>
    </row>
    <row r="53">
      <c r="A53" s="1" t="s">
        <v>116</v>
      </c>
      <c r="B53" s="1">
        <f>1151/66000*100</f>
        <v>1.743939394</v>
      </c>
      <c r="C53" s="2">
        <f>14675/66000*100</f>
        <v>22.23484848</v>
      </c>
      <c r="D53" s="2">
        <f>8127/66000*100</f>
        <v>12.31363636</v>
      </c>
      <c r="E53" s="2">
        <f>35452/66000*100</f>
        <v>53.71515152</v>
      </c>
      <c r="F53" s="1">
        <v>2.0</v>
      </c>
      <c r="G53" s="1">
        <v>9.0</v>
      </c>
      <c r="H53" s="3">
        <f>627/66000*100</f>
        <v>0.95</v>
      </c>
      <c r="I53" s="1">
        <v>0.0</v>
      </c>
      <c r="J53" s="1">
        <v>347.0</v>
      </c>
      <c r="K53" s="1">
        <f>932/66000*100</f>
        <v>1.412121212</v>
      </c>
      <c r="L53" s="1">
        <v>102.0</v>
      </c>
      <c r="M53" s="5">
        <v>4.0</v>
      </c>
      <c r="N53" s="1">
        <v>300.0</v>
      </c>
      <c r="O53" s="1">
        <v>7.0</v>
      </c>
      <c r="P53" s="1">
        <f>3617/66000*100</f>
        <v>5.48030303</v>
      </c>
      <c r="Q53" s="1">
        <v>21.0</v>
      </c>
      <c r="R53" s="1">
        <v>318.0</v>
      </c>
      <c r="S53" s="1">
        <v>99.0</v>
      </c>
      <c r="T53" s="1">
        <v>8.0</v>
      </c>
      <c r="U53" s="1">
        <v>11.0</v>
      </c>
      <c r="V53" s="5">
        <v>17.0</v>
      </c>
      <c r="W53" s="1">
        <v>7.0</v>
      </c>
      <c r="X53" s="5">
        <v>12.0</v>
      </c>
      <c r="Y53" s="5">
        <v>2.0</v>
      </c>
      <c r="Z53" s="1">
        <v>20.0</v>
      </c>
      <c r="AA53" s="1">
        <v>0.0</v>
      </c>
      <c r="AB53" s="5">
        <v>19.0</v>
      </c>
      <c r="AC53" s="5">
        <v>5.0</v>
      </c>
      <c r="AD53" s="1">
        <v>19.0</v>
      </c>
      <c r="AE53" s="1">
        <v>62.0</v>
      </c>
      <c r="AF53" s="5">
        <v>0.0</v>
      </c>
      <c r="AG53" s="1">
        <v>6.0</v>
      </c>
      <c r="AH53" s="5">
        <v>0.0</v>
      </c>
      <c r="AI53" s="3">
        <v>12.0</v>
      </c>
      <c r="AJ53" s="5">
        <v>0.0</v>
      </c>
      <c r="AK53" s="5">
        <v>0.0</v>
      </c>
      <c r="AL53" s="5">
        <v>0.0</v>
      </c>
      <c r="AM53" s="5">
        <v>0.0</v>
      </c>
      <c r="AN53" s="5">
        <v>0.0</v>
      </c>
      <c r="AO53" s="5">
        <v>5.0</v>
      </c>
      <c r="AP53" s="5">
        <v>0.0</v>
      </c>
      <c r="AQ53" s="5">
        <v>0.0</v>
      </c>
      <c r="AR53" s="5">
        <v>0.0</v>
      </c>
      <c r="AS53" s="5">
        <v>0.0</v>
      </c>
      <c r="AT53" s="5">
        <v>0.0</v>
      </c>
      <c r="AU53" s="5">
        <v>0.0</v>
      </c>
      <c r="AV53" s="5">
        <v>2.0</v>
      </c>
      <c r="AW53" s="5">
        <v>0.0</v>
      </c>
      <c r="AX53" s="5">
        <v>0.0</v>
      </c>
      <c r="AY53" s="5">
        <v>0.0</v>
      </c>
      <c r="AZ53" s="5">
        <v>0.0</v>
      </c>
      <c r="BA53" s="5">
        <v>0.0</v>
      </c>
      <c r="BB53" s="5">
        <v>0.0</v>
      </c>
      <c r="BC53" s="5">
        <v>0.0</v>
      </c>
      <c r="BD53" s="5">
        <v>0.0</v>
      </c>
      <c r="BE53" s="5">
        <v>3.0</v>
      </c>
      <c r="BF53" s="5">
        <v>0.0</v>
      </c>
      <c r="BG53" s="5">
        <v>0.0</v>
      </c>
      <c r="BH53" s="5">
        <v>0.0</v>
      </c>
      <c r="BI53" s="5">
        <v>0.0</v>
      </c>
      <c r="BJ53" s="5">
        <v>0.0</v>
      </c>
      <c r="BK53" s="5">
        <v>0.0</v>
      </c>
      <c r="BL53" s="5">
        <v>0.0</v>
      </c>
      <c r="BM53" s="7">
        <f t="shared" si="2"/>
        <v>1516.85</v>
      </c>
      <c r="BN53" s="8"/>
    </row>
    <row r="54">
      <c r="A54" s="1" t="s">
        <v>117</v>
      </c>
      <c r="B54" s="1">
        <v>68.0</v>
      </c>
      <c r="C54" s="2">
        <f>1373/43095*100</f>
        <v>3.185984453</v>
      </c>
      <c r="D54" s="2">
        <f>812/43095*100</f>
        <v>1.884209305</v>
      </c>
      <c r="E54" s="2">
        <f>32224/43095*100</f>
        <v>74.77433577</v>
      </c>
      <c r="F54" s="1">
        <v>2.0</v>
      </c>
      <c r="G54" s="1">
        <v>2.0</v>
      </c>
      <c r="H54" s="3">
        <f>508/43095*100</f>
        <v>1.178791043</v>
      </c>
      <c r="I54" s="1">
        <v>0.0</v>
      </c>
      <c r="J54" s="1">
        <f>2084/43095*100</f>
        <v>4.835827822</v>
      </c>
      <c r="K54" s="1">
        <f>5105/43095*100</f>
        <v>11.8459218</v>
      </c>
      <c r="L54" s="1">
        <v>21.0</v>
      </c>
      <c r="M54" s="5">
        <v>0.0</v>
      </c>
      <c r="N54" s="1">
        <v>231.0</v>
      </c>
      <c r="O54" s="1">
        <v>5.0</v>
      </c>
      <c r="P54" s="1">
        <v>297.0</v>
      </c>
      <c r="Q54" s="1">
        <v>24.0</v>
      </c>
      <c r="R54" s="1">
        <v>11.0</v>
      </c>
      <c r="S54" s="1">
        <v>9.0</v>
      </c>
      <c r="T54" s="1">
        <v>3.0</v>
      </c>
      <c r="U54" s="1">
        <v>24.0</v>
      </c>
      <c r="V54" s="5">
        <v>0.0</v>
      </c>
      <c r="W54" s="1">
        <v>3.0</v>
      </c>
      <c r="X54" s="5">
        <v>0.0</v>
      </c>
      <c r="Y54" s="5">
        <v>2.0</v>
      </c>
      <c r="Z54" s="1">
        <v>95.0</v>
      </c>
      <c r="AA54" s="1">
        <v>9.0</v>
      </c>
      <c r="AB54" s="5">
        <v>0.0</v>
      </c>
      <c r="AC54" s="5">
        <v>0.0</v>
      </c>
      <c r="AD54" s="1">
        <v>58.0</v>
      </c>
      <c r="AE54" s="1">
        <v>6.0</v>
      </c>
      <c r="AF54" s="5">
        <v>0.0</v>
      </c>
      <c r="AG54" s="1">
        <v>52.0</v>
      </c>
      <c r="AH54" s="5">
        <v>6.0</v>
      </c>
      <c r="AI54" s="3">
        <v>43.0</v>
      </c>
      <c r="AJ54" s="5">
        <v>0.0</v>
      </c>
      <c r="AK54" s="5">
        <v>18.0</v>
      </c>
      <c r="AL54" s="5">
        <v>0.0</v>
      </c>
      <c r="AM54" s="5">
        <v>0.0</v>
      </c>
      <c r="AN54" s="5">
        <v>0.0</v>
      </c>
      <c r="AO54" s="5">
        <v>0.0</v>
      </c>
      <c r="AP54" s="5">
        <v>0.0</v>
      </c>
      <c r="AQ54" s="5">
        <v>0.0</v>
      </c>
      <c r="AR54" s="5">
        <v>0.0</v>
      </c>
      <c r="AS54" s="5">
        <v>0.0</v>
      </c>
      <c r="AT54" s="5">
        <v>0.0</v>
      </c>
      <c r="AU54" s="5">
        <v>0.0</v>
      </c>
      <c r="AV54" s="5">
        <v>0.0</v>
      </c>
      <c r="AW54" s="5">
        <v>0.0</v>
      </c>
      <c r="AX54" s="5">
        <v>0.0</v>
      </c>
      <c r="AY54" s="5">
        <v>0.0</v>
      </c>
      <c r="AZ54" s="5">
        <v>0.0</v>
      </c>
      <c r="BA54" s="5">
        <v>0.0</v>
      </c>
      <c r="BB54" s="5">
        <v>0.0</v>
      </c>
      <c r="BC54" s="5">
        <v>0.0</v>
      </c>
      <c r="BD54" s="5">
        <v>0.0</v>
      </c>
      <c r="BE54" s="5">
        <v>0.0</v>
      </c>
      <c r="BF54" s="5">
        <v>0.0</v>
      </c>
      <c r="BG54" s="5">
        <v>0.0</v>
      </c>
      <c r="BH54" s="5">
        <v>0.0</v>
      </c>
      <c r="BI54" s="5">
        <v>0.0</v>
      </c>
      <c r="BJ54" s="5">
        <v>0.0</v>
      </c>
      <c r="BK54" s="5">
        <v>0.0</v>
      </c>
      <c r="BL54" s="5">
        <v>0.0</v>
      </c>
      <c r="BM54" s="7">
        <f t="shared" si="2"/>
        <v>1086.70507</v>
      </c>
      <c r="BN54" s="8"/>
    </row>
    <row r="55">
      <c r="A55" s="1" t="s">
        <v>118</v>
      </c>
      <c r="B55" s="1">
        <v>71.0</v>
      </c>
      <c r="C55" s="2">
        <f>1418/29416*100</f>
        <v>4.820505847</v>
      </c>
      <c r="D55" s="2">
        <f>539/29416*100</f>
        <v>1.832336144</v>
      </c>
      <c r="E55" s="2">
        <f>23872/29416*100</f>
        <v>81.15311395</v>
      </c>
      <c r="F55" s="1">
        <v>0.0</v>
      </c>
      <c r="G55" s="1">
        <v>0.0</v>
      </c>
      <c r="H55" s="3">
        <f>294/29416*100</f>
        <v>0.9994560783</v>
      </c>
      <c r="I55" s="1">
        <v>0.0</v>
      </c>
      <c r="J55" s="1">
        <f>1937/29416*100</f>
        <v>6.584851781</v>
      </c>
      <c r="K55" s="1">
        <f>597/29416*100</f>
        <v>2.029507751</v>
      </c>
      <c r="L55" s="1">
        <v>31.0</v>
      </c>
      <c r="M55" s="5">
        <v>0.0</v>
      </c>
      <c r="N55" s="1">
        <v>194.0</v>
      </c>
      <c r="O55" s="1">
        <v>7.0</v>
      </c>
      <c r="P55" s="1">
        <f>233/29416*100</f>
        <v>0.7920859396</v>
      </c>
      <c r="Q55" s="1">
        <v>26.0</v>
      </c>
      <c r="R55" s="1">
        <v>19.0</v>
      </c>
      <c r="S55" s="1">
        <v>6.0</v>
      </c>
      <c r="T55" s="1">
        <v>2.0</v>
      </c>
      <c r="U55" s="1">
        <v>15.0</v>
      </c>
      <c r="V55" s="5">
        <v>0.0</v>
      </c>
      <c r="W55" s="1">
        <v>0.0</v>
      </c>
      <c r="X55" s="5">
        <v>0.0</v>
      </c>
      <c r="Y55" s="5">
        <v>0.0</v>
      </c>
      <c r="Z55" s="1">
        <v>73.0</v>
      </c>
      <c r="AA55" s="1">
        <v>0.0</v>
      </c>
      <c r="AB55" s="5">
        <v>0.0</v>
      </c>
      <c r="AC55" s="5">
        <v>0.0</v>
      </c>
      <c r="AD55" s="1">
        <v>33.0</v>
      </c>
      <c r="AE55" s="1">
        <v>0.0</v>
      </c>
      <c r="AF55" s="5">
        <v>0.0</v>
      </c>
      <c r="AG55" s="1">
        <v>23.0</v>
      </c>
      <c r="AH55" s="5">
        <v>0.0</v>
      </c>
      <c r="AI55" s="3">
        <v>21.0</v>
      </c>
      <c r="AJ55" s="5">
        <v>0.0</v>
      </c>
      <c r="AK55" s="5">
        <v>5.0</v>
      </c>
      <c r="AL55" s="5">
        <v>0.0</v>
      </c>
      <c r="AM55" s="5">
        <v>0.0</v>
      </c>
      <c r="AN55" s="5">
        <v>0.0</v>
      </c>
      <c r="AO55" s="5">
        <v>0.0</v>
      </c>
      <c r="AP55" s="5">
        <v>0.0</v>
      </c>
      <c r="AQ55" s="5">
        <v>0.0</v>
      </c>
      <c r="AR55" s="5">
        <v>0.0</v>
      </c>
      <c r="AS55" s="5">
        <v>0.0</v>
      </c>
      <c r="AT55" s="5">
        <v>0.0</v>
      </c>
      <c r="AU55" s="5">
        <v>0.0</v>
      </c>
      <c r="AV55" s="5">
        <v>0.0</v>
      </c>
      <c r="AW55" s="5">
        <v>0.0</v>
      </c>
      <c r="AX55" s="5">
        <v>0.0</v>
      </c>
      <c r="AY55" s="5">
        <v>0.0</v>
      </c>
      <c r="AZ55" s="5">
        <v>0.0</v>
      </c>
      <c r="BA55" s="5">
        <v>0.0</v>
      </c>
      <c r="BB55" s="5">
        <v>0.0</v>
      </c>
      <c r="BC55" s="5">
        <v>0.0</v>
      </c>
      <c r="BD55" s="5">
        <v>0.0</v>
      </c>
      <c r="BE55" s="5">
        <v>0.0</v>
      </c>
      <c r="BF55" s="5">
        <v>0.0</v>
      </c>
      <c r="BG55" s="5">
        <v>0.0</v>
      </c>
      <c r="BH55" s="5">
        <v>0.0</v>
      </c>
      <c r="BI55" s="5">
        <v>0.0</v>
      </c>
      <c r="BJ55" s="5">
        <v>0.0</v>
      </c>
      <c r="BK55" s="5">
        <v>0.0</v>
      </c>
      <c r="BL55" s="5">
        <v>0.0</v>
      </c>
      <c r="BM55" s="7">
        <f t="shared" si="2"/>
        <v>624.2118575</v>
      </c>
      <c r="BN55" s="8"/>
    </row>
    <row r="56">
      <c r="A56" s="1" t="s">
        <v>119</v>
      </c>
      <c r="B56" s="1">
        <v>191.0</v>
      </c>
      <c r="C56" s="2">
        <f>13915/67488*100</f>
        <v>20.61848032</v>
      </c>
      <c r="D56" s="2">
        <f>8914/67488*100</f>
        <v>13.20827406</v>
      </c>
      <c r="E56" s="2">
        <f>38298/67488*100</f>
        <v>56.74786629</v>
      </c>
      <c r="F56" s="1">
        <v>0.0</v>
      </c>
      <c r="G56" s="1">
        <v>18.0</v>
      </c>
      <c r="H56" s="3">
        <f>793/67488*100</f>
        <v>1.175023708</v>
      </c>
      <c r="I56" s="1">
        <v>0.0</v>
      </c>
      <c r="J56" s="1">
        <v>162.0</v>
      </c>
      <c r="K56" s="7">
        <f>3237/67488*100</f>
        <v>4.79640825</v>
      </c>
      <c r="L56" s="1">
        <v>43.0</v>
      </c>
      <c r="M56" s="5">
        <v>2.0</v>
      </c>
      <c r="N56" s="7">
        <f>954/67488*100</f>
        <v>1.413584637</v>
      </c>
      <c r="O56" s="1">
        <v>16.0</v>
      </c>
      <c r="P56" s="1">
        <v>64.0</v>
      </c>
      <c r="Q56" s="1">
        <v>40.0</v>
      </c>
      <c r="R56" s="1">
        <v>91.0</v>
      </c>
      <c r="S56" s="1">
        <v>2.0</v>
      </c>
      <c r="T56" s="1">
        <v>87.0</v>
      </c>
      <c r="U56" s="1">
        <v>7.0</v>
      </c>
      <c r="V56" s="5">
        <v>15.0</v>
      </c>
      <c r="W56" s="1">
        <v>7.0</v>
      </c>
      <c r="X56" s="5">
        <v>48.0</v>
      </c>
      <c r="Y56" s="5">
        <v>0.0</v>
      </c>
      <c r="Z56" s="1">
        <v>9.0</v>
      </c>
      <c r="AA56" s="1">
        <v>2.0</v>
      </c>
      <c r="AB56" s="5">
        <v>10.0</v>
      </c>
      <c r="AC56" s="5">
        <v>0.0</v>
      </c>
      <c r="AD56" s="1">
        <v>195.0</v>
      </c>
      <c r="AE56" s="1">
        <v>214.0</v>
      </c>
      <c r="AF56" s="5">
        <v>0.0</v>
      </c>
      <c r="AG56" s="1">
        <v>107.0</v>
      </c>
      <c r="AH56" s="5">
        <v>3.0</v>
      </c>
      <c r="AI56" s="3">
        <v>11.0</v>
      </c>
      <c r="AJ56" s="5">
        <v>0.0</v>
      </c>
      <c r="AK56" s="5">
        <v>19.0</v>
      </c>
      <c r="AL56" s="5">
        <v>0.0</v>
      </c>
      <c r="AM56" s="5">
        <v>0.0</v>
      </c>
      <c r="AN56" s="5">
        <v>0.0</v>
      </c>
      <c r="AO56" s="5">
        <v>0.0</v>
      </c>
      <c r="AP56" s="5">
        <v>0.0</v>
      </c>
      <c r="AQ56" s="5">
        <v>14.0</v>
      </c>
      <c r="AR56" s="5">
        <v>0.0</v>
      </c>
      <c r="AS56" s="5">
        <v>0.0</v>
      </c>
      <c r="AT56" s="5">
        <v>0.0</v>
      </c>
      <c r="AU56" s="5">
        <v>0.0</v>
      </c>
      <c r="AV56" s="5">
        <v>0.0</v>
      </c>
      <c r="AW56" s="5">
        <v>0.0</v>
      </c>
      <c r="AX56" s="5">
        <v>0.0</v>
      </c>
      <c r="AY56" s="5">
        <v>0.0</v>
      </c>
      <c r="AZ56" s="5">
        <v>0.0</v>
      </c>
      <c r="BA56" s="5">
        <v>0.0</v>
      </c>
      <c r="BB56" s="5">
        <v>0.0</v>
      </c>
      <c r="BC56" s="5">
        <v>0.0</v>
      </c>
      <c r="BD56" s="5">
        <v>0.0</v>
      </c>
      <c r="BE56" s="5">
        <v>0.0</v>
      </c>
      <c r="BF56" s="5">
        <v>0.0</v>
      </c>
      <c r="BG56" s="5">
        <v>0.0</v>
      </c>
      <c r="BH56" s="5">
        <v>0.0</v>
      </c>
      <c r="BI56" s="5">
        <v>0.0</v>
      </c>
      <c r="BJ56" s="5">
        <v>0.0</v>
      </c>
      <c r="BK56" s="5">
        <v>0.0</v>
      </c>
      <c r="BL56" s="5">
        <v>0.0</v>
      </c>
      <c r="BM56" s="7">
        <f t="shared" si="2"/>
        <v>1474.959637</v>
      </c>
      <c r="BN56" s="8"/>
    </row>
    <row r="57">
      <c r="A57" s="1" t="s">
        <v>120</v>
      </c>
      <c r="B57" s="1">
        <v>48.0</v>
      </c>
      <c r="C57" s="2">
        <f>1981/20290*100</f>
        <v>9.763430261</v>
      </c>
      <c r="D57" s="2">
        <f>1768/20290*100</f>
        <v>8.713652045</v>
      </c>
      <c r="E57" s="2">
        <f>12511/20290*100</f>
        <v>61.66091671</v>
      </c>
      <c r="F57" s="1">
        <v>0.0</v>
      </c>
      <c r="G57" s="1">
        <v>9.0</v>
      </c>
      <c r="H57" s="3">
        <f>204/20290*100</f>
        <v>1.00542139</v>
      </c>
      <c r="I57" s="1">
        <v>0.0</v>
      </c>
      <c r="J57" s="1">
        <f>1702/20290*100</f>
        <v>8.388368655</v>
      </c>
      <c r="K57" s="7">
        <f>750/20290*100</f>
        <v>3.696402169</v>
      </c>
      <c r="L57" s="1">
        <v>126.0</v>
      </c>
      <c r="M57" s="5">
        <v>2.0</v>
      </c>
      <c r="N57" s="1">
        <v>69.0</v>
      </c>
      <c r="O57" s="1">
        <v>24.0</v>
      </c>
      <c r="P57" s="1">
        <v>78.0</v>
      </c>
      <c r="Q57" s="1">
        <v>40.0</v>
      </c>
      <c r="R57" s="1">
        <v>7.0</v>
      </c>
      <c r="S57" s="1">
        <v>0.0</v>
      </c>
      <c r="T57" s="1">
        <v>138.0</v>
      </c>
      <c r="U57" s="1">
        <v>49.0</v>
      </c>
      <c r="V57" s="5">
        <v>24.0</v>
      </c>
      <c r="W57" s="1">
        <v>12.0</v>
      </c>
      <c r="X57" s="5">
        <v>0.0</v>
      </c>
      <c r="Y57" s="5">
        <v>3.0</v>
      </c>
      <c r="Z57" s="1">
        <v>16.0</v>
      </c>
      <c r="AA57" s="1">
        <v>2.0</v>
      </c>
      <c r="AB57" s="5">
        <v>0.0</v>
      </c>
      <c r="AC57" s="5">
        <v>2.0</v>
      </c>
      <c r="AD57" s="1">
        <v>21.0</v>
      </c>
      <c r="AE57" s="1">
        <v>20.0</v>
      </c>
      <c r="AF57" s="5">
        <v>0.0</v>
      </c>
      <c r="AG57" s="1">
        <v>0.0</v>
      </c>
      <c r="AH57" s="5">
        <v>12.0</v>
      </c>
      <c r="AI57" s="3">
        <f>646/20290*100</f>
        <v>3.183834401</v>
      </c>
      <c r="AJ57" s="5">
        <v>0.0</v>
      </c>
      <c r="AK57" s="5">
        <v>24.0</v>
      </c>
      <c r="AL57" s="5">
        <v>0.0</v>
      </c>
      <c r="AM57" s="5">
        <v>0.0</v>
      </c>
      <c r="AN57" s="5">
        <v>0.0</v>
      </c>
      <c r="AO57" s="5">
        <v>2.0</v>
      </c>
      <c r="AP57" s="5">
        <v>0.0</v>
      </c>
      <c r="AQ57" s="5">
        <v>0.0</v>
      </c>
      <c r="AR57" s="5">
        <v>0.0</v>
      </c>
      <c r="AS57" s="5">
        <v>0.0</v>
      </c>
      <c r="AT57" s="5">
        <v>0.0</v>
      </c>
      <c r="AU57" s="5">
        <v>0.0</v>
      </c>
      <c r="AV57" s="5">
        <v>0.0</v>
      </c>
      <c r="AW57" s="5">
        <v>0.0</v>
      </c>
      <c r="AX57" s="5">
        <v>0.0</v>
      </c>
      <c r="AY57" s="5">
        <v>0.0</v>
      </c>
      <c r="AZ57" s="5">
        <v>0.0</v>
      </c>
      <c r="BA57" s="5">
        <v>0.0</v>
      </c>
      <c r="BB57" s="5">
        <v>0.0</v>
      </c>
      <c r="BC57" s="5">
        <v>0.0</v>
      </c>
      <c r="BD57" s="5">
        <v>0.0</v>
      </c>
      <c r="BE57" s="5">
        <v>0.0</v>
      </c>
      <c r="BF57" s="5">
        <v>0.0</v>
      </c>
      <c r="BG57" s="5">
        <v>0.0</v>
      </c>
      <c r="BH57" s="5">
        <v>0.0</v>
      </c>
      <c r="BI57" s="5">
        <v>0.0</v>
      </c>
      <c r="BJ57" s="5">
        <v>0.0</v>
      </c>
      <c r="BK57" s="5">
        <v>0.0</v>
      </c>
      <c r="BL57" s="5">
        <v>0.0</v>
      </c>
      <c r="BM57" s="7">
        <f t="shared" si="2"/>
        <v>824.4120256</v>
      </c>
      <c r="BN57" s="8"/>
    </row>
    <row r="58">
      <c r="A58" s="1" t="s">
        <v>121</v>
      </c>
      <c r="B58" s="1">
        <v>375.0</v>
      </c>
      <c r="C58" s="2">
        <f>20919/84663*100</f>
        <v>24.70855037</v>
      </c>
      <c r="D58" s="2">
        <f>12632/84663*100</f>
        <v>14.9203312</v>
      </c>
      <c r="E58" s="2">
        <f>34628/84663*100</f>
        <v>40.9009839</v>
      </c>
      <c r="F58" s="1">
        <v>0.0</v>
      </c>
      <c r="G58" s="1">
        <v>11.0</v>
      </c>
      <c r="H58" s="3">
        <v>620.0</v>
      </c>
      <c r="I58" s="1">
        <v>0.0</v>
      </c>
      <c r="J58" s="7">
        <f>6007/84663*100</f>
        <v>7.095189162</v>
      </c>
      <c r="K58" s="1">
        <f>4151/84663*100</f>
        <v>4.902968239</v>
      </c>
      <c r="L58" s="1">
        <v>179.0</v>
      </c>
      <c r="M58" s="5">
        <v>30.0</v>
      </c>
      <c r="N58" s="1">
        <v>215.0</v>
      </c>
      <c r="O58" s="1">
        <v>187.0</v>
      </c>
      <c r="P58" s="1">
        <v>397.0</v>
      </c>
      <c r="Q58" s="1">
        <v>256.0</v>
      </c>
      <c r="R58" s="1">
        <v>17.0</v>
      </c>
      <c r="S58" s="1">
        <v>11.0</v>
      </c>
      <c r="T58" s="7">
        <f>1297/84663*100</f>
        <v>1.531956108</v>
      </c>
      <c r="U58" s="1">
        <v>300.0</v>
      </c>
      <c r="V58" s="5">
        <v>533.0</v>
      </c>
      <c r="W58" s="1">
        <v>69.0</v>
      </c>
      <c r="X58" s="5">
        <v>23.0</v>
      </c>
      <c r="Y58" s="5">
        <v>294.0</v>
      </c>
      <c r="Z58" s="1">
        <v>62.0</v>
      </c>
      <c r="AA58" s="1">
        <v>172.0</v>
      </c>
      <c r="AB58" s="5">
        <v>13.0</v>
      </c>
      <c r="AC58" s="5">
        <v>0.0</v>
      </c>
      <c r="AD58" s="1">
        <v>165.0</v>
      </c>
      <c r="AE58" s="1">
        <v>41.0</v>
      </c>
      <c r="AF58" s="5">
        <v>0.0</v>
      </c>
      <c r="AG58" s="1">
        <v>10.0</v>
      </c>
      <c r="AH58" s="5">
        <v>72.0</v>
      </c>
      <c r="AI58" s="3">
        <f>895/84663*100</f>
        <v>1.057132395</v>
      </c>
      <c r="AJ58" s="5">
        <v>0.0</v>
      </c>
      <c r="AK58" s="5">
        <v>78.0</v>
      </c>
      <c r="AL58" s="5">
        <v>0.0</v>
      </c>
      <c r="AM58" s="5">
        <v>0.0</v>
      </c>
      <c r="AN58" s="5">
        <v>0.0</v>
      </c>
      <c r="AO58" s="5">
        <v>0.0</v>
      </c>
      <c r="AP58" s="5">
        <v>0.0</v>
      </c>
      <c r="AQ58" s="5">
        <v>0.0</v>
      </c>
      <c r="AR58" s="5">
        <v>0.0</v>
      </c>
      <c r="AS58" s="5">
        <v>0.0</v>
      </c>
      <c r="AT58" s="5">
        <v>0.0</v>
      </c>
      <c r="AU58" s="5">
        <v>0.0</v>
      </c>
      <c r="AV58" s="5">
        <v>0.0</v>
      </c>
      <c r="AW58" s="5">
        <v>0.0</v>
      </c>
      <c r="AX58" s="5">
        <v>0.0</v>
      </c>
      <c r="AY58" s="5">
        <v>0.0</v>
      </c>
      <c r="AZ58" s="5">
        <v>0.0</v>
      </c>
      <c r="BA58" s="5">
        <v>0.0</v>
      </c>
      <c r="BB58" s="5">
        <v>0.0</v>
      </c>
      <c r="BC58" s="5">
        <v>0.0</v>
      </c>
      <c r="BD58" s="5">
        <v>0.0</v>
      </c>
      <c r="BE58" s="5">
        <v>0.0</v>
      </c>
      <c r="BF58" s="5">
        <v>0.0</v>
      </c>
      <c r="BG58" s="5">
        <v>0.0</v>
      </c>
      <c r="BH58" s="5">
        <v>0.0</v>
      </c>
      <c r="BI58" s="5">
        <v>0.0</v>
      </c>
      <c r="BJ58" s="5">
        <v>0.0</v>
      </c>
      <c r="BK58" s="5">
        <v>4.0</v>
      </c>
      <c r="BL58" s="5">
        <v>0.0</v>
      </c>
      <c r="BM58" s="7">
        <f t="shared" si="2"/>
        <v>4229.117111</v>
      </c>
      <c r="BN58" s="8"/>
    </row>
    <row r="59">
      <c r="A59" s="1" t="s">
        <v>122</v>
      </c>
      <c r="B59" s="1">
        <v>65.0</v>
      </c>
      <c r="C59" s="2">
        <f>4018/35376*100</f>
        <v>11.35798281</v>
      </c>
      <c r="D59" s="2">
        <f>9813/35376*100</f>
        <v>27.73914518</v>
      </c>
      <c r="E59" s="2">
        <f>14504/35376*100</f>
        <v>40.99954772</v>
      </c>
      <c r="F59" s="1">
        <v>0.0</v>
      </c>
      <c r="G59" s="1">
        <v>0.0</v>
      </c>
      <c r="H59" s="3">
        <f>973/35376*100</f>
        <v>2.750452284</v>
      </c>
      <c r="I59" s="1">
        <v>0.0</v>
      </c>
      <c r="J59" s="1">
        <f>1089/35376*100</f>
        <v>3.078358209</v>
      </c>
      <c r="K59" s="1">
        <f>2341/35376*100</f>
        <v>6.617480778</v>
      </c>
      <c r="L59" s="1">
        <f>444/35376*100</f>
        <v>1.255088195</v>
      </c>
      <c r="M59" s="5">
        <v>2.0</v>
      </c>
      <c r="N59" s="1">
        <v>184.0</v>
      </c>
      <c r="O59" s="1">
        <v>30.0</v>
      </c>
      <c r="P59" s="1">
        <v>137.0</v>
      </c>
      <c r="Q59" s="1">
        <v>68.0</v>
      </c>
      <c r="R59" s="1">
        <v>19.0</v>
      </c>
      <c r="S59" s="1">
        <v>0.0</v>
      </c>
      <c r="T59" s="1">
        <v>4.0</v>
      </c>
      <c r="U59" s="1">
        <v>55.0</v>
      </c>
      <c r="V59" s="5">
        <v>40.0</v>
      </c>
      <c r="W59" s="1">
        <v>5.0</v>
      </c>
      <c r="X59" s="5">
        <v>0.0</v>
      </c>
      <c r="Y59" s="5">
        <v>0.0</v>
      </c>
      <c r="Z59" s="1">
        <v>57.0</v>
      </c>
      <c r="AA59" s="1">
        <v>5.0</v>
      </c>
      <c r="AB59" s="5">
        <v>0.0</v>
      </c>
      <c r="AC59" s="5">
        <v>6.0</v>
      </c>
      <c r="AD59" s="1">
        <v>25.0</v>
      </c>
      <c r="AE59" s="1">
        <v>70.0</v>
      </c>
      <c r="AF59" s="5">
        <v>0.0</v>
      </c>
      <c r="AG59" s="1">
        <v>45.0</v>
      </c>
      <c r="AH59" s="5">
        <v>0.0</v>
      </c>
      <c r="AI59" s="3">
        <f>1352/35376*100</f>
        <v>3.82180009</v>
      </c>
      <c r="AJ59" s="5">
        <v>0.0</v>
      </c>
      <c r="AK59" s="5">
        <v>25.0</v>
      </c>
      <c r="AL59" s="5">
        <v>0.0</v>
      </c>
      <c r="AM59" s="5">
        <v>0.0</v>
      </c>
      <c r="AN59" s="5">
        <v>0.0</v>
      </c>
      <c r="AO59" s="5">
        <v>0.0</v>
      </c>
      <c r="AP59" s="5">
        <v>0.0</v>
      </c>
      <c r="AQ59" s="5">
        <v>0.0</v>
      </c>
      <c r="AR59" s="5">
        <v>0.0</v>
      </c>
      <c r="AS59" s="5">
        <v>0.0</v>
      </c>
      <c r="AT59" s="5">
        <v>0.0</v>
      </c>
      <c r="AU59" s="5">
        <v>0.0</v>
      </c>
      <c r="AV59" s="5">
        <v>0.0</v>
      </c>
      <c r="AW59" s="5">
        <v>0.0</v>
      </c>
      <c r="AX59" s="5">
        <v>0.0</v>
      </c>
      <c r="AY59" s="5">
        <v>0.0</v>
      </c>
      <c r="AZ59" s="5">
        <v>0.0</v>
      </c>
      <c r="BA59" s="5">
        <v>0.0</v>
      </c>
      <c r="BB59" s="5">
        <v>0.0</v>
      </c>
      <c r="BC59" s="5">
        <v>0.0</v>
      </c>
      <c r="BD59" s="5">
        <v>0.0</v>
      </c>
      <c r="BE59" s="5">
        <v>0.0</v>
      </c>
      <c r="BF59" s="5">
        <v>0.0</v>
      </c>
      <c r="BG59" s="5">
        <v>0.0</v>
      </c>
      <c r="BH59" s="5">
        <v>0.0</v>
      </c>
      <c r="BI59" s="5">
        <v>0.0</v>
      </c>
      <c r="BJ59" s="5">
        <v>0.0</v>
      </c>
      <c r="BK59" s="5">
        <v>0.0</v>
      </c>
      <c r="BL59" s="5">
        <v>0.0</v>
      </c>
      <c r="BM59" s="7">
        <f t="shared" si="2"/>
        <v>939.6198553</v>
      </c>
      <c r="BN59" s="8"/>
    </row>
    <row r="60">
      <c r="A60" s="1" t="s">
        <v>123</v>
      </c>
      <c r="B60" s="1">
        <v>103.0</v>
      </c>
      <c r="C60" s="2">
        <f>10493/71086*100</f>
        <v>14.76099373</v>
      </c>
      <c r="D60" s="2">
        <f>16649/71086*100</f>
        <v>23.42092676</v>
      </c>
      <c r="E60" s="2">
        <f>34064/71086*100</f>
        <v>47.91942155</v>
      </c>
      <c r="F60" s="1">
        <v>3.0</v>
      </c>
      <c r="G60" s="1">
        <v>2.0</v>
      </c>
      <c r="H60" s="3"/>
      <c r="I60" s="1">
        <v>0.0</v>
      </c>
      <c r="J60" s="1">
        <f>1919/71086*100</f>
        <v>2.699547028</v>
      </c>
      <c r="K60" s="7">
        <f>1890/71086*100</f>
        <v>2.658751372</v>
      </c>
      <c r="L60" s="1">
        <v>450.0</v>
      </c>
      <c r="M60" s="5">
        <v>8.0</v>
      </c>
      <c r="N60" s="1">
        <v>661.0</v>
      </c>
      <c r="O60" s="1">
        <v>161.0</v>
      </c>
      <c r="P60" s="1">
        <v>630.0</v>
      </c>
      <c r="Q60" s="1">
        <v>360.0</v>
      </c>
      <c r="R60" s="1">
        <v>16.0</v>
      </c>
      <c r="S60" s="1">
        <v>33.0</v>
      </c>
      <c r="T60" s="1">
        <v>24.0</v>
      </c>
      <c r="U60" s="1">
        <v>52.0</v>
      </c>
      <c r="V60" s="5">
        <v>64.0</v>
      </c>
      <c r="W60" s="1">
        <v>25.0</v>
      </c>
      <c r="X60" s="5">
        <v>13.0</v>
      </c>
      <c r="Y60" s="5">
        <v>6.0</v>
      </c>
      <c r="Z60" s="1">
        <v>35.0</v>
      </c>
      <c r="AA60" s="1">
        <v>52.0</v>
      </c>
      <c r="AB60" s="5">
        <v>22.0</v>
      </c>
      <c r="AC60" s="5">
        <v>37.0</v>
      </c>
      <c r="AD60" s="1">
        <v>59.0</v>
      </c>
      <c r="AE60" s="1">
        <v>183.0</v>
      </c>
      <c r="AF60" s="5">
        <v>2.0</v>
      </c>
      <c r="AG60" s="1">
        <v>130.0</v>
      </c>
      <c r="AH60" s="5">
        <v>0.0</v>
      </c>
      <c r="AI60" s="3">
        <f>1829/71086*100</f>
        <v>2.572939819</v>
      </c>
      <c r="AJ60" s="5">
        <v>0.0</v>
      </c>
      <c r="AK60" s="5">
        <v>38.0</v>
      </c>
      <c r="AL60" s="5">
        <v>10.0</v>
      </c>
      <c r="AM60" s="5">
        <v>0.0</v>
      </c>
      <c r="AN60" s="5">
        <v>0.0</v>
      </c>
      <c r="AO60" s="5">
        <v>7.0</v>
      </c>
      <c r="AP60" s="5">
        <v>0.0</v>
      </c>
      <c r="AQ60" s="5">
        <v>0.0</v>
      </c>
      <c r="AR60" s="5">
        <v>0.0</v>
      </c>
      <c r="AS60" s="5">
        <v>0.0</v>
      </c>
      <c r="AT60" s="5">
        <v>0.0</v>
      </c>
      <c r="AU60" s="5">
        <v>0.0</v>
      </c>
      <c r="AV60" s="5">
        <v>0.0</v>
      </c>
      <c r="AW60" s="5">
        <v>0.0</v>
      </c>
      <c r="AX60" s="5">
        <v>6.0</v>
      </c>
      <c r="AY60" s="5">
        <v>0.0</v>
      </c>
      <c r="AZ60" s="5">
        <v>0.0</v>
      </c>
      <c r="BA60" s="5">
        <v>0.0</v>
      </c>
      <c r="BB60" s="5">
        <v>0.0</v>
      </c>
      <c r="BC60" s="5">
        <v>0.0</v>
      </c>
      <c r="BD60" s="5">
        <v>0.0</v>
      </c>
      <c r="BE60" s="5">
        <v>2.0</v>
      </c>
      <c r="BF60" s="5">
        <v>3.0</v>
      </c>
      <c r="BG60" s="5">
        <v>0.0</v>
      </c>
      <c r="BH60" s="5">
        <v>0.0</v>
      </c>
      <c r="BI60" s="5">
        <v>0.0</v>
      </c>
      <c r="BJ60" s="5">
        <v>0.0</v>
      </c>
      <c r="BK60" s="5">
        <v>0.0</v>
      </c>
      <c r="BL60" s="5">
        <v>0.0</v>
      </c>
      <c r="BM60" s="7">
        <f t="shared" si="2"/>
        <v>3291.03258</v>
      </c>
      <c r="BN60" s="8"/>
    </row>
    <row r="61">
      <c r="A61" s="1" t="s">
        <v>124</v>
      </c>
      <c r="B61" s="1">
        <v>84.0</v>
      </c>
      <c r="C61" s="2">
        <f>5285/45663*100</f>
        <v>11.57392199</v>
      </c>
      <c r="D61" s="2">
        <f>9953/45663*100</f>
        <v>21.79664061</v>
      </c>
      <c r="E61" s="2">
        <f>24148/45663*100</f>
        <v>52.8830782</v>
      </c>
      <c r="F61" s="1">
        <v>0.0</v>
      </c>
      <c r="G61" s="1">
        <v>0.0</v>
      </c>
      <c r="H61" s="3">
        <f>2407/45663*100</f>
        <v>5.271226157</v>
      </c>
      <c r="I61" s="1">
        <v>3.0</v>
      </c>
      <c r="J61" s="7">
        <f>566/45663*100</f>
        <v>1.239515582</v>
      </c>
      <c r="K61" s="1">
        <f>1497/45663*100</f>
        <v>3.278365416</v>
      </c>
      <c r="L61" s="1">
        <v>37.0</v>
      </c>
      <c r="M61" s="5">
        <v>0.0</v>
      </c>
      <c r="N61" s="1">
        <v>166.0</v>
      </c>
      <c r="O61" s="1">
        <v>0.0</v>
      </c>
      <c r="P61" s="1">
        <v>14.0</v>
      </c>
      <c r="Q61" s="1">
        <v>30.0</v>
      </c>
      <c r="R61" s="1">
        <v>73.0</v>
      </c>
      <c r="S61" s="1">
        <v>3.0</v>
      </c>
      <c r="T61" s="1">
        <v>4.0</v>
      </c>
      <c r="U61" s="1">
        <v>149.0</v>
      </c>
      <c r="V61" s="5">
        <v>3.0</v>
      </c>
      <c r="W61" s="1">
        <v>0.0</v>
      </c>
      <c r="X61" s="5">
        <v>12.0</v>
      </c>
      <c r="Y61" s="5">
        <v>0.0</v>
      </c>
      <c r="Z61" s="1">
        <v>3.0</v>
      </c>
      <c r="AA61" s="1">
        <v>0.0</v>
      </c>
      <c r="AB61" s="5">
        <v>0.0</v>
      </c>
      <c r="AC61" s="5">
        <v>0.0</v>
      </c>
      <c r="AD61" s="1">
        <v>22.0</v>
      </c>
      <c r="AE61" s="1">
        <v>0.0</v>
      </c>
      <c r="AF61" s="5">
        <v>0.0</v>
      </c>
      <c r="AG61" s="1">
        <v>2.0</v>
      </c>
      <c r="AH61" s="5">
        <v>5.0</v>
      </c>
      <c r="AI61" s="3">
        <f>1207/45663*100</f>
        <v>2.643277927</v>
      </c>
      <c r="AJ61" s="5">
        <v>0.0</v>
      </c>
      <c r="AK61" s="5">
        <v>8.0</v>
      </c>
      <c r="AL61" s="5">
        <v>0.0</v>
      </c>
      <c r="AM61" s="5">
        <v>0.0</v>
      </c>
      <c r="AN61" s="5">
        <v>0.0</v>
      </c>
      <c r="AO61" s="5">
        <v>0.0</v>
      </c>
      <c r="AP61" s="5">
        <v>0.0</v>
      </c>
      <c r="AQ61" s="5">
        <v>0.0</v>
      </c>
      <c r="AR61" s="5">
        <v>0.0</v>
      </c>
      <c r="AS61" s="5">
        <v>0.0</v>
      </c>
      <c r="AT61" s="5">
        <v>0.0</v>
      </c>
      <c r="AU61" s="5">
        <v>0.0</v>
      </c>
      <c r="AV61" s="5">
        <v>0.0</v>
      </c>
      <c r="AW61" s="5">
        <v>0.0</v>
      </c>
      <c r="AX61" s="5">
        <v>0.0</v>
      </c>
      <c r="AY61" s="5">
        <v>0.0</v>
      </c>
      <c r="AZ61" s="5">
        <v>0.0</v>
      </c>
      <c r="BA61" s="5">
        <v>0.0</v>
      </c>
      <c r="BB61" s="5">
        <v>0.0</v>
      </c>
      <c r="BC61" s="5">
        <v>0.0</v>
      </c>
      <c r="BD61" s="5">
        <v>0.0</v>
      </c>
      <c r="BE61" s="5">
        <v>0.0</v>
      </c>
      <c r="BF61" s="5">
        <v>0.0</v>
      </c>
      <c r="BG61" s="5">
        <v>0.0</v>
      </c>
      <c r="BH61" s="5">
        <v>0.0</v>
      </c>
      <c r="BI61" s="5">
        <v>0.0</v>
      </c>
      <c r="BJ61" s="5">
        <v>0.0</v>
      </c>
      <c r="BK61" s="5">
        <v>0.0</v>
      </c>
      <c r="BL61" s="5">
        <v>0.0</v>
      </c>
      <c r="BM61" s="7">
        <f t="shared" si="2"/>
        <v>716.6860259</v>
      </c>
      <c r="BN61" s="8"/>
    </row>
    <row r="62">
      <c r="A62" s="1" t="s">
        <v>125</v>
      </c>
      <c r="B62" s="1">
        <v>108.0</v>
      </c>
      <c r="C62" s="2">
        <f>17677/60713*100</f>
        <v>29.11567539</v>
      </c>
      <c r="D62" s="2">
        <f>13931/60713*100</f>
        <v>22.94566238</v>
      </c>
      <c r="E62" s="2">
        <f>21548/60713*100</f>
        <v>35.49157512</v>
      </c>
      <c r="F62" s="1">
        <v>3.0</v>
      </c>
      <c r="G62" s="1">
        <v>2.0</v>
      </c>
      <c r="H62" s="3">
        <f>878/60713*100</f>
        <v>1.446148271</v>
      </c>
      <c r="I62" s="1">
        <v>2.0</v>
      </c>
      <c r="J62" s="1">
        <f>3098/60713*100</f>
        <v>5.102696292</v>
      </c>
      <c r="K62" s="1">
        <v>257.0</v>
      </c>
      <c r="L62" s="1">
        <v>57.0</v>
      </c>
      <c r="M62" s="5">
        <v>0.0</v>
      </c>
      <c r="N62" s="1">
        <v>275.0</v>
      </c>
      <c r="O62" s="1">
        <v>0.0</v>
      </c>
      <c r="P62" s="1">
        <v>262.0</v>
      </c>
      <c r="Q62" s="1">
        <v>56.0</v>
      </c>
      <c r="R62" s="1">
        <v>69.0</v>
      </c>
      <c r="S62" s="1">
        <v>35.0</v>
      </c>
      <c r="T62" s="1">
        <v>17.0</v>
      </c>
      <c r="U62" s="1">
        <v>50.0</v>
      </c>
      <c r="V62" s="5">
        <v>22.0</v>
      </c>
      <c r="W62" s="1">
        <v>10.0</v>
      </c>
      <c r="X62" s="5">
        <v>0.0</v>
      </c>
      <c r="Y62" s="5">
        <v>0.0</v>
      </c>
      <c r="Z62" s="1">
        <v>0.0</v>
      </c>
      <c r="AA62" s="1">
        <v>47.0</v>
      </c>
      <c r="AB62" s="5">
        <v>2.0</v>
      </c>
      <c r="AC62" s="5">
        <v>11.0</v>
      </c>
      <c r="AD62" s="1">
        <v>66.0</v>
      </c>
      <c r="AE62" s="1">
        <v>29.0</v>
      </c>
      <c r="AF62" s="5">
        <v>0.0</v>
      </c>
      <c r="AG62" s="1">
        <v>0.0</v>
      </c>
      <c r="AH62" s="5">
        <v>5.0</v>
      </c>
      <c r="AI62" s="3">
        <f>2167/60713*100</f>
        <v>3.569252055</v>
      </c>
      <c r="AJ62" s="5">
        <v>0.0</v>
      </c>
      <c r="AK62" s="5">
        <v>3.0</v>
      </c>
      <c r="AL62" s="5">
        <v>0.0</v>
      </c>
      <c r="AM62" s="5">
        <v>0.0</v>
      </c>
      <c r="AN62" s="5">
        <v>0.0</v>
      </c>
      <c r="AO62" s="5">
        <v>7.0</v>
      </c>
      <c r="AP62" s="5">
        <v>0.0</v>
      </c>
      <c r="AQ62" s="5">
        <v>0.0</v>
      </c>
      <c r="AR62" s="5">
        <v>0.0</v>
      </c>
      <c r="AS62" s="5">
        <v>0.0</v>
      </c>
      <c r="AT62" s="5">
        <v>0.0</v>
      </c>
      <c r="AU62" s="5">
        <v>0.0</v>
      </c>
      <c r="AV62" s="5">
        <v>19.0</v>
      </c>
      <c r="AW62" s="5">
        <v>0.0</v>
      </c>
      <c r="AX62" s="5">
        <v>0.0</v>
      </c>
      <c r="AY62" s="5">
        <v>0.0</v>
      </c>
      <c r="AZ62" s="5">
        <v>0.0</v>
      </c>
      <c r="BA62" s="5">
        <v>0.0</v>
      </c>
      <c r="BB62" s="5">
        <v>0.0</v>
      </c>
      <c r="BC62" s="5">
        <v>0.0</v>
      </c>
      <c r="BD62" s="5">
        <v>0.0</v>
      </c>
      <c r="BE62" s="5">
        <v>0.0</v>
      </c>
      <c r="BF62" s="5">
        <v>0.0</v>
      </c>
      <c r="BG62" s="5">
        <v>0.0</v>
      </c>
      <c r="BH62" s="5">
        <v>0.0</v>
      </c>
      <c r="BI62" s="5">
        <v>0.0</v>
      </c>
      <c r="BJ62" s="5">
        <v>0.0</v>
      </c>
      <c r="BK62" s="5">
        <v>0.0</v>
      </c>
      <c r="BL62" s="5">
        <v>0.0</v>
      </c>
      <c r="BM62" s="7">
        <f t="shared" si="2"/>
        <v>1511.67101</v>
      </c>
      <c r="BN62" s="8"/>
    </row>
    <row r="63">
      <c r="A63" s="1" t="s">
        <v>126</v>
      </c>
      <c r="B63" s="1">
        <v>319.0</v>
      </c>
      <c r="C63" s="2">
        <f>4919/33223*100</f>
        <v>14.80600789</v>
      </c>
      <c r="D63" s="2">
        <f>7773/33223*100</f>
        <v>23.39644222</v>
      </c>
      <c r="E63" s="2">
        <f>16787/33223*100</f>
        <v>50.5282485</v>
      </c>
      <c r="F63" s="1">
        <v>0.0</v>
      </c>
      <c r="G63" s="1">
        <v>4.0</v>
      </c>
      <c r="H63" s="3">
        <f>357/33223*100</f>
        <v>1.074556783</v>
      </c>
      <c r="I63" s="1">
        <v>0.0</v>
      </c>
      <c r="J63" s="1">
        <v>29.0</v>
      </c>
      <c r="K63" s="7">
        <f>324/33223*100</f>
        <v>0.9752280047</v>
      </c>
      <c r="L63" s="1">
        <v>135.0</v>
      </c>
      <c r="M63" s="5">
        <v>7.0</v>
      </c>
      <c r="N63" s="1">
        <v>18.0</v>
      </c>
      <c r="O63" s="1">
        <v>0.0</v>
      </c>
      <c r="P63" s="7">
        <f>2189/33223*100</f>
        <v>6.588808958</v>
      </c>
      <c r="Q63" s="1">
        <v>10.0</v>
      </c>
      <c r="R63" s="1">
        <v>10.0</v>
      </c>
      <c r="S63" s="1">
        <v>83.0</v>
      </c>
      <c r="T63" s="1">
        <v>18.0</v>
      </c>
      <c r="U63" s="1">
        <v>58.0</v>
      </c>
      <c r="V63" s="5">
        <v>33.0</v>
      </c>
      <c r="W63" s="1">
        <v>12.0</v>
      </c>
      <c r="X63" s="5">
        <v>2.0</v>
      </c>
      <c r="Y63" s="5">
        <v>12.0</v>
      </c>
      <c r="Z63" s="1">
        <v>48.0</v>
      </c>
      <c r="AA63" s="1">
        <v>0.0</v>
      </c>
      <c r="AB63" s="5">
        <v>17.0</v>
      </c>
      <c r="AC63" s="5">
        <v>6.0</v>
      </c>
      <c r="AD63" s="1">
        <v>33.0</v>
      </c>
      <c r="AE63" s="1">
        <v>0.0</v>
      </c>
      <c r="AF63" s="5">
        <v>0.0</v>
      </c>
      <c r="AG63" s="1">
        <v>4.0</v>
      </c>
      <c r="AH63" s="5">
        <v>0.0</v>
      </c>
      <c r="AI63" s="3">
        <v>14.0</v>
      </c>
      <c r="AJ63" s="5">
        <v>0.0</v>
      </c>
      <c r="AK63" s="5">
        <v>2.0</v>
      </c>
      <c r="AL63" s="5">
        <v>0.0</v>
      </c>
      <c r="AM63" s="5">
        <v>0.0</v>
      </c>
      <c r="AN63" s="5">
        <v>0.0</v>
      </c>
      <c r="AO63" s="5">
        <v>0.0</v>
      </c>
      <c r="AP63" s="5">
        <v>0.0</v>
      </c>
      <c r="AQ63" s="5">
        <v>0.0</v>
      </c>
      <c r="AR63" s="5">
        <v>0.0</v>
      </c>
      <c r="AS63" s="5">
        <v>0.0</v>
      </c>
      <c r="AT63" s="5">
        <v>0.0</v>
      </c>
      <c r="AU63" s="5">
        <v>0.0</v>
      </c>
      <c r="AV63" s="5">
        <v>0.0</v>
      </c>
      <c r="AW63" s="5">
        <v>0.0</v>
      </c>
      <c r="AX63" s="5">
        <v>0.0</v>
      </c>
      <c r="AY63" s="5">
        <v>0.0</v>
      </c>
      <c r="AZ63" s="5">
        <v>0.0</v>
      </c>
      <c r="BA63" s="5">
        <v>0.0</v>
      </c>
      <c r="BB63" s="5">
        <v>0.0</v>
      </c>
      <c r="BC63" s="5">
        <v>0.0</v>
      </c>
      <c r="BD63" s="5">
        <v>0.0</v>
      </c>
      <c r="BE63" s="5">
        <v>0.0</v>
      </c>
      <c r="BF63" s="5">
        <v>0.0</v>
      </c>
      <c r="BG63" s="5">
        <v>0.0</v>
      </c>
      <c r="BH63" s="5">
        <v>0.0</v>
      </c>
      <c r="BI63" s="5">
        <v>0.0</v>
      </c>
      <c r="BJ63" s="5">
        <v>0.0</v>
      </c>
      <c r="BK63" s="5">
        <v>0.0</v>
      </c>
      <c r="BL63" s="5">
        <v>0.0</v>
      </c>
      <c r="BM63" s="7">
        <f t="shared" si="2"/>
        <v>971.3692924</v>
      </c>
      <c r="BN63" s="8"/>
    </row>
    <row r="64">
      <c r="A64" s="1" t="s">
        <v>127</v>
      </c>
      <c r="B64" s="1">
        <v>340.0</v>
      </c>
      <c r="C64" s="2">
        <f>5541/43555*100</f>
        <v>12.72184594</v>
      </c>
      <c r="D64" s="2">
        <f>3764/43555*100</f>
        <v>8.641946964</v>
      </c>
      <c r="E64" s="2">
        <f>22025/43555*100</f>
        <v>50.56824704</v>
      </c>
      <c r="F64" s="1">
        <v>10.0</v>
      </c>
      <c r="G64" s="1">
        <v>9.0</v>
      </c>
      <c r="H64" s="3">
        <f>453/43555*100</f>
        <v>1.040064287</v>
      </c>
      <c r="I64" s="1">
        <v>209.0</v>
      </c>
      <c r="J64" s="1">
        <v>289.0</v>
      </c>
      <c r="K64" s="1">
        <f>4862/43555*100</f>
        <v>11.16289749</v>
      </c>
      <c r="L64" s="1">
        <v>100.0</v>
      </c>
      <c r="M64" s="5">
        <v>6.0</v>
      </c>
      <c r="N64" s="7">
        <f>452/43555*100</f>
        <v>1.037768339</v>
      </c>
      <c r="O64" s="7">
        <f>776/43555*100</f>
        <v>1.781655378</v>
      </c>
      <c r="P64" s="7">
        <f>441/43555*100</f>
        <v>1.012512915</v>
      </c>
      <c r="Q64" s="1">
        <f>2630/43555*100</f>
        <v>6.038342326</v>
      </c>
      <c r="R64" s="1">
        <v>35.0</v>
      </c>
      <c r="S64" s="1">
        <v>90.0</v>
      </c>
      <c r="T64" s="1">
        <v>36.0</v>
      </c>
      <c r="U64" s="1">
        <v>7.0</v>
      </c>
      <c r="V64" s="5">
        <v>23.0</v>
      </c>
      <c r="W64" s="1">
        <v>8.0</v>
      </c>
      <c r="X64" s="5">
        <v>9.0</v>
      </c>
      <c r="Y64" s="5">
        <v>48.0</v>
      </c>
      <c r="Z64" s="1">
        <v>32.0</v>
      </c>
      <c r="AA64" s="1">
        <v>49.0</v>
      </c>
      <c r="AB64" s="5">
        <v>7.0</v>
      </c>
      <c r="AC64" s="5">
        <v>15.0</v>
      </c>
      <c r="AD64" s="1">
        <v>8.0</v>
      </c>
      <c r="AE64" s="1">
        <v>42.0</v>
      </c>
      <c r="AF64" s="5">
        <v>0.0</v>
      </c>
      <c r="AG64" s="7">
        <f>610/43555*100</f>
        <v>1.400528068</v>
      </c>
      <c r="AH64" s="5">
        <v>4.0</v>
      </c>
      <c r="AI64" s="3">
        <v>9.0</v>
      </c>
      <c r="AJ64" s="5">
        <v>0.0</v>
      </c>
      <c r="AK64" s="5">
        <v>88.0</v>
      </c>
      <c r="AL64" s="10">
        <f>422/43555*100</f>
        <v>0.9688899093</v>
      </c>
      <c r="AM64" s="5">
        <v>0.0</v>
      </c>
      <c r="AN64" s="5">
        <v>0.0</v>
      </c>
      <c r="AO64" s="5">
        <v>12.0</v>
      </c>
      <c r="AP64" s="5">
        <v>0.0</v>
      </c>
      <c r="AQ64" s="5">
        <v>13.0</v>
      </c>
      <c r="AR64" s="5">
        <v>14.0</v>
      </c>
      <c r="AS64" s="5">
        <v>0.0</v>
      </c>
      <c r="AT64" s="5">
        <v>0.0</v>
      </c>
      <c r="AU64" s="5">
        <v>3.0</v>
      </c>
      <c r="AV64" s="5">
        <v>0.0</v>
      </c>
      <c r="AW64" s="5">
        <v>0.0</v>
      </c>
      <c r="AX64" s="5">
        <v>42.0</v>
      </c>
      <c r="AY64" s="5">
        <v>5.0</v>
      </c>
      <c r="AZ64" s="5">
        <v>0.0</v>
      </c>
      <c r="BA64" s="5">
        <v>0.0</v>
      </c>
      <c r="BB64" s="5">
        <v>11.0</v>
      </c>
      <c r="BC64" s="5">
        <v>0.0</v>
      </c>
      <c r="BD64" s="5">
        <v>0.0</v>
      </c>
      <c r="BE64" s="5">
        <v>6.0</v>
      </c>
      <c r="BF64" s="5">
        <v>0.0</v>
      </c>
      <c r="BG64" s="5">
        <v>0.0</v>
      </c>
      <c r="BH64" s="5">
        <v>0.0</v>
      </c>
      <c r="BI64" s="5">
        <v>0.0</v>
      </c>
      <c r="BJ64" s="5">
        <v>0.0</v>
      </c>
      <c r="BK64" s="5">
        <v>0.0</v>
      </c>
      <c r="BL64" s="5">
        <v>0.0</v>
      </c>
      <c r="BM64" s="7">
        <f t="shared" si="2"/>
        <v>1675.374699</v>
      </c>
      <c r="BN64" s="8"/>
    </row>
    <row r="65">
      <c r="A65" s="1" t="s">
        <v>128</v>
      </c>
      <c r="B65" s="1">
        <v>954.0</v>
      </c>
      <c r="C65" s="2">
        <f>737/21765*100</f>
        <v>3.386170457</v>
      </c>
      <c r="D65" s="2">
        <f>2970/21765*100</f>
        <v>13.64576154</v>
      </c>
      <c r="E65" s="2">
        <f>12331/21765*100</f>
        <v>56.65518034</v>
      </c>
      <c r="F65" s="1">
        <v>35.0</v>
      </c>
      <c r="G65" s="1">
        <v>56.0</v>
      </c>
      <c r="H65" s="3">
        <f>419/21765*100</f>
        <v>1.92510912</v>
      </c>
      <c r="I65" s="1">
        <v>0.0</v>
      </c>
      <c r="J65" s="1">
        <v>189.0</v>
      </c>
      <c r="K65" s="1">
        <f>2698/21765*100</f>
        <v>12.3960487</v>
      </c>
      <c r="L65" s="1">
        <v>65.0</v>
      </c>
      <c r="M65" s="5">
        <v>5.0</v>
      </c>
      <c r="N65" s="1">
        <v>74.0</v>
      </c>
      <c r="O65" s="1">
        <v>31.0</v>
      </c>
      <c r="P65" s="1">
        <v>73.0</v>
      </c>
      <c r="Q65" s="1">
        <v>7.0</v>
      </c>
      <c r="R65" s="1">
        <v>38.0</v>
      </c>
      <c r="S65" s="7">
        <f>226/21765*100</f>
        <v>1.038364346</v>
      </c>
      <c r="T65" s="1">
        <v>19.0</v>
      </c>
      <c r="U65" s="1">
        <v>85.0</v>
      </c>
      <c r="V65" s="5">
        <v>60.0</v>
      </c>
      <c r="W65" s="1">
        <v>43.0</v>
      </c>
      <c r="X65" s="5">
        <v>87.0</v>
      </c>
      <c r="Y65" s="5">
        <v>14.0</v>
      </c>
      <c r="Z65" s="7">
        <f>397/21765*100</f>
        <v>1.824029405</v>
      </c>
      <c r="AA65" s="1">
        <v>8.0</v>
      </c>
      <c r="AB65" s="5">
        <v>5.0</v>
      </c>
      <c r="AC65" s="5">
        <v>42.0</v>
      </c>
      <c r="AD65" s="1">
        <v>9.0</v>
      </c>
      <c r="AE65" s="1">
        <v>18.0</v>
      </c>
      <c r="AF65" s="5">
        <v>0.0</v>
      </c>
      <c r="AG65" s="1">
        <v>20.0</v>
      </c>
      <c r="AH65" s="5">
        <v>2.0</v>
      </c>
      <c r="AI65" s="3">
        <v>26.0</v>
      </c>
      <c r="AJ65" s="5">
        <v>0.0</v>
      </c>
      <c r="AK65" s="5">
        <v>10.0</v>
      </c>
      <c r="AL65" s="5">
        <v>6.0</v>
      </c>
      <c r="AM65" s="5">
        <v>0.0</v>
      </c>
      <c r="AN65" s="5">
        <v>0.0</v>
      </c>
      <c r="AO65" s="5">
        <v>0.0</v>
      </c>
      <c r="AP65" s="5">
        <v>0.0</v>
      </c>
      <c r="AQ65" s="5">
        <v>0.0</v>
      </c>
      <c r="AR65" s="5">
        <v>0.0</v>
      </c>
      <c r="AS65" s="5">
        <v>0.0</v>
      </c>
      <c r="AT65" s="5">
        <v>0.0</v>
      </c>
      <c r="AU65" s="5">
        <v>0.0</v>
      </c>
      <c r="AV65" s="5">
        <v>2.0</v>
      </c>
      <c r="AW65" s="5">
        <v>0.0</v>
      </c>
      <c r="AX65" s="5">
        <v>0.0</v>
      </c>
      <c r="AY65" s="5">
        <v>0.0</v>
      </c>
      <c r="AZ65" s="5">
        <v>0.0</v>
      </c>
      <c r="BA65" s="5">
        <v>0.0</v>
      </c>
      <c r="BB65" s="5">
        <v>0.0</v>
      </c>
      <c r="BC65" s="5">
        <v>0.0</v>
      </c>
      <c r="BD65" s="5">
        <v>0.0</v>
      </c>
      <c r="BE65" s="5">
        <v>0.0</v>
      </c>
      <c r="BF65" s="5">
        <v>4.0</v>
      </c>
      <c r="BG65" s="5">
        <v>0.0</v>
      </c>
      <c r="BH65" s="5">
        <v>0.0</v>
      </c>
      <c r="BI65" s="5">
        <v>0.0</v>
      </c>
      <c r="BJ65" s="5">
        <v>0.0</v>
      </c>
      <c r="BK65" s="5">
        <v>0.0</v>
      </c>
      <c r="BL65" s="5">
        <v>0.0</v>
      </c>
      <c r="BM65" s="7">
        <f t="shared" si="2"/>
        <v>2077.870664</v>
      </c>
      <c r="BN65" s="8"/>
    </row>
    <row r="66">
      <c r="A66" s="1" t="s">
        <v>129</v>
      </c>
      <c r="B66" s="1">
        <f>1822/49091*100</f>
        <v>3.711474608</v>
      </c>
      <c r="C66" s="2">
        <f>1563/49091*100</f>
        <v>3.183882993</v>
      </c>
      <c r="D66" s="2">
        <f>6951/49091*100</f>
        <v>14.15941822</v>
      </c>
      <c r="E66" s="2">
        <f>32242/49091*100</f>
        <v>65.67802652</v>
      </c>
      <c r="F66" s="1">
        <v>57.0</v>
      </c>
      <c r="G66" s="1">
        <v>138.0</v>
      </c>
      <c r="H66" s="3">
        <f>803/49091*100</f>
        <v>1.635737712</v>
      </c>
      <c r="I66" s="1">
        <v>2.0</v>
      </c>
      <c r="J66" s="7">
        <f>523/49091*100</f>
        <v>1.065368397</v>
      </c>
      <c r="K66" s="1">
        <f>2508/49091*100</f>
        <v>5.108879428</v>
      </c>
      <c r="L66" s="1">
        <v>150.0</v>
      </c>
      <c r="M66" s="5">
        <v>17.0</v>
      </c>
      <c r="N66" s="1">
        <v>217.0</v>
      </c>
      <c r="O66" s="1">
        <v>45.0</v>
      </c>
      <c r="P66" s="1">
        <v>164.0</v>
      </c>
      <c r="Q66" s="1">
        <v>97.0</v>
      </c>
      <c r="R66" s="1">
        <v>121.0</v>
      </c>
      <c r="S66" s="1">
        <v>371.0</v>
      </c>
      <c r="T66" s="1">
        <v>63.0</v>
      </c>
      <c r="U66" s="1">
        <v>97.0</v>
      </c>
      <c r="V66" s="5">
        <v>151.0</v>
      </c>
      <c r="W66" s="1">
        <v>83.0</v>
      </c>
      <c r="X66" s="5">
        <v>187.0</v>
      </c>
      <c r="Y66" s="5">
        <v>14.0</v>
      </c>
      <c r="Z66" s="1">
        <v>432.0</v>
      </c>
      <c r="AA66" s="1">
        <v>13.0</v>
      </c>
      <c r="AB66" s="5">
        <v>15.0</v>
      </c>
      <c r="AC66" s="5">
        <v>63.0</v>
      </c>
      <c r="AD66" s="1">
        <v>11.0</v>
      </c>
      <c r="AE66" s="1">
        <v>41.0</v>
      </c>
      <c r="AF66" s="5">
        <v>2.0</v>
      </c>
      <c r="AG66" s="1">
        <v>40.0</v>
      </c>
      <c r="AH66" s="5">
        <v>2.0</v>
      </c>
      <c r="AI66" s="3">
        <v>29.0</v>
      </c>
      <c r="AJ66" s="5">
        <v>0.0</v>
      </c>
      <c r="AK66" s="5">
        <v>25.0</v>
      </c>
      <c r="AL66" s="5">
        <v>20.0</v>
      </c>
      <c r="AM66" s="5">
        <v>0.0</v>
      </c>
      <c r="AN66" s="5">
        <v>0.0</v>
      </c>
      <c r="AO66" s="5">
        <v>0.0</v>
      </c>
      <c r="AP66" s="5">
        <v>2.0</v>
      </c>
      <c r="AQ66" s="5">
        <v>0.0</v>
      </c>
      <c r="AR66" s="5">
        <v>0.0</v>
      </c>
      <c r="AS66" s="5">
        <v>0.0</v>
      </c>
      <c r="AT66" s="5">
        <v>0.0</v>
      </c>
      <c r="AU66" s="5">
        <v>0.0</v>
      </c>
      <c r="AV66" s="5">
        <v>7.0</v>
      </c>
      <c r="AW66" s="5">
        <v>0.0</v>
      </c>
      <c r="AX66" s="5">
        <v>0.0</v>
      </c>
      <c r="AY66" s="5">
        <v>0.0</v>
      </c>
      <c r="AZ66" s="5">
        <v>0.0</v>
      </c>
      <c r="BA66" s="5">
        <v>0.0</v>
      </c>
      <c r="BB66" s="5">
        <v>0.0</v>
      </c>
      <c r="BC66" s="5">
        <v>0.0</v>
      </c>
      <c r="BD66" s="5">
        <v>0.0</v>
      </c>
      <c r="BE66" s="5">
        <v>0.0</v>
      </c>
      <c r="BF66" s="5">
        <v>0.0</v>
      </c>
      <c r="BG66" s="5">
        <v>3.0</v>
      </c>
      <c r="BH66" s="5">
        <v>0.0</v>
      </c>
      <c r="BI66" s="5">
        <v>0.0</v>
      </c>
      <c r="BJ66" s="5">
        <v>0.0</v>
      </c>
      <c r="BK66" s="5">
        <v>0.0</v>
      </c>
      <c r="BL66" s="5">
        <v>0.0</v>
      </c>
      <c r="BM66" s="7">
        <f t="shared" si="2"/>
        <v>2773.542788</v>
      </c>
      <c r="BN66" s="8"/>
    </row>
    <row r="67">
      <c r="C67" s="2"/>
      <c r="D67" s="2"/>
      <c r="E67" s="2"/>
      <c r="H67" s="3"/>
      <c r="M67" s="10"/>
      <c r="V67" s="10"/>
      <c r="X67" s="10"/>
      <c r="Y67" s="10"/>
      <c r="AB67" s="10"/>
      <c r="AC67" s="10"/>
      <c r="AF67" s="10"/>
      <c r="AH67" s="10"/>
      <c r="AI67" s="3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N67" s="8"/>
    </row>
    <row r="68">
      <c r="A68" s="1" t="s">
        <v>130</v>
      </c>
      <c r="B68" s="1">
        <v>47.0</v>
      </c>
      <c r="C68" s="2">
        <f>20612/51571*100</f>
        <v>39.96819918</v>
      </c>
      <c r="D68" s="2">
        <f>1386/51571*100</f>
        <v>2.68755696</v>
      </c>
      <c r="E68" s="2">
        <f>26327/51571*100</f>
        <v>51.05000873</v>
      </c>
      <c r="F68" s="1">
        <v>30.0</v>
      </c>
      <c r="G68" s="1">
        <v>3.0</v>
      </c>
      <c r="H68" s="3">
        <v>143.0</v>
      </c>
      <c r="I68" s="1">
        <v>0.0</v>
      </c>
      <c r="J68" s="1">
        <v>116.0</v>
      </c>
      <c r="K68" s="7">
        <f>539/51571*100</f>
        <v>1.04516104</v>
      </c>
      <c r="L68" s="7">
        <f>658/51571*100</f>
        <v>1.27591088</v>
      </c>
      <c r="M68" s="5">
        <v>2.0</v>
      </c>
      <c r="N68" s="1">
        <v>370.0</v>
      </c>
      <c r="O68" s="1">
        <v>18.0</v>
      </c>
      <c r="P68" s="7">
        <f>716/51571*100</f>
        <v>1.388377189</v>
      </c>
      <c r="Q68" s="1">
        <v>5.0</v>
      </c>
      <c r="R68" s="1">
        <v>44.0</v>
      </c>
      <c r="S68" s="1">
        <v>51.0</v>
      </c>
      <c r="T68" s="1">
        <v>5.0</v>
      </c>
      <c r="U68" s="1">
        <v>3.0</v>
      </c>
      <c r="V68" s="5">
        <v>15.0</v>
      </c>
      <c r="W68" s="1">
        <v>22.0</v>
      </c>
      <c r="X68" s="5">
        <v>8.0</v>
      </c>
      <c r="Y68" s="5">
        <v>12.0</v>
      </c>
      <c r="Z68" s="1">
        <v>0.0</v>
      </c>
      <c r="AA68" s="1">
        <v>3.0</v>
      </c>
      <c r="AB68" s="5">
        <v>14.0</v>
      </c>
      <c r="AC68" s="5">
        <v>121.0</v>
      </c>
      <c r="AD68" s="1">
        <v>21.0</v>
      </c>
      <c r="AE68" s="1">
        <v>188.0</v>
      </c>
      <c r="AF68" s="5">
        <v>10.0</v>
      </c>
      <c r="AG68" s="1">
        <v>11.0</v>
      </c>
      <c r="AH68" s="5">
        <v>2.0</v>
      </c>
      <c r="AI68" s="3">
        <v>31.0</v>
      </c>
      <c r="AJ68" s="5">
        <v>0.0</v>
      </c>
      <c r="AK68" s="5">
        <v>24.0</v>
      </c>
      <c r="AL68" s="5">
        <v>0.0</v>
      </c>
      <c r="AM68" s="5">
        <v>0.0</v>
      </c>
      <c r="AN68" s="5">
        <v>0.0</v>
      </c>
      <c r="AO68" s="5">
        <v>7.0</v>
      </c>
      <c r="AP68" s="5">
        <v>0.0</v>
      </c>
      <c r="AQ68" s="5">
        <v>0.0</v>
      </c>
      <c r="AR68" s="5">
        <v>0.0</v>
      </c>
      <c r="AS68" s="5">
        <v>0.0</v>
      </c>
      <c r="AT68" s="5">
        <v>0.0</v>
      </c>
      <c r="AU68" s="5">
        <v>0.0</v>
      </c>
      <c r="AV68" s="5">
        <v>5.0</v>
      </c>
      <c r="AW68" s="5">
        <v>0.0</v>
      </c>
      <c r="AX68" s="5">
        <v>0.0</v>
      </c>
      <c r="AY68" s="5">
        <v>0.0</v>
      </c>
      <c r="AZ68" s="5">
        <v>0.0</v>
      </c>
      <c r="BA68" s="5">
        <v>0.0</v>
      </c>
      <c r="BB68" s="5">
        <v>0.0</v>
      </c>
      <c r="BC68" s="5">
        <v>0.0</v>
      </c>
      <c r="BD68" s="5">
        <v>0.0</v>
      </c>
      <c r="BE68" s="5">
        <v>0.0</v>
      </c>
      <c r="BF68" s="5">
        <v>0.0</v>
      </c>
      <c r="BG68" s="5">
        <v>2.0</v>
      </c>
      <c r="BH68" s="5">
        <v>0.0</v>
      </c>
      <c r="BI68" s="5">
        <v>0.0</v>
      </c>
      <c r="BJ68" s="5">
        <v>0.0</v>
      </c>
      <c r="BK68" s="5">
        <v>0.0</v>
      </c>
      <c r="BL68" s="5">
        <v>0.0</v>
      </c>
      <c r="BM68" s="7">
        <f t="shared" ref="BM68:BM87" si="10">SUM(B68:BL68)</f>
        <v>1430.415214</v>
      </c>
      <c r="BN68" s="8"/>
    </row>
    <row r="69">
      <c r="A69" s="1" t="s">
        <v>131</v>
      </c>
      <c r="B69" s="1">
        <v>17.0</v>
      </c>
      <c r="C69" s="2">
        <f>4805/18234*100</f>
        <v>26.35187013</v>
      </c>
      <c r="D69" s="2">
        <f>6348/18234*100</f>
        <v>34.81408358</v>
      </c>
      <c r="E69" s="2">
        <f>6654/18234*100</f>
        <v>36.49226719</v>
      </c>
      <c r="F69" s="1">
        <v>0.0</v>
      </c>
      <c r="G69" s="1">
        <v>3.0</v>
      </c>
      <c r="H69" s="3">
        <v>58.0</v>
      </c>
      <c r="I69" s="1">
        <v>0.0</v>
      </c>
      <c r="J69" s="1">
        <v>29.0</v>
      </c>
      <c r="K69" s="1">
        <v>47.0</v>
      </c>
      <c r="L69" s="1">
        <v>0.0</v>
      </c>
      <c r="M69" s="5">
        <v>0.0</v>
      </c>
      <c r="N69" s="1">
        <v>24.0</v>
      </c>
      <c r="O69" s="1">
        <v>0.0</v>
      </c>
      <c r="P69" s="1">
        <v>14.0</v>
      </c>
      <c r="Q69" s="1">
        <v>2.0</v>
      </c>
      <c r="R69" s="1">
        <v>0.0</v>
      </c>
      <c r="S69" s="1">
        <v>0.0</v>
      </c>
      <c r="T69" s="1">
        <v>0.0</v>
      </c>
      <c r="U69" s="1">
        <v>154.0</v>
      </c>
      <c r="V69" s="5">
        <v>7.0</v>
      </c>
      <c r="W69" s="1">
        <v>7.0</v>
      </c>
      <c r="X69" s="5">
        <v>11.0</v>
      </c>
      <c r="Y69" s="5">
        <v>0.0</v>
      </c>
      <c r="Z69" s="1">
        <v>13.0</v>
      </c>
      <c r="AA69" s="1">
        <v>4.0</v>
      </c>
      <c r="AB69" s="5">
        <v>2.0</v>
      </c>
      <c r="AC69" s="5">
        <v>2.0</v>
      </c>
      <c r="AD69" s="1">
        <v>7.0</v>
      </c>
      <c r="AE69" s="1">
        <v>3.0</v>
      </c>
      <c r="AF69" s="5">
        <v>0.0</v>
      </c>
      <c r="AG69" s="1">
        <v>7.0</v>
      </c>
      <c r="AH69" s="5">
        <v>0.0</v>
      </c>
      <c r="AI69" s="3">
        <v>0.0</v>
      </c>
      <c r="AJ69" s="5">
        <v>0.0</v>
      </c>
      <c r="AK69" s="5">
        <v>14.0</v>
      </c>
      <c r="AL69" s="5">
        <v>0.0</v>
      </c>
      <c r="AM69" s="5">
        <v>0.0</v>
      </c>
      <c r="AN69" s="5">
        <v>0.0</v>
      </c>
      <c r="AO69" s="5">
        <v>0.0</v>
      </c>
      <c r="AP69" s="5">
        <v>0.0</v>
      </c>
      <c r="AQ69" s="5">
        <v>2.0</v>
      </c>
      <c r="AR69" s="5">
        <v>0.0</v>
      </c>
      <c r="AS69" s="5">
        <v>0.0</v>
      </c>
      <c r="AT69" s="5">
        <v>0.0</v>
      </c>
      <c r="AU69" s="5">
        <v>0.0</v>
      </c>
      <c r="AV69" s="5">
        <v>0.0</v>
      </c>
      <c r="AW69" s="5">
        <v>0.0</v>
      </c>
      <c r="AX69" s="5">
        <v>0.0</v>
      </c>
      <c r="AY69" s="5">
        <v>0.0</v>
      </c>
      <c r="AZ69" s="5">
        <v>0.0</v>
      </c>
      <c r="BA69" s="5">
        <v>0.0</v>
      </c>
      <c r="BB69" s="5">
        <v>0.0</v>
      </c>
      <c r="BC69" s="5">
        <v>0.0</v>
      </c>
      <c r="BD69" s="5">
        <v>0.0</v>
      </c>
      <c r="BE69" s="5">
        <v>0.0</v>
      </c>
      <c r="BF69" s="5">
        <v>0.0</v>
      </c>
      <c r="BG69" s="5">
        <v>0.0</v>
      </c>
      <c r="BH69" s="5">
        <v>0.0</v>
      </c>
      <c r="BI69" s="5">
        <v>0.0</v>
      </c>
      <c r="BJ69" s="5">
        <v>0.0</v>
      </c>
      <c r="BK69" s="5">
        <v>0.0</v>
      </c>
      <c r="BL69" s="5">
        <v>0.0</v>
      </c>
      <c r="BM69" s="7">
        <f t="shared" si="10"/>
        <v>524.6582209</v>
      </c>
      <c r="BN69" s="8"/>
    </row>
    <row r="70">
      <c r="A70" s="1" t="s">
        <v>132</v>
      </c>
      <c r="B70" s="1">
        <v>12.0</v>
      </c>
      <c r="C70" s="2">
        <f>4956/18870*100</f>
        <v>26.26391097</v>
      </c>
      <c r="D70" s="2">
        <f>5952/18870*100</f>
        <v>31.54213037</v>
      </c>
      <c r="E70" s="2">
        <f>7759/18870*100</f>
        <v>41.118177</v>
      </c>
      <c r="F70" s="1">
        <v>0.0</v>
      </c>
      <c r="G70" s="1">
        <v>0.0</v>
      </c>
      <c r="H70" s="3">
        <v>31.0</v>
      </c>
      <c r="I70" s="1">
        <v>0.0</v>
      </c>
      <c r="J70" s="1">
        <v>43.0</v>
      </c>
      <c r="K70" s="1">
        <v>22.0</v>
      </c>
      <c r="L70" s="1">
        <v>0.0</v>
      </c>
      <c r="M70" s="5">
        <v>0.0</v>
      </c>
      <c r="N70" s="1">
        <v>17.0</v>
      </c>
      <c r="O70" s="1">
        <v>0.0</v>
      </c>
      <c r="P70" s="1">
        <v>12.0</v>
      </c>
      <c r="Q70" s="1">
        <v>4.0</v>
      </c>
      <c r="R70" s="1">
        <v>2.0</v>
      </c>
      <c r="S70" s="1">
        <v>5.0</v>
      </c>
      <c r="T70" s="1">
        <v>2.0</v>
      </c>
      <c r="U70" s="1">
        <v>10.0</v>
      </c>
      <c r="V70" s="5">
        <v>9.0</v>
      </c>
      <c r="W70" s="1">
        <v>0.0</v>
      </c>
      <c r="X70" s="5">
        <v>5.0</v>
      </c>
      <c r="Y70" s="5">
        <v>0.0</v>
      </c>
      <c r="Z70" s="1">
        <v>14.0</v>
      </c>
      <c r="AA70" s="1">
        <v>0.0</v>
      </c>
      <c r="AB70" s="5">
        <v>0.0</v>
      </c>
      <c r="AC70" s="5">
        <v>5.0</v>
      </c>
      <c r="AD70" s="1">
        <v>0.0</v>
      </c>
      <c r="AE70" s="1">
        <v>0.0</v>
      </c>
      <c r="AF70" s="5">
        <v>0.0</v>
      </c>
      <c r="AG70" s="1">
        <v>3.0</v>
      </c>
      <c r="AH70" s="5">
        <v>0.0</v>
      </c>
      <c r="AI70" s="3">
        <v>2.0</v>
      </c>
      <c r="AJ70" s="5">
        <v>0.0</v>
      </c>
      <c r="AK70" s="5">
        <v>5.0</v>
      </c>
      <c r="AL70" s="5">
        <v>0.0</v>
      </c>
      <c r="AM70" s="5">
        <v>0.0</v>
      </c>
      <c r="AN70" s="5">
        <v>0.0</v>
      </c>
      <c r="AO70" s="5">
        <v>0.0</v>
      </c>
      <c r="AP70" s="5">
        <v>0.0</v>
      </c>
      <c r="AQ70" s="5">
        <v>0.0</v>
      </c>
      <c r="AR70" s="5">
        <v>0.0</v>
      </c>
      <c r="AS70" s="5">
        <v>0.0</v>
      </c>
      <c r="AT70" s="5">
        <v>0.0</v>
      </c>
      <c r="AU70" s="5">
        <v>0.0</v>
      </c>
      <c r="AV70" s="5">
        <v>0.0</v>
      </c>
      <c r="AW70" s="5">
        <v>0.0</v>
      </c>
      <c r="AX70" s="5">
        <v>0.0</v>
      </c>
      <c r="AY70" s="5">
        <v>0.0</v>
      </c>
      <c r="AZ70" s="5">
        <v>0.0</v>
      </c>
      <c r="BA70" s="5">
        <v>0.0</v>
      </c>
      <c r="BB70" s="5">
        <v>0.0</v>
      </c>
      <c r="BC70" s="5">
        <v>0.0</v>
      </c>
      <c r="BD70" s="5">
        <v>0.0</v>
      </c>
      <c r="BE70" s="5">
        <v>0.0</v>
      </c>
      <c r="BF70" s="5">
        <v>0.0</v>
      </c>
      <c r="BG70" s="5">
        <v>0.0</v>
      </c>
      <c r="BH70" s="5">
        <v>0.0</v>
      </c>
      <c r="BI70" s="5">
        <v>0.0</v>
      </c>
      <c r="BJ70" s="5">
        <v>0.0</v>
      </c>
      <c r="BK70" s="5">
        <v>0.0</v>
      </c>
      <c r="BL70" s="5">
        <v>0.0</v>
      </c>
      <c r="BM70" s="7">
        <f t="shared" si="10"/>
        <v>301.9242183</v>
      </c>
      <c r="BN70" s="8"/>
    </row>
    <row r="71">
      <c r="A71" s="1" t="s">
        <v>133</v>
      </c>
      <c r="B71" s="1">
        <f>390/40715*100</f>
        <v>0.957877932</v>
      </c>
      <c r="C71" s="2">
        <f>10438/40715*100</f>
        <v>25.63674322</v>
      </c>
      <c r="D71" s="2">
        <f>8283/40715*100</f>
        <v>20.34385362</v>
      </c>
      <c r="E71" s="2">
        <f>19146/40715*100</f>
        <v>47.02443817</v>
      </c>
      <c r="F71" s="1">
        <v>26.0</v>
      </c>
      <c r="G71" s="1">
        <v>20.0</v>
      </c>
      <c r="H71" s="3">
        <f>418/40715*100</f>
        <v>1.026648655</v>
      </c>
      <c r="I71" s="1">
        <v>0.0</v>
      </c>
      <c r="J71" s="1">
        <v>60.0</v>
      </c>
      <c r="K71" s="7">
        <f>545/40715*100</f>
        <v>1.338573007</v>
      </c>
      <c r="L71" s="1">
        <v>18.0</v>
      </c>
      <c r="M71" s="5">
        <v>15.0</v>
      </c>
      <c r="N71" s="1">
        <v>26.0</v>
      </c>
      <c r="O71" s="1">
        <v>24.0</v>
      </c>
      <c r="P71" s="1">
        <v>111.0</v>
      </c>
      <c r="Q71" s="1">
        <v>6.0</v>
      </c>
      <c r="R71" s="1">
        <v>37.0</v>
      </c>
      <c r="S71" s="1">
        <v>233.0</v>
      </c>
      <c r="T71" s="1">
        <v>6.0</v>
      </c>
      <c r="U71" s="1">
        <v>17.0</v>
      </c>
      <c r="V71" s="5">
        <v>52.0</v>
      </c>
      <c r="W71" s="7">
        <f>579/40715*100</f>
        <v>1.422080314</v>
      </c>
      <c r="X71" s="5">
        <v>5.0</v>
      </c>
      <c r="Y71" s="5">
        <v>23.0</v>
      </c>
      <c r="Z71" s="1">
        <v>67.0</v>
      </c>
      <c r="AA71" s="1">
        <v>2.0</v>
      </c>
      <c r="AB71" s="5">
        <v>0.0</v>
      </c>
      <c r="AC71" s="5">
        <v>79.0</v>
      </c>
      <c r="AD71" s="1">
        <v>2.0</v>
      </c>
      <c r="AE71" s="1">
        <v>3.0</v>
      </c>
      <c r="AF71" s="5">
        <v>12.0</v>
      </c>
      <c r="AG71" s="1">
        <v>50.0</v>
      </c>
      <c r="AH71" s="5">
        <v>0.0</v>
      </c>
      <c r="AI71" s="3">
        <v>11.0</v>
      </c>
      <c r="AJ71" s="5">
        <v>0.0</v>
      </c>
      <c r="AK71" s="5">
        <v>0.0</v>
      </c>
      <c r="AL71" s="5">
        <v>3.0</v>
      </c>
      <c r="AM71" s="5">
        <v>0.0</v>
      </c>
      <c r="AN71" s="5">
        <v>0.0</v>
      </c>
      <c r="AO71" s="5">
        <v>0.0</v>
      </c>
      <c r="AP71" s="5">
        <v>0.0</v>
      </c>
      <c r="AQ71" s="5">
        <v>0.0</v>
      </c>
      <c r="AR71" s="5">
        <v>0.0</v>
      </c>
      <c r="AS71" s="5">
        <v>0.0</v>
      </c>
      <c r="AT71" s="5">
        <v>0.0</v>
      </c>
      <c r="AU71" s="5">
        <v>0.0</v>
      </c>
      <c r="AV71" s="5">
        <v>3.0</v>
      </c>
      <c r="AW71" s="5">
        <v>5.0</v>
      </c>
      <c r="AX71" s="5">
        <v>0.0</v>
      </c>
      <c r="AY71" s="5">
        <v>0.0</v>
      </c>
      <c r="AZ71" s="5">
        <v>0.0</v>
      </c>
      <c r="BA71" s="5">
        <v>0.0</v>
      </c>
      <c r="BB71" s="5">
        <v>0.0</v>
      </c>
      <c r="BC71" s="5">
        <v>0.0</v>
      </c>
      <c r="BD71" s="5">
        <v>0.0</v>
      </c>
      <c r="BE71" s="5">
        <v>0.0</v>
      </c>
      <c r="BF71" s="5">
        <v>0.0</v>
      </c>
      <c r="BG71" s="5">
        <v>0.0</v>
      </c>
      <c r="BH71" s="5">
        <v>0.0</v>
      </c>
      <c r="BI71" s="5">
        <v>0.0</v>
      </c>
      <c r="BJ71" s="5">
        <v>0.0</v>
      </c>
      <c r="BK71" s="5">
        <v>0.0</v>
      </c>
      <c r="BL71" s="5">
        <v>0.0</v>
      </c>
      <c r="BM71" s="7">
        <f t="shared" si="10"/>
        <v>1013.750215</v>
      </c>
      <c r="BN71" s="8"/>
    </row>
    <row r="72">
      <c r="A72" s="1" t="s">
        <v>134</v>
      </c>
      <c r="B72" s="1">
        <f>447/47564*100</f>
        <v>0.9397863931</v>
      </c>
      <c r="C72" s="2">
        <f>6887/47564*100</f>
        <v>14.47943823</v>
      </c>
      <c r="D72" s="2">
        <f>12176/47564*100</f>
        <v>25.59919267</v>
      </c>
      <c r="E72" s="2">
        <f>24728/47564*100</f>
        <v>51.98889917</v>
      </c>
      <c r="F72" s="1">
        <v>11.0</v>
      </c>
      <c r="G72" s="1">
        <v>42.0</v>
      </c>
      <c r="H72" s="3">
        <v>201.0</v>
      </c>
      <c r="I72" s="1">
        <v>0.0</v>
      </c>
      <c r="J72" s="1">
        <v>331.0</v>
      </c>
      <c r="K72" s="1">
        <f>1089/47564*100</f>
        <v>2.289546716</v>
      </c>
      <c r="L72" s="1">
        <v>83.0</v>
      </c>
      <c r="M72" s="5">
        <v>12.0</v>
      </c>
      <c r="N72" s="1">
        <v>70.0</v>
      </c>
      <c r="O72" s="1">
        <v>38.0</v>
      </c>
      <c r="P72" s="1">
        <v>235.0</v>
      </c>
      <c r="Q72" s="1">
        <v>11.0</v>
      </c>
      <c r="R72" s="1">
        <v>139.0</v>
      </c>
      <c r="S72" s="1">
        <v>87.0</v>
      </c>
      <c r="T72" s="1">
        <v>9.0</v>
      </c>
      <c r="U72" s="1">
        <v>37.0</v>
      </c>
      <c r="V72" s="5">
        <v>91.0</v>
      </c>
      <c r="W72" s="7">
        <f>483/47564*100</f>
        <v>1.015473888</v>
      </c>
      <c r="X72" s="5">
        <v>18.0</v>
      </c>
      <c r="Y72" s="5">
        <v>23.0</v>
      </c>
      <c r="Z72" s="1">
        <v>116.0</v>
      </c>
      <c r="AA72" s="1">
        <v>8.0</v>
      </c>
      <c r="AB72" s="5">
        <v>16.0</v>
      </c>
      <c r="AC72" s="5">
        <v>27.0</v>
      </c>
      <c r="AD72" s="1">
        <v>12.0</v>
      </c>
      <c r="AE72" s="1">
        <v>12.0</v>
      </c>
      <c r="AF72" s="5">
        <v>2.0</v>
      </c>
      <c r="AG72" s="1">
        <v>64.0</v>
      </c>
      <c r="AH72" s="5">
        <v>5.0</v>
      </c>
      <c r="AI72" s="3">
        <v>0.0</v>
      </c>
      <c r="AJ72" s="5">
        <v>0.0</v>
      </c>
      <c r="AK72" s="5">
        <v>28.0</v>
      </c>
      <c r="AL72" s="5">
        <v>4.0</v>
      </c>
      <c r="AM72" s="5">
        <v>0.0</v>
      </c>
      <c r="AN72" s="5">
        <v>0.0</v>
      </c>
      <c r="AO72" s="5">
        <v>3.0</v>
      </c>
      <c r="AP72" s="5">
        <v>0.0</v>
      </c>
      <c r="AQ72" s="5">
        <v>0.0</v>
      </c>
      <c r="AR72" s="5">
        <v>0.0</v>
      </c>
      <c r="AS72" s="5">
        <v>0.0</v>
      </c>
      <c r="AT72" s="5">
        <v>0.0</v>
      </c>
      <c r="AU72" s="5">
        <v>0.0</v>
      </c>
      <c r="AV72" s="5">
        <v>6.0</v>
      </c>
      <c r="AW72" s="5">
        <v>11.0</v>
      </c>
      <c r="AX72" s="5">
        <v>0.0</v>
      </c>
      <c r="AY72" s="5">
        <v>0.0</v>
      </c>
      <c r="AZ72" s="5">
        <v>0.0</v>
      </c>
      <c r="BA72" s="5">
        <v>0.0</v>
      </c>
      <c r="BB72" s="5">
        <v>0.0</v>
      </c>
      <c r="BC72" s="5">
        <v>0.0</v>
      </c>
      <c r="BD72" s="5">
        <v>0.0</v>
      </c>
      <c r="BE72" s="5">
        <v>2.0</v>
      </c>
      <c r="BF72" s="5">
        <v>0.0</v>
      </c>
      <c r="BG72" s="5">
        <v>0.0</v>
      </c>
      <c r="BH72" s="5">
        <v>0.0</v>
      </c>
      <c r="BI72" s="5">
        <v>0.0</v>
      </c>
      <c r="BJ72" s="5">
        <v>0.0</v>
      </c>
      <c r="BK72" s="5">
        <v>0.0</v>
      </c>
      <c r="BL72" s="5">
        <v>0.0</v>
      </c>
      <c r="BM72" s="7">
        <f t="shared" si="10"/>
        <v>1850.312337</v>
      </c>
      <c r="BN72" s="8"/>
    </row>
    <row r="73">
      <c r="A73" s="1" t="s">
        <v>135</v>
      </c>
      <c r="B73" s="1">
        <v>224.0</v>
      </c>
      <c r="C73" s="2">
        <f>12700/83772*100</f>
        <v>15.16019672</v>
      </c>
      <c r="D73" s="2">
        <f>21456/83772*100</f>
        <v>25.61237645</v>
      </c>
      <c r="E73" s="2">
        <f>28749/83772*100</f>
        <v>34.31814926</v>
      </c>
      <c r="F73" s="1">
        <v>0.0</v>
      </c>
      <c r="G73" s="1">
        <v>0.0</v>
      </c>
      <c r="H73" s="3">
        <f>10786/83772*100</f>
        <v>12.87542377</v>
      </c>
      <c r="I73" s="1">
        <v>0.0</v>
      </c>
      <c r="J73" s="1">
        <f>5010/83772*100</f>
        <v>5.98051855</v>
      </c>
      <c r="K73" s="1">
        <f>1334/83772*100</f>
        <v>1.592417514</v>
      </c>
      <c r="L73" s="1">
        <v>85.0</v>
      </c>
      <c r="M73" s="5">
        <v>2.0</v>
      </c>
      <c r="N73" s="1">
        <f>1168/83772*100</f>
        <v>1.394260612</v>
      </c>
      <c r="O73" s="1">
        <v>9.0</v>
      </c>
      <c r="P73" s="1">
        <v>564.0</v>
      </c>
      <c r="Q73" s="1">
        <v>270.0</v>
      </c>
      <c r="R73" s="1">
        <v>27.0</v>
      </c>
      <c r="S73" s="1">
        <v>0.0</v>
      </c>
      <c r="T73" s="1">
        <v>8.0</v>
      </c>
      <c r="U73" s="1">
        <v>8.0</v>
      </c>
      <c r="V73" s="5">
        <v>64.0</v>
      </c>
      <c r="W73" s="1">
        <v>0.0</v>
      </c>
      <c r="X73" s="5">
        <v>117.0</v>
      </c>
      <c r="Y73" s="5">
        <v>15.0</v>
      </c>
      <c r="Z73" s="1">
        <v>40.0</v>
      </c>
      <c r="AA73" s="7">
        <f>958/83772*100</f>
        <v>1.143580194</v>
      </c>
      <c r="AB73" s="5">
        <v>18.0</v>
      </c>
      <c r="AC73" s="5">
        <v>0.0</v>
      </c>
      <c r="AD73" s="1">
        <v>16.0</v>
      </c>
      <c r="AE73" s="1">
        <v>64.0</v>
      </c>
      <c r="AF73" s="5">
        <v>0.0</v>
      </c>
      <c r="AG73" s="1">
        <v>0.0</v>
      </c>
      <c r="AH73" s="5">
        <v>0.0</v>
      </c>
      <c r="AI73" s="3">
        <v>67.0</v>
      </c>
      <c r="AJ73" s="5">
        <v>0.0</v>
      </c>
      <c r="AK73" s="5">
        <v>13.0</v>
      </c>
      <c r="AL73" s="5">
        <v>0.0</v>
      </c>
      <c r="AM73" s="5">
        <v>0.0</v>
      </c>
      <c r="AN73" s="5">
        <v>0.0</v>
      </c>
      <c r="AO73" s="5">
        <v>0.0</v>
      </c>
      <c r="AP73" s="5">
        <v>0.0</v>
      </c>
      <c r="AQ73" s="5">
        <v>0.0</v>
      </c>
      <c r="AR73" s="5">
        <v>0.0</v>
      </c>
      <c r="AS73" s="5">
        <v>0.0</v>
      </c>
      <c r="AT73" s="5">
        <v>0.0</v>
      </c>
      <c r="AU73" s="5">
        <v>0.0</v>
      </c>
      <c r="AV73" s="5">
        <v>0.0</v>
      </c>
      <c r="AW73" s="5">
        <v>0.0</v>
      </c>
      <c r="AX73" s="5">
        <v>0.0</v>
      </c>
      <c r="AY73" s="5">
        <v>0.0</v>
      </c>
      <c r="AZ73" s="5">
        <v>0.0</v>
      </c>
      <c r="BA73" s="5">
        <v>0.0</v>
      </c>
      <c r="BB73" s="5">
        <v>0.0</v>
      </c>
      <c r="BC73" s="5">
        <v>0.0</v>
      </c>
      <c r="BD73" s="5">
        <v>0.0</v>
      </c>
      <c r="BE73" s="5">
        <v>0.0</v>
      </c>
      <c r="BF73" s="5">
        <v>0.0</v>
      </c>
      <c r="BG73" s="5">
        <v>0.0</v>
      </c>
      <c r="BH73" s="5">
        <v>0.0</v>
      </c>
      <c r="BI73" s="5">
        <v>0.0</v>
      </c>
      <c r="BJ73" s="5">
        <v>0.0</v>
      </c>
      <c r="BK73" s="5">
        <v>0.0</v>
      </c>
      <c r="BL73" s="5">
        <v>0.0</v>
      </c>
      <c r="BM73" s="7">
        <f t="shared" si="10"/>
        <v>1709.076923</v>
      </c>
      <c r="BN73" s="8"/>
    </row>
    <row r="74">
      <c r="A74" s="1" t="s">
        <v>136</v>
      </c>
      <c r="B74" s="1">
        <v>99.0</v>
      </c>
      <c r="C74" s="2">
        <f>7060/44654*100</f>
        <v>15.81045371</v>
      </c>
      <c r="D74" s="2">
        <f>11726/44654*100</f>
        <v>26.25968558</v>
      </c>
      <c r="E74" s="2">
        <f>18667/44654*100</f>
        <v>41.80364581</v>
      </c>
      <c r="F74" s="1">
        <v>0.0</v>
      </c>
      <c r="G74" s="1">
        <v>0.0</v>
      </c>
      <c r="H74" s="3">
        <f>2448/44654*100</f>
        <v>5.482151655</v>
      </c>
      <c r="I74" s="1">
        <v>0.0</v>
      </c>
      <c r="J74" s="1">
        <f>2220/44654*100</f>
        <v>4.971559099</v>
      </c>
      <c r="K74" s="1">
        <f>525/44654*100</f>
        <v>1.175706544</v>
      </c>
      <c r="L74" s="1">
        <v>21.0</v>
      </c>
      <c r="M74" s="5">
        <v>0.0</v>
      </c>
      <c r="N74" s="1">
        <v>178.0</v>
      </c>
      <c r="O74" s="1">
        <v>3.0</v>
      </c>
      <c r="P74" s="1">
        <v>417.0</v>
      </c>
      <c r="Q74" s="1">
        <v>71.0</v>
      </c>
      <c r="R74" s="1">
        <v>4.0</v>
      </c>
      <c r="S74" s="1">
        <v>6.0</v>
      </c>
      <c r="T74" s="1">
        <v>10.0</v>
      </c>
      <c r="U74" s="1">
        <v>21.0</v>
      </c>
      <c r="V74" s="5">
        <v>25.0</v>
      </c>
      <c r="W74" s="1">
        <v>0.0</v>
      </c>
      <c r="X74" s="5">
        <v>20.0</v>
      </c>
      <c r="Y74" s="5">
        <v>6.0</v>
      </c>
      <c r="Z74" s="1">
        <v>25.0</v>
      </c>
      <c r="AA74" s="7">
        <f>1003/44654*100</f>
        <v>2.246159359</v>
      </c>
      <c r="AB74" s="5">
        <v>0.0</v>
      </c>
      <c r="AC74" s="5">
        <v>0.0</v>
      </c>
      <c r="AD74" s="1">
        <v>2.0</v>
      </c>
      <c r="AE74" s="1">
        <v>20.0</v>
      </c>
      <c r="AF74" s="5">
        <v>0.0</v>
      </c>
      <c r="AG74" s="1">
        <v>6.0</v>
      </c>
      <c r="AH74" s="5">
        <v>3.0</v>
      </c>
      <c r="AI74" s="3">
        <v>66.0</v>
      </c>
      <c r="AJ74" s="5">
        <v>0.0</v>
      </c>
      <c r="AK74" s="5">
        <v>2.0</v>
      </c>
      <c r="AL74" s="5">
        <v>0.0</v>
      </c>
      <c r="AM74" s="5">
        <v>0.0</v>
      </c>
      <c r="AN74" s="5">
        <v>0.0</v>
      </c>
      <c r="AO74" s="5">
        <v>0.0</v>
      </c>
      <c r="AP74" s="5">
        <v>0.0</v>
      </c>
      <c r="AQ74" s="5">
        <v>0.0</v>
      </c>
      <c r="AR74" s="5">
        <v>0.0</v>
      </c>
      <c r="AS74" s="5">
        <v>0.0</v>
      </c>
      <c r="AT74" s="5">
        <v>0.0</v>
      </c>
      <c r="AU74" s="5">
        <v>0.0</v>
      </c>
      <c r="AV74" s="5">
        <v>0.0</v>
      </c>
      <c r="AW74" s="5">
        <v>0.0</v>
      </c>
      <c r="AX74" s="5">
        <v>0.0</v>
      </c>
      <c r="AY74" s="5">
        <v>0.0</v>
      </c>
      <c r="AZ74" s="5">
        <v>0.0</v>
      </c>
      <c r="BA74" s="5">
        <v>0.0</v>
      </c>
      <c r="BB74" s="5">
        <v>0.0</v>
      </c>
      <c r="BC74" s="5">
        <v>0.0</v>
      </c>
      <c r="BD74" s="5">
        <v>0.0</v>
      </c>
      <c r="BE74" s="5">
        <v>0.0</v>
      </c>
      <c r="BF74" s="5">
        <v>0.0</v>
      </c>
      <c r="BG74" s="5">
        <v>0.0</v>
      </c>
      <c r="BH74" s="5">
        <v>0.0</v>
      </c>
      <c r="BI74" s="5">
        <v>0.0</v>
      </c>
      <c r="BJ74" s="5">
        <v>0.0</v>
      </c>
      <c r="BK74" s="5">
        <v>0.0</v>
      </c>
      <c r="BL74" s="5">
        <v>0.0</v>
      </c>
      <c r="BM74" s="7">
        <f t="shared" si="10"/>
        <v>1102.749362</v>
      </c>
      <c r="BN74" s="8"/>
    </row>
    <row r="75">
      <c r="A75" s="1" t="s">
        <v>137</v>
      </c>
      <c r="B75" s="1">
        <v>109.0</v>
      </c>
      <c r="C75" s="2">
        <f>4012/42177*100</f>
        <v>9.51229343</v>
      </c>
      <c r="D75" s="2">
        <f>15424/42177*100</f>
        <v>36.56969438</v>
      </c>
      <c r="E75" s="2">
        <f>16011/42177*100</f>
        <v>37.96144818</v>
      </c>
      <c r="F75" s="1">
        <v>0.0</v>
      </c>
      <c r="G75" s="1">
        <v>2.0</v>
      </c>
      <c r="H75" s="3">
        <f>547/42177*100</f>
        <v>1.29691538</v>
      </c>
      <c r="I75" s="1">
        <v>0.0</v>
      </c>
      <c r="J75" s="1">
        <f>3350/42177*100</f>
        <v>7.942717595</v>
      </c>
      <c r="K75" s="7">
        <f>688/42177*100</f>
        <v>1.631220808</v>
      </c>
      <c r="L75" s="1">
        <v>16.0</v>
      </c>
      <c r="M75" s="5">
        <v>0.0</v>
      </c>
      <c r="N75" s="1">
        <v>119.0</v>
      </c>
      <c r="O75" s="1">
        <v>19.0</v>
      </c>
      <c r="P75" s="1">
        <v>84.0</v>
      </c>
      <c r="Q75" s="1">
        <v>217.0</v>
      </c>
      <c r="R75" s="1">
        <v>15.0</v>
      </c>
      <c r="S75" s="1">
        <v>18.0</v>
      </c>
      <c r="T75" s="1">
        <v>24.0</v>
      </c>
      <c r="U75" s="1">
        <v>103.0</v>
      </c>
      <c r="V75" s="5">
        <v>20.0</v>
      </c>
      <c r="W75" s="1">
        <v>50.0</v>
      </c>
      <c r="X75" s="5">
        <v>6.0</v>
      </c>
      <c r="Y75" s="5">
        <v>8.0</v>
      </c>
      <c r="Z75" s="1">
        <v>57.0</v>
      </c>
      <c r="AA75" s="1">
        <v>15.0</v>
      </c>
      <c r="AB75" s="5">
        <v>24.0</v>
      </c>
      <c r="AC75" s="5">
        <v>7.0</v>
      </c>
      <c r="AD75" s="1">
        <v>26.0</v>
      </c>
      <c r="AE75" s="1">
        <v>4.0</v>
      </c>
      <c r="AF75" s="5">
        <v>0.0</v>
      </c>
      <c r="AG75" s="1">
        <v>4.0</v>
      </c>
      <c r="AH75" s="5">
        <v>0.0</v>
      </c>
      <c r="AI75" s="3">
        <f>1182/42177*100</f>
        <v>2.802475283</v>
      </c>
      <c r="AJ75" s="5">
        <v>0.0</v>
      </c>
      <c r="AK75" s="5">
        <v>12.0</v>
      </c>
      <c r="AL75" s="5">
        <v>0.0</v>
      </c>
      <c r="AM75" s="5">
        <v>0.0</v>
      </c>
      <c r="AN75" s="5">
        <v>0.0</v>
      </c>
      <c r="AO75" s="5">
        <v>0.0</v>
      </c>
      <c r="AP75" s="5">
        <v>0.0</v>
      </c>
      <c r="AQ75" s="5">
        <v>0.0</v>
      </c>
      <c r="AR75" s="5">
        <v>0.0</v>
      </c>
      <c r="AS75" s="5">
        <v>0.0</v>
      </c>
      <c r="AT75" s="5">
        <v>0.0</v>
      </c>
      <c r="AU75" s="5">
        <v>0.0</v>
      </c>
      <c r="AV75" s="5">
        <v>2.0</v>
      </c>
      <c r="AW75" s="5">
        <v>0.0</v>
      </c>
      <c r="AX75" s="5">
        <v>0.0</v>
      </c>
      <c r="AY75" s="5">
        <v>0.0</v>
      </c>
      <c r="AZ75" s="5">
        <v>0.0</v>
      </c>
      <c r="BA75" s="5">
        <v>0.0</v>
      </c>
      <c r="BB75" s="5">
        <v>0.0</v>
      </c>
      <c r="BC75" s="5">
        <v>0.0</v>
      </c>
      <c r="BD75" s="5">
        <v>0.0</v>
      </c>
      <c r="BE75" s="5">
        <v>0.0</v>
      </c>
      <c r="BF75" s="5">
        <v>0.0</v>
      </c>
      <c r="BG75" s="5">
        <v>0.0</v>
      </c>
      <c r="BH75" s="5">
        <v>0.0</v>
      </c>
      <c r="BI75" s="5">
        <v>0.0</v>
      </c>
      <c r="BJ75" s="5">
        <v>2.0</v>
      </c>
      <c r="BK75" s="5">
        <v>0.0</v>
      </c>
      <c r="BL75" s="5">
        <v>0.0</v>
      </c>
      <c r="BM75" s="7">
        <f t="shared" si="10"/>
        <v>1060.716765</v>
      </c>
      <c r="BN75" s="8"/>
    </row>
    <row r="76">
      <c r="A76" s="1" t="s">
        <v>138</v>
      </c>
      <c r="B76" s="1">
        <f>383/33796*100</f>
        <v>1.133270209</v>
      </c>
      <c r="C76" s="2">
        <f>2636/33796*100</f>
        <v>7.799739614</v>
      </c>
      <c r="D76" s="2">
        <f>1919/33796*100</f>
        <v>5.678186768</v>
      </c>
      <c r="E76" s="2">
        <f>25372/33796*100</f>
        <v>75.07397325</v>
      </c>
      <c r="F76" s="1">
        <v>0.0</v>
      </c>
      <c r="G76" s="1">
        <v>35.0</v>
      </c>
      <c r="H76" s="3">
        <f>1011/33796*100</f>
        <v>2.991478281</v>
      </c>
      <c r="I76" s="1">
        <v>0.0</v>
      </c>
      <c r="J76" s="1">
        <f>327/33796*100</f>
        <v>0.9675701266</v>
      </c>
      <c r="K76" s="7">
        <f>1121/33796*100</f>
        <v>3.316960587</v>
      </c>
      <c r="L76" s="1">
        <v>44.0</v>
      </c>
      <c r="M76" s="5">
        <v>3.0</v>
      </c>
      <c r="N76" s="1">
        <v>122.0</v>
      </c>
      <c r="O76" s="1">
        <v>43.0</v>
      </c>
      <c r="P76" s="1">
        <v>227.0</v>
      </c>
      <c r="Q76" s="1">
        <v>55.0</v>
      </c>
      <c r="R76" s="1">
        <v>28.0</v>
      </c>
      <c r="S76" s="1">
        <v>7.0</v>
      </c>
      <c r="T76" s="1">
        <v>25.0</v>
      </c>
      <c r="U76" s="1">
        <v>38.0</v>
      </c>
      <c r="V76" s="5">
        <v>23.0</v>
      </c>
      <c r="W76" s="1">
        <v>5.0</v>
      </c>
      <c r="X76" s="5">
        <v>77.0</v>
      </c>
      <c r="Y76" s="5">
        <v>24.0</v>
      </c>
      <c r="Z76" s="1">
        <v>28.0</v>
      </c>
      <c r="AA76" s="1">
        <v>0.0</v>
      </c>
      <c r="AB76" s="5">
        <v>0.0</v>
      </c>
      <c r="AC76" s="5">
        <v>0.0</v>
      </c>
      <c r="AD76" s="1">
        <v>26.0</v>
      </c>
      <c r="AE76" s="1">
        <v>21.0</v>
      </c>
      <c r="AF76" s="5">
        <v>2.0</v>
      </c>
      <c r="AG76" s="1">
        <v>58.0</v>
      </c>
      <c r="AH76" s="5">
        <v>0.0</v>
      </c>
      <c r="AI76" s="3">
        <v>122.0</v>
      </c>
      <c r="AJ76" s="5">
        <v>0.0</v>
      </c>
      <c r="AK76" s="5">
        <v>10.0</v>
      </c>
      <c r="AL76" s="5">
        <v>0.0</v>
      </c>
      <c r="AM76" s="5">
        <v>0.0</v>
      </c>
      <c r="AN76" s="5">
        <v>0.0</v>
      </c>
      <c r="AO76" s="5">
        <v>4.0</v>
      </c>
      <c r="AP76" s="5">
        <v>0.0</v>
      </c>
      <c r="AQ76" s="5">
        <v>0.0</v>
      </c>
      <c r="AR76" s="5">
        <v>0.0</v>
      </c>
      <c r="AS76" s="5">
        <v>0.0</v>
      </c>
      <c r="AT76" s="5">
        <v>0.0</v>
      </c>
      <c r="AU76" s="5">
        <v>0.0</v>
      </c>
      <c r="AV76" s="5">
        <v>0.0</v>
      </c>
      <c r="AW76" s="5">
        <v>0.0</v>
      </c>
      <c r="AX76" s="5">
        <v>0.0</v>
      </c>
      <c r="AY76" s="5">
        <v>0.0</v>
      </c>
      <c r="AZ76" s="5">
        <v>0.0</v>
      </c>
      <c r="BA76" s="5">
        <v>0.0</v>
      </c>
      <c r="BB76" s="5">
        <v>0.0</v>
      </c>
      <c r="BC76" s="5">
        <v>0.0</v>
      </c>
      <c r="BD76" s="5">
        <v>0.0</v>
      </c>
      <c r="BE76" s="5">
        <v>0.0</v>
      </c>
      <c r="BF76" s="5">
        <v>0.0</v>
      </c>
      <c r="BG76" s="5">
        <v>0.0</v>
      </c>
      <c r="BH76" s="5">
        <v>0.0</v>
      </c>
      <c r="BI76" s="5">
        <v>0.0</v>
      </c>
      <c r="BJ76" s="5">
        <v>0.0</v>
      </c>
      <c r="BK76" s="5">
        <v>0.0</v>
      </c>
      <c r="BL76" s="5">
        <v>0.0</v>
      </c>
      <c r="BM76" s="7">
        <f t="shared" si="10"/>
        <v>1123.961179</v>
      </c>
      <c r="BN76" s="8"/>
    </row>
    <row r="77">
      <c r="A77" s="1" t="s">
        <v>139</v>
      </c>
      <c r="B77" s="1">
        <v>85.0</v>
      </c>
      <c r="C77" s="2">
        <f>6939/31501*100</f>
        <v>22.02787213</v>
      </c>
      <c r="D77" s="2">
        <f>3486/31501*100</f>
        <v>11.06631536</v>
      </c>
      <c r="E77" s="2">
        <f>14799/31501*100</f>
        <v>46.97946097</v>
      </c>
      <c r="F77" s="1">
        <v>0.0</v>
      </c>
      <c r="G77" s="1">
        <v>5.0</v>
      </c>
      <c r="H77" s="3">
        <f>1760/31501*100</f>
        <v>5.587124218</v>
      </c>
      <c r="I77" s="1">
        <v>3.0</v>
      </c>
      <c r="J77" s="1">
        <f>2173/31501*100</f>
        <v>6.898193708</v>
      </c>
      <c r="K77" s="7">
        <f>1640/31501*100</f>
        <v>5.206183931</v>
      </c>
      <c r="L77" s="1">
        <v>34.0</v>
      </c>
      <c r="M77" s="5">
        <v>0.0</v>
      </c>
      <c r="N77" s="1">
        <v>119.0</v>
      </c>
      <c r="O77" s="1">
        <v>13.0</v>
      </c>
      <c r="P77" s="1">
        <v>43.0</v>
      </c>
      <c r="Q77" s="1">
        <v>29.0</v>
      </c>
      <c r="R77" s="1">
        <v>9.0</v>
      </c>
      <c r="S77" s="1">
        <v>3.0</v>
      </c>
      <c r="T77" s="1">
        <v>2.0</v>
      </c>
      <c r="U77" s="1">
        <v>22.0</v>
      </c>
      <c r="V77" s="5">
        <v>14.0</v>
      </c>
      <c r="W77" s="1">
        <v>0.0</v>
      </c>
      <c r="X77" s="5">
        <v>30.0</v>
      </c>
      <c r="Y77" s="5">
        <v>0.0</v>
      </c>
      <c r="Z77" s="1">
        <v>4.0</v>
      </c>
      <c r="AA77" s="1">
        <v>2.0</v>
      </c>
      <c r="AB77" s="5">
        <v>11.0</v>
      </c>
      <c r="AC77" s="5">
        <v>4.0</v>
      </c>
      <c r="AD77" s="1">
        <v>11.0</v>
      </c>
      <c r="AE77" s="1">
        <v>45.0</v>
      </c>
      <c r="AF77" s="5">
        <v>0.0</v>
      </c>
      <c r="AG77" s="1">
        <v>0.0</v>
      </c>
      <c r="AH77" s="5">
        <v>8.0</v>
      </c>
      <c r="AI77" s="3">
        <v>147.0</v>
      </c>
      <c r="AJ77" s="5">
        <v>0.0</v>
      </c>
      <c r="AK77" s="5">
        <v>55.0</v>
      </c>
      <c r="AL77" s="5">
        <v>0.0</v>
      </c>
      <c r="AM77" s="5">
        <v>0.0</v>
      </c>
      <c r="AN77" s="5">
        <v>0.0</v>
      </c>
      <c r="AO77" s="5">
        <v>6.0</v>
      </c>
      <c r="AP77" s="5">
        <v>0.0</v>
      </c>
      <c r="AQ77" s="5">
        <v>0.0</v>
      </c>
      <c r="AR77" s="5">
        <v>0.0</v>
      </c>
      <c r="AS77" s="5">
        <v>0.0</v>
      </c>
      <c r="AT77" s="5">
        <v>0.0</v>
      </c>
      <c r="AU77" s="5">
        <v>0.0</v>
      </c>
      <c r="AV77" s="5">
        <v>0.0</v>
      </c>
      <c r="AW77" s="5">
        <v>0.0</v>
      </c>
      <c r="AX77" s="5">
        <v>0.0</v>
      </c>
      <c r="AY77" s="5">
        <v>0.0</v>
      </c>
      <c r="AZ77" s="5">
        <v>0.0</v>
      </c>
      <c r="BA77" s="5">
        <v>0.0</v>
      </c>
      <c r="BB77" s="5">
        <v>0.0</v>
      </c>
      <c r="BC77" s="5">
        <v>0.0</v>
      </c>
      <c r="BD77" s="5">
        <v>0.0</v>
      </c>
      <c r="BE77" s="5">
        <v>0.0</v>
      </c>
      <c r="BF77" s="5">
        <v>0.0</v>
      </c>
      <c r="BG77" s="5">
        <v>0.0</v>
      </c>
      <c r="BH77" s="5">
        <v>0.0</v>
      </c>
      <c r="BI77" s="5">
        <v>0.0</v>
      </c>
      <c r="BJ77" s="5">
        <v>0.0</v>
      </c>
      <c r="BK77" s="5">
        <v>0.0</v>
      </c>
      <c r="BL77" s="5">
        <v>0.0</v>
      </c>
      <c r="BM77" s="7">
        <f t="shared" si="10"/>
        <v>801.7651503</v>
      </c>
      <c r="BN77" s="8"/>
    </row>
    <row r="78">
      <c r="A78" s="1" t="s">
        <v>140</v>
      </c>
      <c r="B78" s="1">
        <v>40.0</v>
      </c>
      <c r="C78" s="2">
        <f>13239/40631*100</f>
        <v>32.58349536</v>
      </c>
      <c r="D78" s="2">
        <f>3392/40631*100</f>
        <v>8.348305481</v>
      </c>
      <c r="E78" s="2">
        <f>22569/40631*100</f>
        <v>55.54625778</v>
      </c>
      <c r="F78" s="1">
        <v>0.0</v>
      </c>
      <c r="G78" s="1">
        <v>0.0</v>
      </c>
      <c r="H78" s="3">
        <v>376.0</v>
      </c>
      <c r="I78" s="1">
        <v>0.0</v>
      </c>
      <c r="J78" s="1">
        <v>139.0</v>
      </c>
      <c r="K78" s="7">
        <f>600/40631*100</f>
        <v>1.476704979</v>
      </c>
      <c r="L78" s="1">
        <v>30.0</v>
      </c>
      <c r="M78" s="5">
        <v>0.0</v>
      </c>
      <c r="N78" s="1">
        <v>48.0</v>
      </c>
      <c r="O78" s="1">
        <v>0.0</v>
      </c>
      <c r="P78" s="1">
        <v>46.0</v>
      </c>
      <c r="Q78" s="1">
        <v>4.0</v>
      </c>
      <c r="R78" s="1">
        <v>4.0</v>
      </c>
      <c r="S78" s="1">
        <v>6.0</v>
      </c>
      <c r="T78" s="1">
        <v>0.0</v>
      </c>
      <c r="U78" s="1">
        <v>10.0</v>
      </c>
      <c r="V78" s="5">
        <v>11.0</v>
      </c>
      <c r="W78" s="1">
        <v>0.0</v>
      </c>
      <c r="X78" s="5">
        <v>17.0</v>
      </c>
      <c r="Y78" s="5">
        <v>0.0</v>
      </c>
      <c r="Z78" s="1">
        <v>0.0</v>
      </c>
      <c r="AA78" s="1">
        <v>3.0</v>
      </c>
      <c r="AB78" s="5">
        <v>7.0</v>
      </c>
      <c r="AC78" s="5">
        <v>0.0</v>
      </c>
      <c r="AD78" s="1">
        <v>11.0</v>
      </c>
      <c r="AE78" s="1">
        <v>14.0</v>
      </c>
      <c r="AF78" s="5">
        <v>0.0</v>
      </c>
      <c r="AG78" s="1">
        <v>3.0</v>
      </c>
      <c r="AH78" s="5">
        <v>0.0</v>
      </c>
      <c r="AI78" s="3">
        <v>58.0</v>
      </c>
      <c r="AJ78" s="5">
        <v>0.0</v>
      </c>
      <c r="AK78" s="5">
        <v>2.0</v>
      </c>
      <c r="AL78" s="5">
        <v>0.0</v>
      </c>
      <c r="AM78" s="5">
        <v>0.0</v>
      </c>
      <c r="AN78" s="5">
        <v>0.0</v>
      </c>
      <c r="AO78" s="5">
        <v>2.0</v>
      </c>
      <c r="AP78" s="5">
        <v>0.0</v>
      </c>
      <c r="AQ78" s="5">
        <v>0.0</v>
      </c>
      <c r="AR78" s="5">
        <v>0.0</v>
      </c>
      <c r="AS78" s="5">
        <v>0.0</v>
      </c>
      <c r="AT78" s="5">
        <v>0.0</v>
      </c>
      <c r="AU78" s="5">
        <v>0.0</v>
      </c>
      <c r="AV78" s="5">
        <v>0.0</v>
      </c>
      <c r="AW78" s="5">
        <v>0.0</v>
      </c>
      <c r="AX78" s="5">
        <v>0.0</v>
      </c>
      <c r="AY78" s="5">
        <v>0.0</v>
      </c>
      <c r="AZ78" s="5">
        <v>0.0</v>
      </c>
      <c r="BA78" s="5">
        <v>0.0</v>
      </c>
      <c r="BB78" s="5">
        <v>0.0</v>
      </c>
      <c r="BC78" s="5">
        <v>0.0</v>
      </c>
      <c r="BD78" s="5">
        <v>0.0</v>
      </c>
      <c r="BE78" s="5">
        <v>0.0</v>
      </c>
      <c r="BF78" s="5">
        <v>0.0</v>
      </c>
      <c r="BG78" s="5">
        <v>0.0</v>
      </c>
      <c r="BH78" s="5">
        <v>0.0</v>
      </c>
      <c r="BI78" s="5">
        <v>0.0</v>
      </c>
      <c r="BJ78" s="5">
        <v>0.0</v>
      </c>
      <c r="BK78" s="5">
        <v>0.0</v>
      </c>
      <c r="BL78" s="5">
        <v>0.0</v>
      </c>
      <c r="BM78" s="7">
        <f t="shared" si="10"/>
        <v>928.9547636</v>
      </c>
      <c r="BN78" s="8"/>
    </row>
    <row r="79">
      <c r="A79" s="1" t="s">
        <v>141</v>
      </c>
      <c r="B79" s="1">
        <v>33.0</v>
      </c>
      <c r="C79" s="2">
        <f>4247/59906*100</f>
        <v>7.089440123</v>
      </c>
      <c r="D79" s="2">
        <f>7777/59906*100</f>
        <v>12.98200514</v>
      </c>
      <c r="E79" s="2">
        <f>26764/59906*100</f>
        <v>44.6766601</v>
      </c>
      <c r="F79" s="1">
        <v>0.0</v>
      </c>
      <c r="G79" s="1">
        <v>8.0</v>
      </c>
      <c r="H79" s="3">
        <f>998/59906*100</f>
        <v>1.665943311</v>
      </c>
      <c r="I79" s="1">
        <v>6.0</v>
      </c>
      <c r="J79" s="1">
        <f>7802/59906*100</f>
        <v>13.02373719</v>
      </c>
      <c r="K79" s="1">
        <f>7194/59906*100</f>
        <v>12.00881381</v>
      </c>
      <c r="L79" s="1">
        <v>172.0</v>
      </c>
      <c r="M79" s="5">
        <v>0.0</v>
      </c>
      <c r="N79" s="7">
        <f>803/59906*100</f>
        <v>1.340433346</v>
      </c>
      <c r="O79" s="1">
        <v>125.0</v>
      </c>
      <c r="P79" s="1">
        <v>313.0</v>
      </c>
      <c r="Q79" s="1">
        <v>308.0</v>
      </c>
      <c r="R79" s="1">
        <v>115.0</v>
      </c>
      <c r="S79" s="1">
        <v>0.0</v>
      </c>
      <c r="T79" s="1">
        <v>20.0</v>
      </c>
      <c r="U79" s="1">
        <v>47.0</v>
      </c>
      <c r="V79" s="5">
        <v>57.0</v>
      </c>
      <c r="W79" s="1">
        <v>68.0</v>
      </c>
      <c r="X79" s="5">
        <v>5.0</v>
      </c>
      <c r="Y79" s="5">
        <v>8.0</v>
      </c>
      <c r="Z79" s="1">
        <v>15.0</v>
      </c>
      <c r="AA79" s="1">
        <v>0.0</v>
      </c>
      <c r="AB79" s="5">
        <v>3.0</v>
      </c>
      <c r="AC79" s="5">
        <v>0.0</v>
      </c>
      <c r="AD79" s="1">
        <v>60.0</v>
      </c>
      <c r="AE79" s="1">
        <v>60.0</v>
      </c>
      <c r="AF79" s="5">
        <v>0.0</v>
      </c>
      <c r="AG79" s="1">
        <v>23.0</v>
      </c>
      <c r="AH79" s="5">
        <v>22.0</v>
      </c>
      <c r="AI79" s="3">
        <f>2609/59906*100</f>
        <v>4.355156412</v>
      </c>
      <c r="AJ79" s="5">
        <v>2.0</v>
      </c>
      <c r="AK79" s="5">
        <v>234.0</v>
      </c>
      <c r="AL79" s="5">
        <v>3.0</v>
      </c>
      <c r="AM79" s="5">
        <v>0.0</v>
      </c>
      <c r="AN79" s="5">
        <v>0.0</v>
      </c>
      <c r="AO79" s="5">
        <v>0.0</v>
      </c>
      <c r="AP79" s="5">
        <v>5.0</v>
      </c>
      <c r="AQ79" s="5">
        <v>0.0</v>
      </c>
      <c r="AR79" s="5">
        <v>0.0</v>
      </c>
      <c r="AS79" s="5">
        <v>0.0</v>
      </c>
      <c r="AT79" s="5">
        <v>0.0</v>
      </c>
      <c r="AU79" s="5">
        <v>0.0</v>
      </c>
      <c r="AV79" s="5">
        <v>0.0</v>
      </c>
      <c r="AW79" s="5">
        <v>0.0</v>
      </c>
      <c r="AX79" s="5">
        <v>0.0</v>
      </c>
      <c r="AY79" s="5">
        <v>0.0</v>
      </c>
      <c r="AZ79" s="5">
        <v>0.0</v>
      </c>
      <c r="BA79" s="5">
        <v>0.0</v>
      </c>
      <c r="BB79" s="5">
        <v>0.0</v>
      </c>
      <c r="BC79" s="5">
        <v>0.0</v>
      </c>
      <c r="BD79" s="5">
        <v>0.0</v>
      </c>
      <c r="BE79" s="5">
        <v>0.0</v>
      </c>
      <c r="BF79" s="5">
        <v>0.0</v>
      </c>
      <c r="BG79" s="5">
        <v>0.0</v>
      </c>
      <c r="BH79" s="5">
        <v>0.0</v>
      </c>
      <c r="BI79" s="5">
        <v>0.0</v>
      </c>
      <c r="BJ79" s="5">
        <v>0.0</v>
      </c>
      <c r="BK79" s="5">
        <v>0.0</v>
      </c>
      <c r="BL79" s="5">
        <v>0.0</v>
      </c>
      <c r="BM79" s="7">
        <f t="shared" si="10"/>
        <v>1809.142189</v>
      </c>
      <c r="BN79" s="8"/>
    </row>
    <row r="80">
      <c r="A80" s="1" t="s">
        <v>142</v>
      </c>
      <c r="B80" s="1">
        <v>90.0</v>
      </c>
      <c r="C80" s="2">
        <f>9941/68177*100</f>
        <v>14.58116374</v>
      </c>
      <c r="D80" s="2">
        <f>14067/68177*100</f>
        <v>20.63305807</v>
      </c>
      <c r="E80" s="2">
        <f>31646/68177*100</f>
        <v>46.4174135</v>
      </c>
      <c r="F80" s="1">
        <v>0.0</v>
      </c>
      <c r="G80" s="1">
        <v>2.0</v>
      </c>
      <c r="H80" s="3">
        <f>1069/68177*100</f>
        <v>1.56797747</v>
      </c>
      <c r="I80" s="1">
        <v>0.0</v>
      </c>
      <c r="J80" s="7">
        <f>5044/68177*100</f>
        <v>7.398389486</v>
      </c>
      <c r="K80" s="1">
        <f>2836/68177*100</f>
        <v>4.159760623</v>
      </c>
      <c r="L80" s="1">
        <v>75.0</v>
      </c>
      <c r="M80" s="5">
        <v>2.0</v>
      </c>
      <c r="N80" s="1">
        <v>344.0</v>
      </c>
      <c r="O80" s="1">
        <v>80.0</v>
      </c>
      <c r="P80" s="1">
        <v>411.0</v>
      </c>
      <c r="Q80" s="1">
        <v>236.0</v>
      </c>
      <c r="R80" s="1">
        <v>82.0</v>
      </c>
      <c r="S80" s="1">
        <v>6.0</v>
      </c>
      <c r="T80" s="1">
        <v>19.0</v>
      </c>
      <c r="U80" s="1">
        <v>35.0</v>
      </c>
      <c r="V80" s="5">
        <v>39.0</v>
      </c>
      <c r="W80" s="1">
        <v>40.0</v>
      </c>
      <c r="X80" s="5">
        <v>7.0</v>
      </c>
      <c r="Y80" s="5">
        <v>9.0</v>
      </c>
      <c r="Z80" s="1">
        <v>9.0</v>
      </c>
      <c r="AA80" s="1">
        <v>15.0</v>
      </c>
      <c r="AB80" s="5">
        <v>6.0</v>
      </c>
      <c r="AC80" s="5">
        <v>13.0</v>
      </c>
      <c r="AD80" s="1">
        <v>80.0</v>
      </c>
      <c r="AE80" s="1">
        <v>31.0</v>
      </c>
      <c r="AF80" s="5">
        <v>0.0</v>
      </c>
      <c r="AG80" s="1">
        <v>17.0</v>
      </c>
      <c r="AH80" s="5">
        <v>12.0</v>
      </c>
      <c r="AI80" s="3">
        <f>1743/68177*100</f>
        <v>2.556580665</v>
      </c>
      <c r="AJ80" s="5">
        <v>0.0</v>
      </c>
      <c r="AK80" s="5">
        <v>153.0</v>
      </c>
      <c r="AL80" s="5">
        <v>10.0</v>
      </c>
      <c r="AM80" s="5">
        <v>0.0</v>
      </c>
      <c r="AN80" s="5">
        <v>0.0</v>
      </c>
      <c r="AO80" s="5">
        <v>2.0</v>
      </c>
      <c r="AP80" s="5">
        <v>4.0</v>
      </c>
      <c r="AQ80" s="5">
        <v>0.0</v>
      </c>
      <c r="AR80" s="5">
        <v>0.0</v>
      </c>
      <c r="AS80" s="5">
        <v>0.0</v>
      </c>
      <c r="AT80" s="5">
        <v>0.0</v>
      </c>
      <c r="AU80" s="5">
        <v>0.0</v>
      </c>
      <c r="AV80" s="5">
        <v>0.0</v>
      </c>
      <c r="AW80" s="5">
        <v>0.0</v>
      </c>
      <c r="AX80" s="5">
        <v>0.0</v>
      </c>
      <c r="AY80" s="5">
        <v>2.0</v>
      </c>
      <c r="AZ80" s="5">
        <v>0.0</v>
      </c>
      <c r="BA80" s="5">
        <v>0.0</v>
      </c>
      <c r="BB80" s="5">
        <v>0.0</v>
      </c>
      <c r="BC80" s="5">
        <v>0.0</v>
      </c>
      <c r="BD80" s="5">
        <v>0.0</v>
      </c>
      <c r="BE80" s="5">
        <v>0.0</v>
      </c>
      <c r="BF80" s="5">
        <v>0.0</v>
      </c>
      <c r="BG80" s="5">
        <v>0.0</v>
      </c>
      <c r="BH80" s="5">
        <v>0.0</v>
      </c>
      <c r="BI80" s="5">
        <v>0.0</v>
      </c>
      <c r="BJ80" s="5">
        <v>0.0</v>
      </c>
      <c r="BK80" s="5">
        <v>0.0</v>
      </c>
      <c r="BL80" s="5">
        <v>0.0</v>
      </c>
      <c r="BM80" s="7">
        <f t="shared" si="10"/>
        <v>1928.314344</v>
      </c>
      <c r="BN80" s="8"/>
    </row>
    <row r="81">
      <c r="A81" s="1" t="s">
        <v>143</v>
      </c>
      <c r="B81" s="1">
        <v>64.0</v>
      </c>
      <c r="C81" s="2">
        <f>4102/33164*100</f>
        <v>12.36883368</v>
      </c>
      <c r="D81" s="2">
        <f>7626/33164*100</f>
        <v>22.99481365</v>
      </c>
      <c r="E81" s="2">
        <f>17072/33164*100</f>
        <v>51.47750573</v>
      </c>
      <c r="F81" s="1">
        <v>0.0</v>
      </c>
      <c r="G81" s="1">
        <v>2.0</v>
      </c>
      <c r="H81" s="3">
        <v>296.0</v>
      </c>
      <c r="I81" s="1">
        <v>0.0</v>
      </c>
      <c r="J81" s="1">
        <f>1743/33164*100</f>
        <v>5.255698951</v>
      </c>
      <c r="K81" s="1">
        <f>448/33164*100</f>
        <v>1.350862381</v>
      </c>
      <c r="L81" s="1">
        <v>12.0</v>
      </c>
      <c r="M81" s="5">
        <v>5.0</v>
      </c>
      <c r="N81" s="1">
        <v>161.0</v>
      </c>
      <c r="O81" s="1">
        <v>2.0</v>
      </c>
      <c r="P81" s="7">
        <f>1313/33164*100</f>
        <v>3.95911229</v>
      </c>
      <c r="Q81" s="1">
        <v>23.0</v>
      </c>
      <c r="R81" s="1">
        <v>18.0</v>
      </c>
      <c r="S81" s="1">
        <v>8.0</v>
      </c>
      <c r="T81" s="1">
        <v>0.0</v>
      </c>
      <c r="U81" s="1">
        <v>90.0</v>
      </c>
      <c r="V81" s="5">
        <v>12.0</v>
      </c>
      <c r="W81" s="1">
        <v>2.0</v>
      </c>
      <c r="X81" s="5">
        <v>0.0</v>
      </c>
      <c r="Y81" s="5">
        <v>0.0</v>
      </c>
      <c r="Z81" s="1">
        <v>56.0</v>
      </c>
      <c r="AA81" s="1">
        <v>5.0</v>
      </c>
      <c r="AB81" s="5">
        <v>2.0</v>
      </c>
      <c r="AC81" s="5">
        <v>3.0</v>
      </c>
      <c r="AD81" s="1">
        <v>2.0</v>
      </c>
      <c r="AE81" s="1">
        <v>44.0</v>
      </c>
      <c r="AF81" s="5">
        <v>0.0</v>
      </c>
      <c r="AG81" s="1">
        <v>19.0</v>
      </c>
      <c r="AH81" s="5">
        <v>0.0</v>
      </c>
      <c r="AI81" s="3">
        <v>29.0</v>
      </c>
      <c r="AJ81" s="5">
        <v>0.0</v>
      </c>
      <c r="AK81" s="5">
        <v>0.0</v>
      </c>
      <c r="AL81" s="5">
        <v>0.0</v>
      </c>
      <c r="AM81" s="5">
        <v>0.0</v>
      </c>
      <c r="AN81" s="5">
        <v>0.0</v>
      </c>
      <c r="AO81" s="5">
        <v>5.0</v>
      </c>
      <c r="AP81" s="5">
        <v>0.0</v>
      </c>
      <c r="AQ81" s="5">
        <v>0.0</v>
      </c>
      <c r="AR81" s="5">
        <v>0.0</v>
      </c>
      <c r="AS81" s="5">
        <v>0.0</v>
      </c>
      <c r="AT81" s="5">
        <v>0.0</v>
      </c>
      <c r="AU81" s="5">
        <v>0.0</v>
      </c>
      <c r="AV81" s="5">
        <v>0.0</v>
      </c>
      <c r="AW81" s="5">
        <v>0.0</v>
      </c>
      <c r="AX81" s="5">
        <v>0.0</v>
      </c>
      <c r="AY81" s="5">
        <v>0.0</v>
      </c>
      <c r="AZ81" s="5">
        <v>0.0</v>
      </c>
      <c r="BA81" s="5">
        <v>0.0</v>
      </c>
      <c r="BB81" s="5">
        <v>0.0</v>
      </c>
      <c r="BC81" s="5">
        <v>0.0</v>
      </c>
      <c r="BD81" s="5">
        <v>0.0</v>
      </c>
      <c r="BE81" s="5">
        <v>0.0</v>
      </c>
      <c r="BF81" s="5">
        <v>0.0</v>
      </c>
      <c r="BG81" s="5">
        <v>0.0</v>
      </c>
      <c r="BH81" s="5">
        <v>0.0</v>
      </c>
      <c r="BI81" s="5">
        <v>0.0</v>
      </c>
      <c r="BJ81" s="5">
        <v>0.0</v>
      </c>
      <c r="BK81" s="5">
        <v>0.0</v>
      </c>
      <c r="BL81" s="5">
        <v>0.0</v>
      </c>
      <c r="BM81" s="7">
        <f t="shared" si="10"/>
        <v>957.4068267</v>
      </c>
      <c r="BN81" s="8"/>
    </row>
    <row r="82">
      <c r="A82" s="1" t="s">
        <v>144</v>
      </c>
      <c r="B82" s="1">
        <v>89.0</v>
      </c>
      <c r="C82" s="2">
        <f>11284/44373*100</f>
        <v>25.42987853</v>
      </c>
      <c r="D82" s="2">
        <f>4665/44373*100</f>
        <v>10.51314989</v>
      </c>
      <c r="E82" s="2">
        <f>21952/44373*100</f>
        <v>49.47152548</v>
      </c>
      <c r="F82" s="1">
        <v>0.0</v>
      </c>
      <c r="G82" s="1">
        <v>0.0</v>
      </c>
      <c r="H82" s="3">
        <f>665/44373*100</f>
        <v>1.498659094</v>
      </c>
      <c r="I82" s="1">
        <v>0.0</v>
      </c>
      <c r="J82" s="7">
        <f>1213/44373*100</f>
        <v>2.733644333</v>
      </c>
      <c r="K82" s="1">
        <v>70.0</v>
      </c>
      <c r="L82" s="1">
        <v>15.0</v>
      </c>
      <c r="M82" s="5">
        <v>8.0</v>
      </c>
      <c r="N82" s="1">
        <v>92.0</v>
      </c>
      <c r="O82" s="1">
        <v>4.0</v>
      </c>
      <c r="P82" s="1">
        <f>3956/44373*100</f>
        <v>8.915331395</v>
      </c>
      <c r="Q82" s="1">
        <v>107.0</v>
      </c>
      <c r="R82" s="1">
        <v>27.0</v>
      </c>
      <c r="S82" s="1">
        <v>66.0</v>
      </c>
      <c r="T82" s="1">
        <v>2.0</v>
      </c>
      <c r="U82" s="1">
        <v>11.0</v>
      </c>
      <c r="V82" s="5">
        <v>15.0</v>
      </c>
      <c r="W82" s="1">
        <v>10.0</v>
      </c>
      <c r="X82" s="5">
        <v>2.0</v>
      </c>
      <c r="Y82" s="5">
        <v>0.0</v>
      </c>
      <c r="Z82" s="1">
        <v>14.0</v>
      </c>
      <c r="AA82" s="1">
        <v>9.0</v>
      </c>
      <c r="AB82" s="5">
        <v>6.0</v>
      </c>
      <c r="AC82" s="5">
        <v>0.0</v>
      </c>
      <c r="AD82" s="1">
        <v>4.0</v>
      </c>
      <c r="AE82" s="1">
        <v>45.0</v>
      </c>
      <c r="AF82" s="5">
        <v>0.0</v>
      </c>
      <c r="AG82" s="1">
        <v>9.0</v>
      </c>
      <c r="AH82" s="5">
        <v>0.0</v>
      </c>
      <c r="AI82" s="3">
        <v>27.0</v>
      </c>
      <c r="AJ82" s="5">
        <v>0.0</v>
      </c>
      <c r="AK82" s="5">
        <v>0.0</v>
      </c>
      <c r="AL82" s="5">
        <v>0.0</v>
      </c>
      <c r="AM82" s="5">
        <v>0.0</v>
      </c>
      <c r="AN82" s="5">
        <v>0.0</v>
      </c>
      <c r="AO82" s="5">
        <v>6.0</v>
      </c>
      <c r="AP82" s="5">
        <v>0.0</v>
      </c>
      <c r="AQ82" s="5">
        <v>0.0</v>
      </c>
      <c r="AR82" s="5">
        <v>0.0</v>
      </c>
      <c r="AS82" s="5">
        <v>0.0</v>
      </c>
      <c r="AT82" s="5">
        <v>0.0</v>
      </c>
      <c r="AU82" s="5">
        <v>0.0</v>
      </c>
      <c r="AV82" s="5">
        <v>0.0</v>
      </c>
      <c r="AW82" s="5">
        <v>0.0</v>
      </c>
      <c r="AX82" s="5">
        <v>0.0</v>
      </c>
      <c r="AY82" s="5">
        <v>0.0</v>
      </c>
      <c r="AZ82" s="5">
        <v>0.0</v>
      </c>
      <c r="BA82" s="5">
        <v>0.0</v>
      </c>
      <c r="BB82" s="5">
        <v>0.0</v>
      </c>
      <c r="BC82" s="5">
        <v>0.0</v>
      </c>
      <c r="BD82" s="5">
        <v>0.0</v>
      </c>
      <c r="BE82" s="5">
        <v>0.0</v>
      </c>
      <c r="BF82" s="5">
        <v>0.0</v>
      </c>
      <c r="BG82" s="5">
        <v>0.0</v>
      </c>
      <c r="BH82" s="5">
        <v>0.0</v>
      </c>
      <c r="BI82" s="5">
        <v>0.0</v>
      </c>
      <c r="BJ82" s="5">
        <v>0.0</v>
      </c>
      <c r="BK82" s="5">
        <v>0.0</v>
      </c>
      <c r="BL82" s="5">
        <v>0.0</v>
      </c>
      <c r="BM82" s="7">
        <f t="shared" si="10"/>
        <v>736.5621887</v>
      </c>
      <c r="BN82" s="8"/>
    </row>
    <row r="83">
      <c r="A83" s="1" t="s">
        <v>145</v>
      </c>
      <c r="B83" s="1">
        <f>1301/63339*100</f>
        <v>2.054026745</v>
      </c>
      <c r="C83" s="2">
        <f>15458/63339*100</f>
        <v>24.4051848</v>
      </c>
      <c r="D83" s="2">
        <f>9789/63339*100</f>
        <v>15.45493298</v>
      </c>
      <c r="E83" s="2">
        <f>31686/63339*100</f>
        <v>50.0260503</v>
      </c>
      <c r="F83" s="1">
        <v>6.0</v>
      </c>
      <c r="G83" s="1">
        <v>101.0</v>
      </c>
      <c r="H83" s="3">
        <f>2213/63339*100</f>
        <v>3.493897914</v>
      </c>
      <c r="I83" s="1">
        <v>0.0</v>
      </c>
      <c r="J83" s="1">
        <f>609/63339*100</f>
        <v>0.9614929191</v>
      </c>
      <c r="K83" s="7">
        <f>1234/63339*100</f>
        <v>1.948246736</v>
      </c>
      <c r="L83" s="1">
        <v>51.0</v>
      </c>
      <c r="M83" s="5">
        <v>0.0</v>
      </c>
      <c r="N83" s="1">
        <v>162.0</v>
      </c>
      <c r="O83" s="1">
        <v>4.0</v>
      </c>
      <c r="P83" s="1">
        <v>12.0</v>
      </c>
      <c r="Q83" s="1">
        <v>17.0</v>
      </c>
      <c r="R83" s="1">
        <v>72.0</v>
      </c>
      <c r="S83" s="1">
        <v>188.0</v>
      </c>
      <c r="T83" s="1">
        <v>36.0</v>
      </c>
      <c r="U83" s="1">
        <v>13.0</v>
      </c>
      <c r="V83" s="5">
        <v>28.0</v>
      </c>
      <c r="W83" s="1">
        <v>33.0</v>
      </c>
      <c r="X83" s="5">
        <v>69.0</v>
      </c>
      <c r="Y83" s="5">
        <v>0.0</v>
      </c>
      <c r="Z83" s="1">
        <v>165.0</v>
      </c>
      <c r="AA83" s="1">
        <v>0.0</v>
      </c>
      <c r="AB83" s="5">
        <v>7.0</v>
      </c>
      <c r="AC83" s="5">
        <v>3.0</v>
      </c>
      <c r="AD83" s="1">
        <v>0.0</v>
      </c>
      <c r="AE83" s="1">
        <v>0.0</v>
      </c>
      <c r="AF83" s="5">
        <v>0.0</v>
      </c>
      <c r="AG83" s="1">
        <v>62.0</v>
      </c>
      <c r="AH83" s="5">
        <v>0.0</v>
      </c>
      <c r="AI83" s="3">
        <v>8.0</v>
      </c>
      <c r="AJ83" s="5">
        <v>0.0</v>
      </c>
      <c r="AK83" s="5">
        <v>8.0</v>
      </c>
      <c r="AL83" s="5">
        <v>4.0</v>
      </c>
      <c r="AM83" s="5">
        <v>0.0</v>
      </c>
      <c r="AN83" s="5">
        <v>0.0</v>
      </c>
      <c r="AO83" s="5">
        <v>0.0</v>
      </c>
      <c r="AP83" s="5">
        <v>0.0</v>
      </c>
      <c r="AQ83" s="5">
        <v>0.0</v>
      </c>
      <c r="AR83" s="5">
        <v>0.0</v>
      </c>
      <c r="AS83" s="5">
        <v>0.0</v>
      </c>
      <c r="AT83" s="5">
        <v>0.0</v>
      </c>
      <c r="AU83" s="5">
        <v>0.0</v>
      </c>
      <c r="AV83" s="5">
        <v>0.0</v>
      </c>
      <c r="AW83" s="5">
        <v>0.0</v>
      </c>
      <c r="AX83" s="5">
        <v>0.0</v>
      </c>
      <c r="AY83" s="5">
        <v>0.0</v>
      </c>
      <c r="AZ83" s="5">
        <v>0.0</v>
      </c>
      <c r="BA83" s="5">
        <v>0.0</v>
      </c>
      <c r="BB83" s="5">
        <v>0.0</v>
      </c>
      <c r="BC83" s="5">
        <v>0.0</v>
      </c>
      <c r="BD83" s="5">
        <v>0.0</v>
      </c>
      <c r="BE83" s="5">
        <v>0.0</v>
      </c>
      <c r="BF83" s="5">
        <v>0.0</v>
      </c>
      <c r="BG83" s="5">
        <v>0.0</v>
      </c>
      <c r="BH83" s="5">
        <v>0.0</v>
      </c>
      <c r="BI83" s="5">
        <v>0.0</v>
      </c>
      <c r="BJ83" s="5">
        <v>0.0</v>
      </c>
      <c r="BK83" s="5">
        <v>0.0</v>
      </c>
      <c r="BL83" s="5">
        <v>0.0</v>
      </c>
      <c r="BM83" s="7">
        <f t="shared" si="10"/>
        <v>1147.343832</v>
      </c>
      <c r="BN83" s="8"/>
    </row>
    <row r="84">
      <c r="A84" s="1" t="s">
        <v>146</v>
      </c>
      <c r="B84" s="1">
        <f>1111/71451*100</f>
        <v>1.554911758</v>
      </c>
      <c r="C84" s="2">
        <f>17814/71451*100</f>
        <v>24.93177142</v>
      </c>
      <c r="D84" s="2">
        <f>9727/71451*100</f>
        <v>13.61352535</v>
      </c>
      <c r="E84" s="2">
        <f>40610/71451*100</f>
        <v>56.83615345</v>
      </c>
      <c r="F84" s="1">
        <v>79.0</v>
      </c>
      <c r="G84" s="1">
        <v>21.0</v>
      </c>
      <c r="H84" s="3">
        <f>674/71451*100</f>
        <v>0.9433038026</v>
      </c>
      <c r="I84" s="1">
        <v>0.0</v>
      </c>
      <c r="J84" s="1">
        <v>589.0</v>
      </c>
      <c r="K84" s="1">
        <v>214.0</v>
      </c>
      <c r="L84" s="1">
        <v>92.0</v>
      </c>
      <c r="M84" s="5">
        <v>0.0</v>
      </c>
      <c r="N84" s="1">
        <v>83.0</v>
      </c>
      <c r="O84" s="1">
        <v>6.0</v>
      </c>
      <c r="P84" s="1">
        <v>13.0</v>
      </c>
      <c r="Q84" s="1">
        <v>5.0</v>
      </c>
      <c r="R84" s="1">
        <v>58.0</v>
      </c>
      <c r="S84" s="1">
        <v>218.0</v>
      </c>
      <c r="T84" s="1">
        <v>19.0</v>
      </c>
      <c r="U84" s="1">
        <v>6.0</v>
      </c>
      <c r="V84" s="5">
        <v>7.0</v>
      </c>
      <c r="W84" s="1">
        <v>7.0</v>
      </c>
      <c r="X84" s="5">
        <v>16.0</v>
      </c>
      <c r="Y84" s="5">
        <v>0.0</v>
      </c>
      <c r="Z84" s="1">
        <v>44.0</v>
      </c>
      <c r="AA84" s="1">
        <v>0.0</v>
      </c>
      <c r="AB84" s="5">
        <v>4.0</v>
      </c>
      <c r="AC84" s="5">
        <v>0.0</v>
      </c>
      <c r="AD84" s="1">
        <v>11.0</v>
      </c>
      <c r="AE84" s="1">
        <v>0.0</v>
      </c>
      <c r="AF84" s="5">
        <v>0.0</v>
      </c>
      <c r="AG84" s="1">
        <v>20.0</v>
      </c>
      <c r="AH84" s="5">
        <v>0.0</v>
      </c>
      <c r="AI84" s="3">
        <v>0.0</v>
      </c>
      <c r="AJ84" s="5">
        <v>0.0</v>
      </c>
      <c r="AK84" s="5">
        <v>3.0</v>
      </c>
      <c r="AL84" s="5">
        <v>0.0</v>
      </c>
      <c r="AM84" s="5">
        <v>0.0</v>
      </c>
      <c r="AN84" s="5">
        <v>0.0</v>
      </c>
      <c r="AO84" s="5">
        <v>0.0</v>
      </c>
      <c r="AP84" s="5">
        <v>0.0</v>
      </c>
      <c r="AQ84" s="5">
        <v>0.0</v>
      </c>
      <c r="AR84" s="5">
        <v>0.0</v>
      </c>
      <c r="AS84" s="5">
        <v>0.0</v>
      </c>
      <c r="AT84" s="5">
        <v>0.0</v>
      </c>
      <c r="AU84" s="5">
        <v>0.0</v>
      </c>
      <c r="AV84" s="5">
        <v>0.0</v>
      </c>
      <c r="AW84" s="5">
        <v>0.0</v>
      </c>
      <c r="AX84" s="5">
        <v>0.0</v>
      </c>
      <c r="AY84" s="5">
        <v>0.0</v>
      </c>
      <c r="AZ84" s="5">
        <v>0.0</v>
      </c>
      <c r="BA84" s="5">
        <v>0.0</v>
      </c>
      <c r="BB84" s="5">
        <v>0.0</v>
      </c>
      <c r="BC84" s="5">
        <v>0.0</v>
      </c>
      <c r="BD84" s="5">
        <v>0.0</v>
      </c>
      <c r="BE84" s="5">
        <v>0.0</v>
      </c>
      <c r="BF84" s="5">
        <v>0.0</v>
      </c>
      <c r="BG84" s="5">
        <v>0.0</v>
      </c>
      <c r="BH84" s="5">
        <v>0.0</v>
      </c>
      <c r="BI84" s="5">
        <v>0.0</v>
      </c>
      <c r="BJ84" s="5">
        <v>0.0</v>
      </c>
      <c r="BK84" s="5">
        <v>0.0</v>
      </c>
      <c r="BL84" s="5">
        <v>0.0</v>
      </c>
      <c r="BM84" s="7">
        <f t="shared" si="10"/>
        <v>1612.879666</v>
      </c>
      <c r="BN84" s="8"/>
    </row>
    <row r="85">
      <c r="A85" s="1" t="s">
        <v>147</v>
      </c>
      <c r="B85" s="1">
        <f>1094/67564*100</f>
        <v>1.619205494</v>
      </c>
      <c r="C85" s="2">
        <f>7983/67564*100</f>
        <v>11.81546386</v>
      </c>
      <c r="D85" s="2">
        <f>14180/67564*100</f>
        <v>20.98750814</v>
      </c>
      <c r="E85" s="2">
        <f>40859/67564*100</f>
        <v>60.47451305</v>
      </c>
      <c r="F85" s="1">
        <v>44.0</v>
      </c>
      <c r="G85" s="1">
        <v>14.0</v>
      </c>
      <c r="H85" s="3">
        <f>468/67564*100</f>
        <v>0.6926765733</v>
      </c>
      <c r="I85" s="1">
        <v>0.0</v>
      </c>
      <c r="J85" s="1">
        <v>127.0</v>
      </c>
      <c r="K85" s="7">
        <f>770/67564*100</f>
        <v>1.139660174</v>
      </c>
      <c r="L85" s="1">
        <v>24.0</v>
      </c>
      <c r="M85" s="5">
        <v>48.0</v>
      </c>
      <c r="N85" s="1">
        <v>65.0</v>
      </c>
      <c r="O85" s="1">
        <v>45.0</v>
      </c>
      <c r="P85" s="1">
        <v>443.0</v>
      </c>
      <c r="Q85" s="1">
        <v>73.0</v>
      </c>
      <c r="R85" s="1">
        <v>58.0</v>
      </c>
      <c r="S85" s="1">
        <v>496.0</v>
      </c>
      <c r="T85" s="1">
        <v>20.0</v>
      </c>
      <c r="U85" s="1">
        <v>133.0</v>
      </c>
      <c r="V85" s="5">
        <v>49.0</v>
      </c>
      <c r="W85" s="1">
        <v>67.0</v>
      </c>
      <c r="X85" s="5">
        <v>49.0</v>
      </c>
      <c r="Y85" s="5">
        <v>51.0</v>
      </c>
      <c r="Z85" s="1">
        <v>165.0</v>
      </c>
      <c r="AA85" s="1">
        <v>13.0</v>
      </c>
      <c r="AB85" s="5">
        <v>28.0</v>
      </c>
      <c r="AC85" s="5">
        <v>63.0</v>
      </c>
      <c r="AD85" s="1">
        <v>0.0</v>
      </c>
      <c r="AE85" s="1">
        <v>36.0</v>
      </c>
      <c r="AF85" s="5">
        <v>15.0</v>
      </c>
      <c r="AG85" s="1">
        <v>37.0</v>
      </c>
      <c r="AH85" s="5">
        <v>0.0</v>
      </c>
      <c r="AI85" s="3">
        <v>5.0</v>
      </c>
      <c r="AJ85" s="5">
        <v>0.0</v>
      </c>
      <c r="AK85" s="5">
        <v>0.0</v>
      </c>
      <c r="AL85" s="5">
        <v>0.0</v>
      </c>
      <c r="AM85" s="5">
        <v>0.0</v>
      </c>
      <c r="AN85" s="5">
        <v>0.0</v>
      </c>
      <c r="AO85" s="5">
        <v>2.0</v>
      </c>
      <c r="AP85" s="5">
        <v>0.0</v>
      </c>
      <c r="AQ85" s="5">
        <v>0.0</v>
      </c>
      <c r="AR85" s="5">
        <v>0.0</v>
      </c>
      <c r="AS85" s="5">
        <v>0.0</v>
      </c>
      <c r="AT85" s="5">
        <v>0.0</v>
      </c>
      <c r="AU85" s="5">
        <v>0.0</v>
      </c>
      <c r="AV85" s="5">
        <v>17.0</v>
      </c>
      <c r="AW85" s="5">
        <v>3.0</v>
      </c>
      <c r="AX85" s="5">
        <v>3.0</v>
      </c>
      <c r="AY85" s="5">
        <v>0.0</v>
      </c>
      <c r="AZ85" s="5">
        <v>0.0</v>
      </c>
      <c r="BA85" s="5">
        <v>0.0</v>
      </c>
      <c r="BB85" s="5">
        <v>2.0</v>
      </c>
      <c r="BC85" s="5">
        <v>0.0</v>
      </c>
      <c r="BD85" s="5">
        <v>0.0</v>
      </c>
      <c r="BE85" s="5">
        <v>7.0</v>
      </c>
      <c r="BF85" s="5">
        <v>0.0</v>
      </c>
      <c r="BG85" s="5">
        <v>8.0</v>
      </c>
      <c r="BH85" s="5">
        <v>0.0</v>
      </c>
      <c r="BI85" s="5">
        <v>0.0</v>
      </c>
      <c r="BJ85" s="5">
        <v>0.0</v>
      </c>
      <c r="BK85" s="5">
        <v>0.0</v>
      </c>
      <c r="BL85" s="5">
        <v>0.0</v>
      </c>
      <c r="BM85" s="7">
        <f t="shared" si="10"/>
        <v>2306.729027</v>
      </c>
      <c r="BN85" s="8"/>
    </row>
    <row r="86">
      <c r="A86" s="1" t="s">
        <v>148</v>
      </c>
      <c r="B86" s="1">
        <f>688/52561*100</f>
        <v>1.308955309</v>
      </c>
      <c r="C86" s="2">
        <f>6886/52561*100</f>
        <v>13.1009684</v>
      </c>
      <c r="D86" s="2">
        <f>9463/52561*100</f>
        <v>18.00384315</v>
      </c>
      <c r="E86" s="2">
        <f>33210/52561*100</f>
        <v>63.18372938</v>
      </c>
      <c r="F86" s="1">
        <v>30.0</v>
      </c>
      <c r="G86" s="1">
        <v>23.0</v>
      </c>
      <c r="H86" s="3">
        <v>274.0</v>
      </c>
      <c r="I86" s="1">
        <v>2.0</v>
      </c>
      <c r="J86" s="1">
        <v>86.0</v>
      </c>
      <c r="K86" s="1">
        <v>364.0</v>
      </c>
      <c r="L86" s="1">
        <v>23.0</v>
      </c>
      <c r="M86" s="5">
        <v>22.0</v>
      </c>
      <c r="N86" s="1">
        <v>72.0</v>
      </c>
      <c r="O86" s="1">
        <v>52.0</v>
      </c>
      <c r="P86" s="1">
        <v>378.0</v>
      </c>
      <c r="Q86" s="1">
        <v>75.0</v>
      </c>
      <c r="R86" s="1">
        <v>38.0</v>
      </c>
      <c r="S86" s="1">
        <v>377.0</v>
      </c>
      <c r="T86" s="1">
        <v>15.0</v>
      </c>
      <c r="U86" s="1">
        <v>68.0</v>
      </c>
      <c r="V86" s="5">
        <v>39.0</v>
      </c>
      <c r="W86" s="1">
        <v>64.0</v>
      </c>
      <c r="X86" s="5">
        <v>20.0</v>
      </c>
      <c r="Y86" s="5">
        <v>53.0</v>
      </c>
      <c r="Z86" s="1">
        <v>51.0</v>
      </c>
      <c r="AA86" s="1">
        <v>22.0</v>
      </c>
      <c r="AB86" s="5">
        <v>22.0</v>
      </c>
      <c r="AC86" s="5">
        <v>72.0</v>
      </c>
      <c r="AD86" s="1">
        <v>0.0</v>
      </c>
      <c r="AE86" s="1">
        <v>21.0</v>
      </c>
      <c r="AF86" s="5">
        <v>4.0</v>
      </c>
      <c r="AG86" s="1">
        <v>16.0</v>
      </c>
      <c r="AH86" s="5">
        <v>0.0</v>
      </c>
      <c r="AI86" s="3">
        <v>3.0</v>
      </c>
      <c r="AJ86" s="5">
        <v>0.0</v>
      </c>
      <c r="AK86" s="5">
        <v>0.0</v>
      </c>
      <c r="AL86" s="5">
        <v>4.0</v>
      </c>
      <c r="AM86" s="5">
        <v>0.0</v>
      </c>
      <c r="AN86" s="5">
        <v>0.0</v>
      </c>
      <c r="AO86" s="5">
        <v>0.0</v>
      </c>
      <c r="AP86" s="5">
        <v>3.0</v>
      </c>
      <c r="AQ86" s="5">
        <v>0.0</v>
      </c>
      <c r="AR86" s="5">
        <v>0.0</v>
      </c>
      <c r="AS86" s="5">
        <v>0.0</v>
      </c>
      <c r="AT86" s="5">
        <v>0.0</v>
      </c>
      <c r="AU86" s="5">
        <v>0.0</v>
      </c>
      <c r="AV86" s="5">
        <v>11.0</v>
      </c>
      <c r="AW86" s="5">
        <v>3.0</v>
      </c>
      <c r="AX86" s="5">
        <v>0.0</v>
      </c>
      <c r="AY86" s="5">
        <v>0.0</v>
      </c>
      <c r="AZ86" s="5">
        <v>0.0</v>
      </c>
      <c r="BA86" s="5">
        <v>0.0</v>
      </c>
      <c r="BB86" s="5">
        <v>0.0</v>
      </c>
      <c r="BC86" s="5">
        <v>0.0</v>
      </c>
      <c r="BD86" s="5">
        <v>0.0</v>
      </c>
      <c r="BE86" s="5">
        <v>7.0</v>
      </c>
      <c r="BF86" s="5">
        <v>0.0</v>
      </c>
      <c r="BG86" s="5">
        <v>0.0</v>
      </c>
      <c r="BH86" s="5">
        <v>0.0</v>
      </c>
      <c r="BI86" s="5">
        <v>0.0</v>
      </c>
      <c r="BJ86" s="5">
        <v>0.0</v>
      </c>
      <c r="BK86" s="5">
        <v>0.0</v>
      </c>
      <c r="BL86" s="5">
        <v>0.0</v>
      </c>
      <c r="BM86" s="7">
        <f t="shared" si="10"/>
        <v>2409.597496</v>
      </c>
      <c r="BN86" s="8"/>
    </row>
    <row r="87">
      <c r="A87" s="1" t="s">
        <v>149</v>
      </c>
      <c r="B87" s="1">
        <f>329/44286*100</f>
        <v>0.7428984329</v>
      </c>
      <c r="C87" s="2">
        <f>10232/44286*100</f>
        <v>23.10436707</v>
      </c>
      <c r="D87" s="2">
        <f>5990/44286*100</f>
        <v>13.52571919</v>
      </c>
      <c r="E87" s="2">
        <f>21952/44286*100</f>
        <v>49.56871246</v>
      </c>
      <c r="F87" s="1">
        <v>0.0</v>
      </c>
      <c r="G87" s="1">
        <v>14.0</v>
      </c>
      <c r="H87" s="3">
        <f>2315/44286*100</f>
        <v>5.22738563</v>
      </c>
      <c r="I87" s="1">
        <v>0.0</v>
      </c>
      <c r="J87" s="1">
        <f>1076/44286*100</f>
        <v>2.429661744</v>
      </c>
      <c r="K87" s="7">
        <f>974/44286*100</f>
        <v>2.199340649</v>
      </c>
      <c r="L87" s="1">
        <v>26.0</v>
      </c>
      <c r="M87" s="5">
        <v>2.0</v>
      </c>
      <c r="N87" s="1">
        <v>274.0</v>
      </c>
      <c r="O87" s="1">
        <v>12.0</v>
      </c>
      <c r="P87" s="7">
        <f>461/44286*100</f>
        <v>1.040961026</v>
      </c>
      <c r="Q87" s="1">
        <v>33.0</v>
      </c>
      <c r="R87" s="1">
        <v>92.0</v>
      </c>
      <c r="S87" s="1">
        <v>24.0</v>
      </c>
      <c r="T87" s="1">
        <v>11.0</v>
      </c>
      <c r="U87" s="1">
        <v>17.0</v>
      </c>
      <c r="V87" s="5">
        <v>27.0</v>
      </c>
      <c r="W87" s="1">
        <v>48.0</v>
      </c>
      <c r="X87" s="5">
        <v>6.0</v>
      </c>
      <c r="Y87" s="5">
        <v>5.0</v>
      </c>
      <c r="Z87" s="1">
        <v>80.0</v>
      </c>
      <c r="AA87" s="1">
        <v>11.0</v>
      </c>
      <c r="AB87" s="5">
        <v>0.0</v>
      </c>
      <c r="AC87" s="5">
        <v>0.0</v>
      </c>
      <c r="AD87" s="1">
        <v>35.0</v>
      </c>
      <c r="AE87" s="1">
        <v>58.0</v>
      </c>
      <c r="AF87" s="5">
        <v>0.0</v>
      </c>
      <c r="AG87" s="1">
        <v>61.0</v>
      </c>
      <c r="AH87" s="5">
        <v>0.0</v>
      </c>
      <c r="AI87" s="3">
        <v>110.0</v>
      </c>
      <c r="AJ87" s="5">
        <v>0.0</v>
      </c>
      <c r="AK87" s="5">
        <v>2.0</v>
      </c>
      <c r="AL87" s="5">
        <v>0.0</v>
      </c>
      <c r="AM87" s="5">
        <v>0.0</v>
      </c>
      <c r="AN87" s="5">
        <v>0.0</v>
      </c>
      <c r="AO87" s="5">
        <v>9.0</v>
      </c>
      <c r="AP87" s="5">
        <v>0.0</v>
      </c>
      <c r="AQ87" s="5">
        <v>0.0</v>
      </c>
      <c r="AR87" s="5">
        <v>0.0</v>
      </c>
      <c r="AS87" s="5">
        <v>0.0</v>
      </c>
      <c r="AT87" s="5">
        <v>0.0</v>
      </c>
      <c r="AU87" s="5">
        <v>0.0</v>
      </c>
      <c r="AV87" s="5">
        <v>0.0</v>
      </c>
      <c r="AW87" s="5">
        <v>0.0</v>
      </c>
      <c r="AX87" s="5">
        <v>0.0</v>
      </c>
      <c r="AY87" s="5">
        <v>0.0</v>
      </c>
      <c r="AZ87" s="5">
        <v>0.0</v>
      </c>
      <c r="BA87" s="5">
        <v>0.0</v>
      </c>
      <c r="BB87" s="5">
        <v>0.0</v>
      </c>
      <c r="BC87" s="5">
        <v>0.0</v>
      </c>
      <c r="BD87" s="5">
        <v>0.0</v>
      </c>
      <c r="BE87" s="5">
        <v>0.0</v>
      </c>
      <c r="BF87" s="5">
        <v>0.0</v>
      </c>
      <c r="BG87" s="5">
        <v>0.0</v>
      </c>
      <c r="BH87" s="5">
        <v>0.0</v>
      </c>
      <c r="BI87" s="5">
        <v>0.0</v>
      </c>
      <c r="BJ87" s="5">
        <v>0.0</v>
      </c>
      <c r="BK87" s="5">
        <v>0.0</v>
      </c>
      <c r="BL87" s="5">
        <v>0.0</v>
      </c>
      <c r="BM87" s="7">
        <f t="shared" si="10"/>
        <v>1054.839046</v>
      </c>
      <c r="BN87" s="8"/>
    </row>
    <row r="88">
      <c r="C88" s="2"/>
      <c r="D88" s="2"/>
      <c r="E88" s="2"/>
      <c r="H88" s="3"/>
      <c r="M88" s="10"/>
      <c r="V88" s="10"/>
      <c r="X88" s="10"/>
      <c r="Y88" s="10"/>
      <c r="AB88" s="10"/>
      <c r="AC88" s="10"/>
      <c r="AF88" s="10"/>
      <c r="AH88" s="10"/>
      <c r="AI88" s="3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N88" s="8"/>
    </row>
    <row r="89">
      <c r="A89" s="1" t="s">
        <v>150</v>
      </c>
      <c r="B89" s="1">
        <f>2698/68852*100</f>
        <v>3.918549933</v>
      </c>
      <c r="C89" s="2">
        <f>2135/68852*100</f>
        <v>3.100854006</v>
      </c>
      <c r="D89" s="2">
        <f>8866/68852*100</f>
        <v>12.87689537</v>
      </c>
      <c r="E89" s="2">
        <f>43454/68852*100</f>
        <v>63.11218265</v>
      </c>
      <c r="F89" s="1">
        <v>54.0</v>
      </c>
      <c r="G89" s="1">
        <v>91.0</v>
      </c>
      <c r="H89" s="3">
        <f>1466/68852*100</f>
        <v>2.129204671</v>
      </c>
      <c r="I89" s="1">
        <v>0.0</v>
      </c>
      <c r="J89" s="1">
        <v>259.0</v>
      </c>
      <c r="K89" s="1">
        <f>2662/68852*100</f>
        <v>3.86626387</v>
      </c>
      <c r="L89" s="1">
        <v>102.0</v>
      </c>
      <c r="M89" s="5">
        <v>9.0</v>
      </c>
      <c r="N89" s="1">
        <v>384.0</v>
      </c>
      <c r="O89" s="1">
        <v>200.0</v>
      </c>
      <c r="P89" s="1">
        <v>646.0</v>
      </c>
      <c r="Q89" s="1">
        <f>2570/68852*100</f>
        <v>3.732643932</v>
      </c>
      <c r="R89" s="1">
        <v>300.0</v>
      </c>
      <c r="S89" s="7">
        <f>822/68852*100</f>
        <v>1.193865102</v>
      </c>
      <c r="T89" s="1">
        <v>97.0</v>
      </c>
      <c r="U89" s="1">
        <v>10.0</v>
      </c>
      <c r="V89" s="5">
        <v>140.0</v>
      </c>
      <c r="W89" s="1">
        <v>5.0</v>
      </c>
      <c r="X89" s="5">
        <v>51.0</v>
      </c>
      <c r="Y89" s="5">
        <v>16.0</v>
      </c>
      <c r="Z89" s="1">
        <v>124.0</v>
      </c>
      <c r="AA89" s="1">
        <v>37.0</v>
      </c>
      <c r="AB89" s="5">
        <v>47.0</v>
      </c>
      <c r="AC89" s="5">
        <v>80.0</v>
      </c>
      <c r="AD89" s="1">
        <v>11.0</v>
      </c>
      <c r="AE89" s="1">
        <v>42.0</v>
      </c>
      <c r="AF89" s="5">
        <v>3.0</v>
      </c>
      <c r="AG89" s="7">
        <f>1436/68852*100</f>
        <v>2.085632952</v>
      </c>
      <c r="AH89" s="5">
        <v>0.0</v>
      </c>
      <c r="AI89" s="3">
        <v>2.0</v>
      </c>
      <c r="AJ89" s="5">
        <v>0.0</v>
      </c>
      <c r="AK89" s="5">
        <v>0.0</v>
      </c>
      <c r="AL89" s="5">
        <v>0.0</v>
      </c>
      <c r="AM89" s="5">
        <v>2.0</v>
      </c>
      <c r="AN89" s="5">
        <v>0.0</v>
      </c>
      <c r="AO89" s="5">
        <v>14.0</v>
      </c>
      <c r="AP89" s="5">
        <v>0.0</v>
      </c>
      <c r="AQ89" s="5">
        <v>0.0</v>
      </c>
      <c r="AR89" s="5">
        <v>2.0</v>
      </c>
      <c r="AS89" s="5">
        <v>0.0</v>
      </c>
      <c r="AT89" s="5">
        <v>0.0</v>
      </c>
      <c r="AU89" s="5">
        <v>5.0</v>
      </c>
      <c r="AV89" s="5">
        <v>2.0</v>
      </c>
      <c r="AW89" s="5">
        <v>0.0</v>
      </c>
      <c r="AX89" s="5">
        <v>0.0</v>
      </c>
      <c r="AY89" s="5">
        <v>2.0</v>
      </c>
      <c r="AZ89" s="5">
        <v>0.0</v>
      </c>
      <c r="BA89" s="5">
        <v>0.0</v>
      </c>
      <c r="BB89" s="5">
        <v>0.0</v>
      </c>
      <c r="BC89" s="5">
        <v>0.0</v>
      </c>
      <c r="BD89" s="5">
        <v>0.0</v>
      </c>
      <c r="BE89" s="5">
        <v>0.0</v>
      </c>
      <c r="BF89" s="5">
        <v>4.0</v>
      </c>
      <c r="BG89" s="5">
        <v>0.0</v>
      </c>
      <c r="BH89" s="5">
        <v>0.0</v>
      </c>
      <c r="BI89" s="5">
        <v>0.0</v>
      </c>
      <c r="BJ89" s="5">
        <v>0.0</v>
      </c>
      <c r="BK89" s="5">
        <v>0.0</v>
      </c>
      <c r="BL89" s="5">
        <v>2.0</v>
      </c>
      <c r="BM89" s="7">
        <f t="shared" ref="BM89:BM128" si="11">SUM(B89:BL89)</f>
        <v>2839.016092</v>
      </c>
      <c r="BN89" s="8"/>
    </row>
    <row r="90">
      <c r="A90" s="1" t="s">
        <v>151</v>
      </c>
      <c r="B90" s="1">
        <f>1175/57867*100</f>
        <v>2.030518257</v>
      </c>
      <c r="C90" s="13">
        <f>2004/57867*100</f>
        <v>3.463113692</v>
      </c>
      <c r="D90" s="2">
        <f>10204/57867*100</f>
        <v>17.63353898</v>
      </c>
      <c r="E90" s="2">
        <f>33856/57867*100</f>
        <v>58.50657542</v>
      </c>
      <c r="F90" s="1">
        <v>3.0</v>
      </c>
      <c r="G90" s="1">
        <v>110.0</v>
      </c>
      <c r="H90" s="3">
        <f>942/57867*100</f>
        <v>1.627870807</v>
      </c>
      <c r="I90" s="1">
        <v>3.0</v>
      </c>
      <c r="J90" s="1">
        <v>223.0</v>
      </c>
      <c r="K90" s="7">
        <f>3959/57867*100</f>
        <v>6.841550452</v>
      </c>
      <c r="L90" s="1">
        <v>89.0</v>
      </c>
      <c r="M90" s="5">
        <v>7.0</v>
      </c>
      <c r="N90" s="1">
        <v>381.0</v>
      </c>
      <c r="O90" s="1">
        <v>173.0</v>
      </c>
      <c r="P90" s="1">
        <v>442.0</v>
      </c>
      <c r="Q90" s="7">
        <f>1956/57867*100</f>
        <v>3.380164861</v>
      </c>
      <c r="R90" s="1">
        <v>109.0</v>
      </c>
      <c r="S90" s="1">
        <v>167.0</v>
      </c>
      <c r="T90" s="1">
        <v>84.0</v>
      </c>
      <c r="U90" s="1">
        <v>0.0</v>
      </c>
      <c r="V90" s="5">
        <v>127.0</v>
      </c>
      <c r="W90" s="1">
        <v>3.0</v>
      </c>
      <c r="X90" s="5">
        <v>68.0</v>
      </c>
      <c r="Y90" s="5">
        <v>21.0</v>
      </c>
      <c r="Z90" s="1">
        <v>132.0</v>
      </c>
      <c r="AA90" s="1">
        <v>12.0</v>
      </c>
      <c r="AB90" s="5">
        <v>27.0</v>
      </c>
      <c r="AC90" s="5">
        <v>69.0</v>
      </c>
      <c r="AD90" s="1">
        <v>3.0</v>
      </c>
      <c r="AE90" s="1">
        <v>47.0</v>
      </c>
      <c r="AF90" s="5">
        <v>0.0</v>
      </c>
      <c r="AG90" s="7">
        <f>1432/57867*100</f>
        <v>2.474640123</v>
      </c>
      <c r="AH90" s="5">
        <v>0.0</v>
      </c>
      <c r="AI90" s="3">
        <v>2.0</v>
      </c>
      <c r="AJ90" s="5">
        <v>0.0</v>
      </c>
      <c r="AK90" s="5">
        <v>0.0</v>
      </c>
      <c r="AL90" s="5">
        <v>0.0</v>
      </c>
      <c r="AM90" s="5">
        <v>2.0</v>
      </c>
      <c r="AN90" s="5">
        <v>0.0</v>
      </c>
      <c r="AO90" s="5">
        <v>10.0</v>
      </c>
      <c r="AP90" s="5">
        <v>0.0</v>
      </c>
      <c r="AQ90" s="5">
        <v>0.0</v>
      </c>
      <c r="AR90" s="5">
        <v>0.0</v>
      </c>
      <c r="AS90" s="5">
        <v>0.0</v>
      </c>
      <c r="AT90" s="5">
        <v>0.0</v>
      </c>
      <c r="AU90" s="5">
        <v>9.0</v>
      </c>
      <c r="AV90" s="5">
        <v>0.0</v>
      </c>
      <c r="AW90" s="5">
        <v>0.0</v>
      </c>
      <c r="AX90" s="5">
        <v>0.0</v>
      </c>
      <c r="AY90" s="5">
        <v>0.0</v>
      </c>
      <c r="AZ90" s="5">
        <v>0.0</v>
      </c>
      <c r="BA90" s="5">
        <v>3.0</v>
      </c>
      <c r="BB90" s="5">
        <v>0.0</v>
      </c>
      <c r="BC90" s="5">
        <v>0.0</v>
      </c>
      <c r="BD90" s="5">
        <v>0.0</v>
      </c>
      <c r="BE90" s="5">
        <v>3.0</v>
      </c>
      <c r="BF90" s="5">
        <v>8.0</v>
      </c>
      <c r="BG90" s="5">
        <v>2.0</v>
      </c>
      <c r="BH90" s="5">
        <v>0.0</v>
      </c>
      <c r="BI90" s="5">
        <v>0.0</v>
      </c>
      <c r="BJ90" s="5">
        <v>0.0</v>
      </c>
      <c r="BK90" s="5">
        <v>0.0</v>
      </c>
      <c r="BL90" s="5">
        <v>0.0</v>
      </c>
      <c r="BM90" s="7">
        <f t="shared" si="11"/>
        <v>2434.957973</v>
      </c>
      <c r="BN90" s="8"/>
    </row>
    <row r="91">
      <c r="A91" s="1" t="s">
        <v>152</v>
      </c>
      <c r="B91" s="1">
        <f>2708/57209*100</f>
        <v>4.73352095</v>
      </c>
      <c r="C91" s="2">
        <f>10003/57209*100</f>
        <v>17.4850111</v>
      </c>
      <c r="D91" s="2">
        <f>679/57209*100</f>
        <v>1.186876191</v>
      </c>
      <c r="E91" s="2">
        <f>29026/57209*100</f>
        <v>50.73677219</v>
      </c>
      <c r="F91" s="1">
        <v>0.0</v>
      </c>
      <c r="G91" s="1">
        <v>91.0</v>
      </c>
      <c r="H91" s="3">
        <f>3455/57209*100</f>
        <v>6.039259557</v>
      </c>
      <c r="I91" s="1">
        <v>4.0</v>
      </c>
      <c r="J91" s="1">
        <f>665/57209*100</f>
        <v>1.162404517</v>
      </c>
      <c r="K91" s="1">
        <f>5771/57209*100</f>
        <v>10.08757363</v>
      </c>
      <c r="L91" s="1">
        <v>160.0</v>
      </c>
      <c r="M91" s="5">
        <v>41.0</v>
      </c>
      <c r="N91" s="1">
        <v>225.0</v>
      </c>
      <c r="O91" s="1">
        <v>171.0</v>
      </c>
      <c r="P91" s="7">
        <f>1080/57209*100</f>
        <v>1.887814854</v>
      </c>
      <c r="Q91" s="1">
        <v>218.0</v>
      </c>
      <c r="R91" s="1">
        <v>151.0</v>
      </c>
      <c r="S91" s="1">
        <v>502.0</v>
      </c>
      <c r="T91" s="1">
        <v>379.0</v>
      </c>
      <c r="U91" s="1">
        <v>208.0</v>
      </c>
      <c r="V91" s="5">
        <v>40.0</v>
      </c>
      <c r="W91" s="1">
        <v>107.0</v>
      </c>
      <c r="X91" s="5">
        <v>8.0</v>
      </c>
      <c r="Y91" s="5">
        <v>414.0</v>
      </c>
      <c r="Z91" s="1">
        <v>401.0</v>
      </c>
      <c r="AA91" s="1">
        <v>28.0</v>
      </c>
      <c r="AB91" s="5">
        <v>62.0</v>
      </c>
      <c r="AC91" s="5">
        <v>100.0</v>
      </c>
      <c r="AD91" s="1">
        <v>81.0</v>
      </c>
      <c r="AE91" s="1">
        <v>10.0</v>
      </c>
      <c r="AF91" s="5">
        <v>4.0</v>
      </c>
      <c r="AG91" s="1">
        <v>376.0</v>
      </c>
      <c r="AH91" s="5">
        <v>0.0</v>
      </c>
      <c r="AI91" s="3">
        <v>9.0</v>
      </c>
      <c r="AJ91" s="5">
        <v>0.0</v>
      </c>
      <c r="AK91" s="5">
        <v>14.0</v>
      </c>
      <c r="AL91" s="5">
        <v>0.0</v>
      </c>
      <c r="AM91" s="5">
        <v>0.0</v>
      </c>
      <c r="AN91" s="5">
        <v>0.0</v>
      </c>
      <c r="AO91" s="5">
        <v>6.0</v>
      </c>
      <c r="AP91" s="5">
        <v>5.0</v>
      </c>
      <c r="AQ91" s="5">
        <v>0.0</v>
      </c>
      <c r="AR91" s="5">
        <v>0.0</v>
      </c>
      <c r="AS91" s="5">
        <v>0.0</v>
      </c>
      <c r="AT91" s="5">
        <v>0.0</v>
      </c>
      <c r="AU91" s="5">
        <v>3.0</v>
      </c>
      <c r="AV91" s="5">
        <v>0.0</v>
      </c>
      <c r="AW91" s="5">
        <v>0.0</v>
      </c>
      <c r="AX91" s="5">
        <v>0.0</v>
      </c>
      <c r="AY91" s="5">
        <v>0.0</v>
      </c>
      <c r="AZ91" s="5">
        <v>0.0</v>
      </c>
      <c r="BA91" s="5">
        <v>2.0</v>
      </c>
      <c r="BB91" s="5">
        <v>0.0</v>
      </c>
      <c r="BC91" s="5">
        <v>2.0</v>
      </c>
      <c r="BD91" s="5">
        <v>0.0</v>
      </c>
      <c r="BE91" s="5">
        <v>0.0</v>
      </c>
      <c r="BF91" s="5">
        <v>0.0</v>
      </c>
      <c r="BG91" s="5">
        <v>0.0</v>
      </c>
      <c r="BH91" s="5">
        <v>0.0</v>
      </c>
      <c r="BI91" s="5">
        <v>0.0</v>
      </c>
      <c r="BJ91" s="5">
        <v>0.0</v>
      </c>
      <c r="BK91" s="5">
        <v>0.0</v>
      </c>
      <c r="BL91" s="5">
        <v>0.0</v>
      </c>
      <c r="BM91" s="7">
        <f t="shared" si="11"/>
        <v>3915.319233</v>
      </c>
      <c r="BN91" s="8"/>
    </row>
    <row r="92">
      <c r="A92" s="1" t="s">
        <v>153</v>
      </c>
      <c r="B92" s="1">
        <f>5251/82730*100</f>
        <v>6.347153391</v>
      </c>
      <c r="C92" s="2">
        <f>2956/82730*100</f>
        <v>3.57306902</v>
      </c>
      <c r="D92" s="2">
        <f>811/82730*100</f>
        <v>0.9802973528</v>
      </c>
      <c r="E92" s="2">
        <f>22611/82730*100</f>
        <v>27.331077</v>
      </c>
      <c r="F92" s="1">
        <v>0.0</v>
      </c>
      <c r="G92" s="1">
        <v>198.0</v>
      </c>
      <c r="H92" s="3">
        <f>2542/82730*100</f>
        <v>3.072645957</v>
      </c>
      <c r="I92" s="1">
        <v>0.0</v>
      </c>
      <c r="J92" s="1">
        <v>610.0</v>
      </c>
      <c r="K92" s="1">
        <f>42868/82730*100</f>
        <v>51.81675329</v>
      </c>
      <c r="L92" s="1">
        <v>274.0</v>
      </c>
      <c r="M92" s="5">
        <v>7.0</v>
      </c>
      <c r="N92" s="1">
        <v>166.0</v>
      </c>
      <c r="O92" s="1">
        <v>42.0</v>
      </c>
      <c r="P92" s="1">
        <f>871/82730*100</f>
        <v>1.052822434</v>
      </c>
      <c r="Q92" s="1">
        <v>107.0</v>
      </c>
      <c r="R92" s="1">
        <v>348.0</v>
      </c>
      <c r="S92" s="7">
        <f>828/82730*100</f>
        <v>1.000846126</v>
      </c>
      <c r="T92" s="1">
        <v>567.0</v>
      </c>
      <c r="U92" s="1">
        <v>241.0</v>
      </c>
      <c r="V92" s="5">
        <v>147.0</v>
      </c>
      <c r="W92" s="1">
        <v>19.0</v>
      </c>
      <c r="X92" s="5">
        <v>17.0</v>
      </c>
      <c r="Y92" s="5">
        <v>185.0</v>
      </c>
      <c r="Z92" s="1">
        <v>599.0</v>
      </c>
      <c r="AA92" s="1">
        <v>0.0</v>
      </c>
      <c r="AB92" s="5">
        <v>44.0</v>
      </c>
      <c r="AC92" s="5">
        <v>134.0</v>
      </c>
      <c r="AD92" s="1">
        <v>17.0</v>
      </c>
      <c r="AE92" s="1">
        <v>3.0</v>
      </c>
      <c r="AF92" s="5">
        <v>5.0</v>
      </c>
      <c r="AG92" s="1">
        <v>245.0</v>
      </c>
      <c r="AH92" s="5">
        <v>0.0</v>
      </c>
      <c r="AI92" s="3">
        <v>12.0</v>
      </c>
      <c r="AJ92" s="5">
        <v>0.0</v>
      </c>
      <c r="AK92" s="5">
        <v>3.0</v>
      </c>
      <c r="AL92" s="5">
        <v>0.0</v>
      </c>
      <c r="AM92" s="5">
        <v>0.0</v>
      </c>
      <c r="AN92" s="5">
        <v>0.0</v>
      </c>
      <c r="AO92" s="5">
        <v>0.0</v>
      </c>
      <c r="AP92" s="5">
        <v>0.0</v>
      </c>
      <c r="AQ92" s="5">
        <v>2.0</v>
      </c>
      <c r="AR92" s="5">
        <v>0.0</v>
      </c>
      <c r="AS92" s="5">
        <v>0.0</v>
      </c>
      <c r="AT92" s="5">
        <v>0.0</v>
      </c>
      <c r="AU92" s="5">
        <v>0.0</v>
      </c>
      <c r="AV92" s="5">
        <v>0.0</v>
      </c>
      <c r="AW92" s="5">
        <v>0.0</v>
      </c>
      <c r="AX92" s="5">
        <v>0.0</v>
      </c>
      <c r="AY92" s="5">
        <v>0.0</v>
      </c>
      <c r="AZ92" s="5">
        <v>0.0</v>
      </c>
      <c r="BA92" s="5">
        <v>0.0</v>
      </c>
      <c r="BB92" s="5">
        <v>0.0</v>
      </c>
      <c r="BC92" s="5">
        <v>0.0</v>
      </c>
      <c r="BD92" s="5">
        <v>0.0</v>
      </c>
      <c r="BE92" s="5">
        <v>0.0</v>
      </c>
      <c r="BF92" s="5">
        <v>0.0</v>
      </c>
      <c r="BG92" s="5">
        <v>0.0</v>
      </c>
      <c r="BH92" s="5">
        <v>0.0</v>
      </c>
      <c r="BI92" s="5">
        <v>0.0</v>
      </c>
      <c r="BJ92" s="5">
        <v>0.0</v>
      </c>
      <c r="BK92" s="5">
        <v>0.0</v>
      </c>
      <c r="BL92" s="5">
        <v>0.0</v>
      </c>
      <c r="BM92" s="7">
        <f t="shared" si="11"/>
        <v>4087.174665</v>
      </c>
      <c r="BN92" s="8"/>
    </row>
    <row r="93">
      <c r="A93" s="1" t="s">
        <v>154</v>
      </c>
      <c r="B93" s="1">
        <v>178.0</v>
      </c>
      <c r="C93" s="2">
        <f>26963/100538*100</f>
        <v>26.81871531</v>
      </c>
      <c r="D93" s="2">
        <f>24105/100538*100</f>
        <v>23.97600907</v>
      </c>
      <c r="E93" s="2">
        <f>37495/100538*100</f>
        <v>37.29435636</v>
      </c>
      <c r="F93" s="1">
        <v>2.0</v>
      </c>
      <c r="G93" s="1">
        <v>3.0</v>
      </c>
      <c r="H93" s="3">
        <v>822.0</v>
      </c>
      <c r="I93" s="1">
        <v>0.0</v>
      </c>
      <c r="J93" s="1">
        <f>5876/100538*100</f>
        <v>5.844556287</v>
      </c>
      <c r="K93" s="1">
        <v>592.0</v>
      </c>
      <c r="L93" s="1">
        <v>95.0</v>
      </c>
      <c r="M93" s="5">
        <v>4.0</v>
      </c>
      <c r="N93" s="1">
        <v>370.0</v>
      </c>
      <c r="O93" s="1">
        <v>14.0</v>
      </c>
      <c r="P93" s="1">
        <v>269.0</v>
      </c>
      <c r="Q93" s="1">
        <v>172.0</v>
      </c>
      <c r="R93" s="1">
        <v>87.0</v>
      </c>
      <c r="S93" s="1">
        <v>5.0</v>
      </c>
      <c r="T93" s="1">
        <v>5.0</v>
      </c>
      <c r="U93" s="1">
        <v>36.0</v>
      </c>
      <c r="V93" s="5">
        <v>40.0</v>
      </c>
      <c r="W93" s="1">
        <v>8.0</v>
      </c>
      <c r="X93" s="5">
        <v>9.0</v>
      </c>
      <c r="Y93" s="5">
        <v>0.0</v>
      </c>
      <c r="Z93" s="1">
        <v>10.0</v>
      </c>
      <c r="AA93" s="1">
        <v>76.0</v>
      </c>
      <c r="AB93" s="5">
        <v>5.0</v>
      </c>
      <c r="AC93" s="5">
        <v>0.0</v>
      </c>
      <c r="AD93" s="1">
        <v>166.0</v>
      </c>
      <c r="AE93" s="1">
        <v>61.0</v>
      </c>
      <c r="AF93" s="5">
        <v>2.0</v>
      </c>
      <c r="AG93" s="1">
        <v>6.0</v>
      </c>
      <c r="AH93" s="5">
        <v>2.0</v>
      </c>
      <c r="AI93" s="3">
        <f>3025/100538*100</f>
        <v>3.008812588</v>
      </c>
      <c r="AJ93" s="5">
        <v>0.0</v>
      </c>
      <c r="AK93" s="5">
        <v>2.0</v>
      </c>
      <c r="AL93" s="5">
        <v>0.0</v>
      </c>
      <c r="AM93" s="5">
        <v>0.0</v>
      </c>
      <c r="AN93" s="5">
        <v>0.0</v>
      </c>
      <c r="AO93" s="5">
        <v>17.0</v>
      </c>
      <c r="AP93" s="5">
        <v>0.0</v>
      </c>
      <c r="AQ93" s="5">
        <v>0.0</v>
      </c>
      <c r="AR93" s="5">
        <v>0.0</v>
      </c>
      <c r="AS93" s="5">
        <v>0.0</v>
      </c>
      <c r="AT93" s="5">
        <v>0.0</v>
      </c>
      <c r="AU93" s="5">
        <v>0.0</v>
      </c>
      <c r="AV93" s="5">
        <v>13.0</v>
      </c>
      <c r="AW93" s="5">
        <v>0.0</v>
      </c>
      <c r="AX93" s="5">
        <v>0.0</v>
      </c>
      <c r="AY93" s="5">
        <v>0.0</v>
      </c>
      <c r="AZ93" s="5">
        <v>0.0</v>
      </c>
      <c r="BA93" s="5">
        <v>3.0</v>
      </c>
      <c r="BB93" s="5">
        <v>0.0</v>
      </c>
      <c r="BC93" s="5">
        <v>0.0</v>
      </c>
      <c r="BD93" s="5">
        <v>0.0</v>
      </c>
      <c r="BE93" s="5">
        <v>0.0</v>
      </c>
      <c r="BF93" s="5">
        <v>0.0</v>
      </c>
      <c r="BG93" s="5">
        <v>0.0</v>
      </c>
      <c r="BH93" s="5">
        <v>0.0</v>
      </c>
      <c r="BI93" s="5">
        <v>0.0</v>
      </c>
      <c r="BJ93" s="5">
        <v>0.0</v>
      </c>
      <c r="BK93" s="5">
        <v>0.0</v>
      </c>
      <c r="BL93" s="5">
        <v>0.0</v>
      </c>
      <c r="BM93" s="7">
        <f t="shared" si="11"/>
        <v>3170.94245</v>
      </c>
      <c r="BN93" s="8"/>
    </row>
    <row r="94">
      <c r="A94" s="1" t="s">
        <v>155</v>
      </c>
      <c r="B94" s="1">
        <v>494.0</v>
      </c>
      <c r="C94" s="2">
        <f>33785/126760*100</f>
        <v>26.65272957</v>
      </c>
      <c r="D94" s="2">
        <f>29242/126760*100</f>
        <v>23.06879142</v>
      </c>
      <c r="E94" s="2">
        <f>40420/126760*100</f>
        <v>31.88703061</v>
      </c>
      <c r="F94" s="1">
        <v>0.0</v>
      </c>
      <c r="G94" s="1">
        <v>17.0</v>
      </c>
      <c r="H94" s="3">
        <f>3300/126760*100</f>
        <v>2.603344904</v>
      </c>
      <c r="I94" s="1">
        <v>4.0</v>
      </c>
      <c r="J94" s="1">
        <f>7988/126760*100</f>
        <v>6.301672452</v>
      </c>
      <c r="K94" s="7">
        <f>2009/126760*100</f>
        <v>1.584884822</v>
      </c>
      <c r="L94" s="1">
        <v>181.0</v>
      </c>
      <c r="M94" s="5">
        <v>2.0</v>
      </c>
      <c r="N94" s="1">
        <v>772.0</v>
      </c>
      <c r="O94" s="1">
        <v>82.0</v>
      </c>
      <c r="P94" s="1">
        <v>391.0</v>
      </c>
      <c r="Q94" s="1">
        <v>305.0</v>
      </c>
      <c r="R94" s="1">
        <v>306.0</v>
      </c>
      <c r="S94" s="1">
        <v>21.0</v>
      </c>
      <c r="T94" s="1">
        <v>3.0</v>
      </c>
      <c r="U94" s="1">
        <v>105.0</v>
      </c>
      <c r="V94" s="5">
        <v>83.0</v>
      </c>
      <c r="W94" s="1">
        <v>27.0</v>
      </c>
      <c r="X94" s="5">
        <v>22.0</v>
      </c>
      <c r="Y94" s="5">
        <v>5.0</v>
      </c>
      <c r="Z94" s="1">
        <v>30.0</v>
      </c>
      <c r="AA94" s="1">
        <v>114.0</v>
      </c>
      <c r="AB94" s="5">
        <v>13.0</v>
      </c>
      <c r="AC94" s="5">
        <v>11.0</v>
      </c>
      <c r="AD94" s="1">
        <v>183.0</v>
      </c>
      <c r="AE94" s="1">
        <v>77.0</v>
      </c>
      <c r="AF94" s="5">
        <v>0.0</v>
      </c>
      <c r="AG94" s="1">
        <v>24.0</v>
      </c>
      <c r="AH94" s="5">
        <v>4.0</v>
      </c>
      <c r="AI94" s="3">
        <f>6656/126760*100</f>
        <v>5.250867782</v>
      </c>
      <c r="AJ94" s="5">
        <v>0.0</v>
      </c>
      <c r="AK94" s="5">
        <v>16.0</v>
      </c>
      <c r="AL94" s="5">
        <v>0.0</v>
      </c>
      <c r="AM94" s="5">
        <v>2.0</v>
      </c>
      <c r="AN94" s="5">
        <v>0.0</v>
      </c>
      <c r="AO94" s="5">
        <v>22.0</v>
      </c>
      <c r="AP94" s="5">
        <v>0.0</v>
      </c>
      <c r="AQ94" s="5">
        <v>0.0</v>
      </c>
      <c r="AR94" s="5">
        <v>0.0</v>
      </c>
      <c r="AS94" s="5">
        <v>0.0</v>
      </c>
      <c r="AT94" s="5">
        <v>0.0</v>
      </c>
      <c r="AU94" s="5">
        <v>0.0</v>
      </c>
      <c r="AV94" s="5">
        <v>44.0</v>
      </c>
      <c r="AW94" s="5">
        <v>0.0</v>
      </c>
      <c r="AX94" s="5">
        <v>0.0</v>
      </c>
      <c r="AY94" s="5">
        <v>0.0</v>
      </c>
      <c r="AZ94" s="5">
        <v>0.0</v>
      </c>
      <c r="BA94" s="5">
        <v>0.0</v>
      </c>
      <c r="BB94" s="5">
        <v>0.0</v>
      </c>
      <c r="BC94" s="5">
        <v>0.0</v>
      </c>
      <c r="BD94" s="5">
        <v>0.0</v>
      </c>
      <c r="BE94" s="5">
        <v>0.0</v>
      </c>
      <c r="BF94" s="5">
        <v>0.0</v>
      </c>
      <c r="BG94" s="5">
        <v>0.0</v>
      </c>
      <c r="BH94" s="5">
        <v>0.0</v>
      </c>
      <c r="BI94" s="5">
        <v>0.0</v>
      </c>
      <c r="BJ94" s="5">
        <v>0.0</v>
      </c>
      <c r="BK94" s="5">
        <v>0.0</v>
      </c>
      <c r="BL94" s="5">
        <v>0.0</v>
      </c>
      <c r="BM94" s="7">
        <f t="shared" si="11"/>
        <v>3457.349322</v>
      </c>
      <c r="BN94" s="8"/>
    </row>
    <row r="95">
      <c r="A95" s="1" t="s">
        <v>156</v>
      </c>
      <c r="B95" s="1">
        <v>30.0</v>
      </c>
      <c r="C95" s="2">
        <f>24443/88502*100</f>
        <v>27.61858489</v>
      </c>
      <c r="D95" s="2">
        <f>26321/88502*100</f>
        <v>29.74057083</v>
      </c>
      <c r="E95" s="2">
        <f>25947/88502*100</f>
        <v>29.31798151</v>
      </c>
      <c r="F95" s="1">
        <v>0.0</v>
      </c>
      <c r="G95" s="1">
        <v>0.0</v>
      </c>
      <c r="H95" s="3">
        <v>478.0</v>
      </c>
      <c r="I95" s="1">
        <v>0.0</v>
      </c>
      <c r="J95" s="1">
        <f>8593/88502*100</f>
        <v>9.709385099</v>
      </c>
      <c r="K95" s="1">
        <v>285.0</v>
      </c>
      <c r="L95" s="1">
        <v>17.0</v>
      </c>
      <c r="M95" s="5">
        <v>0.0</v>
      </c>
      <c r="N95" s="1">
        <v>41.0</v>
      </c>
      <c r="O95" s="1">
        <v>3.0</v>
      </c>
      <c r="P95" s="1">
        <v>595.0</v>
      </c>
      <c r="Q95" s="1">
        <v>196.0</v>
      </c>
      <c r="R95" s="1">
        <v>16.0</v>
      </c>
      <c r="S95" s="1">
        <v>5.0</v>
      </c>
      <c r="T95" s="1">
        <v>2.0</v>
      </c>
      <c r="U95" s="1">
        <v>12.0</v>
      </c>
      <c r="V95" s="5">
        <v>6.0</v>
      </c>
      <c r="W95" s="1">
        <v>11.0</v>
      </c>
      <c r="X95" s="5">
        <v>3.0</v>
      </c>
      <c r="Y95" s="5">
        <v>0.0</v>
      </c>
      <c r="Z95" s="1">
        <v>0.0</v>
      </c>
      <c r="AA95" s="1">
        <v>9.0</v>
      </c>
      <c r="AB95" s="5">
        <v>4.0</v>
      </c>
      <c r="AC95" s="5">
        <v>2.0</v>
      </c>
      <c r="AD95" s="1">
        <v>161.0</v>
      </c>
      <c r="AE95" s="1">
        <v>5.0</v>
      </c>
      <c r="AF95" s="5">
        <v>0.0</v>
      </c>
      <c r="AG95" s="1">
        <v>0.0</v>
      </c>
      <c r="AH95" s="5">
        <v>0.0</v>
      </c>
      <c r="AI95" s="3">
        <f>1312/88502*100</f>
        <v>1.482452374</v>
      </c>
      <c r="AJ95" s="5">
        <v>0.0</v>
      </c>
      <c r="AK95" s="5">
        <v>0.0</v>
      </c>
      <c r="AL95" s="5">
        <v>0.0</v>
      </c>
      <c r="AM95" s="5">
        <v>0.0</v>
      </c>
      <c r="AN95" s="5">
        <v>0.0</v>
      </c>
      <c r="AO95" s="5">
        <v>0.0</v>
      </c>
      <c r="AP95" s="5">
        <v>0.0</v>
      </c>
      <c r="AQ95" s="5">
        <v>0.0</v>
      </c>
      <c r="AR95" s="5">
        <v>0.0</v>
      </c>
      <c r="AS95" s="5">
        <v>0.0</v>
      </c>
      <c r="AT95" s="5">
        <v>0.0</v>
      </c>
      <c r="AU95" s="5">
        <v>0.0</v>
      </c>
      <c r="AV95" s="5">
        <v>3.0</v>
      </c>
      <c r="AW95" s="5">
        <v>0.0</v>
      </c>
      <c r="AX95" s="5">
        <v>0.0</v>
      </c>
      <c r="AY95" s="5">
        <v>0.0</v>
      </c>
      <c r="AZ95" s="5">
        <v>0.0</v>
      </c>
      <c r="BA95" s="5">
        <v>0.0</v>
      </c>
      <c r="BB95" s="5">
        <v>0.0</v>
      </c>
      <c r="BC95" s="5">
        <v>0.0</v>
      </c>
      <c r="BD95" s="5">
        <v>0.0</v>
      </c>
      <c r="BE95" s="5">
        <v>0.0</v>
      </c>
      <c r="BF95" s="5">
        <v>0.0</v>
      </c>
      <c r="BG95" s="5">
        <v>0.0</v>
      </c>
      <c r="BH95" s="5">
        <v>0.0</v>
      </c>
      <c r="BI95" s="5">
        <v>0.0</v>
      </c>
      <c r="BJ95" s="5">
        <v>2.0</v>
      </c>
      <c r="BK95" s="5">
        <v>0.0</v>
      </c>
      <c r="BL95" s="5">
        <v>0.0</v>
      </c>
      <c r="BM95" s="7">
        <f t="shared" si="11"/>
        <v>1983.868975</v>
      </c>
      <c r="BN95" s="8"/>
    </row>
    <row r="96">
      <c r="A96" s="1" t="s">
        <v>157</v>
      </c>
      <c r="B96" s="1">
        <v>65.0</v>
      </c>
      <c r="C96" s="2">
        <f>37853/106805*100</f>
        <v>35.44122466</v>
      </c>
      <c r="D96" s="2">
        <f>29585/106805*100</f>
        <v>27.70001404</v>
      </c>
      <c r="E96" s="2">
        <f>25160/106805*100</f>
        <v>23.55694958</v>
      </c>
      <c r="F96" s="1">
        <v>0.0</v>
      </c>
      <c r="G96" s="1">
        <v>0.0</v>
      </c>
      <c r="H96" s="3">
        <v>475.0</v>
      </c>
      <c r="I96" s="1">
        <v>2.0</v>
      </c>
      <c r="J96" s="1">
        <f>10274/106805*100</f>
        <v>9.619399841</v>
      </c>
      <c r="K96" s="1">
        <v>613.0</v>
      </c>
      <c r="L96" s="1">
        <v>34.0</v>
      </c>
      <c r="M96" s="5">
        <v>0.0</v>
      </c>
      <c r="N96" s="1">
        <v>63.0</v>
      </c>
      <c r="O96" s="1">
        <v>4.0</v>
      </c>
      <c r="P96" s="1">
        <v>988.0</v>
      </c>
      <c r="Q96" s="1">
        <v>293.0</v>
      </c>
      <c r="R96" s="1">
        <v>8.0</v>
      </c>
      <c r="S96" s="1">
        <v>9.0</v>
      </c>
      <c r="T96" s="1">
        <v>0.0</v>
      </c>
      <c r="U96" s="1">
        <v>17.0</v>
      </c>
      <c r="V96" s="5">
        <v>6.0</v>
      </c>
      <c r="W96" s="1">
        <v>7.0</v>
      </c>
      <c r="X96" s="5">
        <v>3.0</v>
      </c>
      <c r="Y96" s="5">
        <v>0.0</v>
      </c>
      <c r="Z96" s="1">
        <v>0.0</v>
      </c>
      <c r="AA96" s="1">
        <v>22.0</v>
      </c>
      <c r="AB96" s="5">
        <v>0.0</v>
      </c>
      <c r="AC96" s="5">
        <v>4.0</v>
      </c>
      <c r="AD96" s="1">
        <v>259.0</v>
      </c>
      <c r="AE96" s="1">
        <v>10.0</v>
      </c>
      <c r="AF96" s="5">
        <v>0.0</v>
      </c>
      <c r="AG96" s="1">
        <v>0.0</v>
      </c>
      <c r="AH96" s="5">
        <v>2.0</v>
      </c>
      <c r="AI96" s="3">
        <f>1041/106805*100</f>
        <v>0.9746734703</v>
      </c>
      <c r="AJ96" s="5">
        <v>0.0</v>
      </c>
      <c r="AK96" s="5">
        <v>0.0</v>
      </c>
      <c r="AL96" s="5">
        <v>0.0</v>
      </c>
      <c r="AM96" s="5">
        <v>0.0</v>
      </c>
      <c r="AN96" s="5">
        <v>0.0</v>
      </c>
      <c r="AO96" s="5">
        <v>0.0</v>
      </c>
      <c r="AP96" s="5">
        <v>0.0</v>
      </c>
      <c r="AQ96" s="5">
        <v>0.0</v>
      </c>
      <c r="AR96" s="5">
        <v>0.0</v>
      </c>
      <c r="AS96" s="5">
        <v>0.0</v>
      </c>
      <c r="AT96" s="5">
        <v>0.0</v>
      </c>
      <c r="AU96" s="5">
        <v>0.0</v>
      </c>
      <c r="AV96" s="5">
        <v>3.0</v>
      </c>
      <c r="AW96" s="5">
        <v>0.0</v>
      </c>
      <c r="AX96" s="5">
        <v>0.0</v>
      </c>
      <c r="AY96" s="5">
        <v>0.0</v>
      </c>
      <c r="AZ96" s="5">
        <v>0.0</v>
      </c>
      <c r="BA96" s="5">
        <v>0.0</v>
      </c>
      <c r="BB96" s="5">
        <v>0.0</v>
      </c>
      <c r="BC96" s="5">
        <v>0.0</v>
      </c>
      <c r="BD96" s="5">
        <v>0.0</v>
      </c>
      <c r="BE96" s="5">
        <v>0.0</v>
      </c>
      <c r="BF96" s="5">
        <v>0.0</v>
      </c>
      <c r="BG96" s="5">
        <v>2.0</v>
      </c>
      <c r="BH96" s="5">
        <v>0.0</v>
      </c>
      <c r="BI96" s="5">
        <v>0.0</v>
      </c>
      <c r="BJ96" s="5">
        <v>3.0</v>
      </c>
      <c r="BK96" s="5">
        <v>0.0</v>
      </c>
      <c r="BL96" s="5">
        <v>0.0</v>
      </c>
      <c r="BM96" s="7">
        <f t="shared" si="11"/>
        <v>2989.292262</v>
      </c>
      <c r="BN96" s="8"/>
    </row>
    <row r="97">
      <c r="A97" s="1" t="s">
        <v>158</v>
      </c>
      <c r="B97" s="1">
        <v>147.0</v>
      </c>
      <c r="C97" s="2">
        <f>3974/64662*100</f>
        <v>6.145804336</v>
      </c>
      <c r="D97" s="2">
        <f>16753/64662*100</f>
        <v>25.90857072</v>
      </c>
      <c r="E97" s="2">
        <f>25778/64662*100</f>
        <v>39.86576351</v>
      </c>
      <c r="F97" s="1">
        <v>2.0</v>
      </c>
      <c r="G97" s="1">
        <v>29.0</v>
      </c>
      <c r="H97" s="3">
        <f>2159/64662*100</f>
        <v>3.338900745</v>
      </c>
      <c r="I97" s="1">
        <v>2.0</v>
      </c>
      <c r="J97" s="1">
        <f>2896/64662*100</f>
        <v>4.478673719</v>
      </c>
      <c r="K97" s="7">
        <f>2706/64662*100</f>
        <v>4.184838081</v>
      </c>
      <c r="L97" s="1">
        <v>300.0</v>
      </c>
      <c r="M97" s="5">
        <v>3.0</v>
      </c>
      <c r="N97" s="7">
        <f>670/64662*100</f>
        <v>1.036157248</v>
      </c>
      <c r="O97" s="1">
        <v>43.0</v>
      </c>
      <c r="P97" s="1">
        <v>307.0</v>
      </c>
      <c r="Q97" s="1">
        <v>235.0</v>
      </c>
      <c r="R97" s="1">
        <v>426.0</v>
      </c>
      <c r="S97" s="1">
        <v>16.0</v>
      </c>
      <c r="T97" s="1">
        <v>50.0</v>
      </c>
      <c r="U97" s="1">
        <v>149.0</v>
      </c>
      <c r="V97" s="5">
        <v>30.0</v>
      </c>
      <c r="W97" s="1">
        <v>143.0</v>
      </c>
      <c r="X97" s="5">
        <v>34.0</v>
      </c>
      <c r="Y97" s="5">
        <v>8.0</v>
      </c>
      <c r="Z97" s="1">
        <v>39.0</v>
      </c>
      <c r="AA97" s="1">
        <v>6.0</v>
      </c>
      <c r="AB97" s="5">
        <v>7.0</v>
      </c>
      <c r="AC97" s="5">
        <v>11.0</v>
      </c>
      <c r="AD97" s="1">
        <v>77.0</v>
      </c>
      <c r="AE97" s="1">
        <v>17.0</v>
      </c>
      <c r="AF97" s="5">
        <v>0.0</v>
      </c>
      <c r="AG97" s="1">
        <v>39.0</v>
      </c>
      <c r="AH97" s="5">
        <v>4.0</v>
      </c>
      <c r="AI97" s="3">
        <f>7587/64662*100</f>
        <v>11.73332096</v>
      </c>
      <c r="AJ97" s="5">
        <v>0.0</v>
      </c>
      <c r="AK97" s="5">
        <v>10.0</v>
      </c>
      <c r="AL97" s="5">
        <v>0.0</v>
      </c>
      <c r="AM97" s="5">
        <v>0.0</v>
      </c>
      <c r="AN97" s="5">
        <v>0.0</v>
      </c>
      <c r="AO97" s="5">
        <v>0.0</v>
      </c>
      <c r="AP97" s="5">
        <v>0.0</v>
      </c>
      <c r="AQ97" s="5">
        <v>0.0</v>
      </c>
      <c r="AR97" s="5">
        <v>0.0</v>
      </c>
      <c r="AS97" s="5">
        <v>0.0</v>
      </c>
      <c r="AT97" s="5">
        <v>0.0</v>
      </c>
      <c r="AU97" s="5">
        <v>0.0</v>
      </c>
      <c r="AV97" s="5">
        <v>3.0</v>
      </c>
      <c r="AW97" s="5">
        <v>0.0</v>
      </c>
      <c r="AX97" s="5">
        <v>0.0</v>
      </c>
      <c r="AY97" s="5">
        <v>0.0</v>
      </c>
      <c r="AZ97" s="5">
        <v>0.0</v>
      </c>
      <c r="BA97" s="5">
        <v>0.0</v>
      </c>
      <c r="BB97" s="5">
        <v>0.0</v>
      </c>
      <c r="BC97" s="5">
        <v>0.0</v>
      </c>
      <c r="BD97" s="5">
        <v>0.0</v>
      </c>
      <c r="BE97" s="5">
        <v>2.0</v>
      </c>
      <c r="BF97" s="5">
        <v>0.0</v>
      </c>
      <c r="BG97" s="5">
        <v>0.0</v>
      </c>
      <c r="BH97" s="5">
        <v>0.0</v>
      </c>
      <c r="BI97" s="5">
        <v>0.0</v>
      </c>
      <c r="BJ97" s="5">
        <v>0.0</v>
      </c>
      <c r="BK97" s="5">
        <v>0.0</v>
      </c>
      <c r="BL97" s="5">
        <v>0.0</v>
      </c>
      <c r="BM97" s="7">
        <f t="shared" si="11"/>
        <v>2235.692029</v>
      </c>
      <c r="BN97" s="8"/>
    </row>
    <row r="98">
      <c r="A98" s="1" t="s">
        <v>159</v>
      </c>
      <c r="B98" s="1">
        <v>144.0</v>
      </c>
      <c r="C98" s="2">
        <f>7553/66964*100</f>
        <v>11.27919479</v>
      </c>
      <c r="D98" s="2">
        <f>23547/66964*100</f>
        <v>35.16367003</v>
      </c>
      <c r="E98" s="2">
        <f>27757/66964*100</f>
        <v>41.45063019</v>
      </c>
      <c r="F98" s="1">
        <v>0.0</v>
      </c>
      <c r="G98" s="1">
        <v>2.0</v>
      </c>
      <c r="H98" s="3">
        <f>741/66964*100</f>
        <v>1.106564721</v>
      </c>
      <c r="I98" s="1">
        <v>0.0</v>
      </c>
      <c r="J98" s="1">
        <f>2764/66964*100</f>
        <v>4.127590944</v>
      </c>
      <c r="K98" s="7">
        <f>740/66964*100</f>
        <v>1.105071382</v>
      </c>
      <c r="L98" s="1">
        <v>100.0</v>
      </c>
      <c r="M98" s="5">
        <v>0.0</v>
      </c>
      <c r="N98" s="1">
        <v>224.0</v>
      </c>
      <c r="O98" s="1">
        <v>15.0</v>
      </c>
      <c r="P98" s="1">
        <v>281.0</v>
      </c>
      <c r="Q98" s="1">
        <v>311.0</v>
      </c>
      <c r="R98" s="1">
        <v>130.0</v>
      </c>
      <c r="S98" s="1">
        <v>5.0</v>
      </c>
      <c r="T98" s="1">
        <v>46.0</v>
      </c>
      <c r="U98" s="1">
        <v>51.0</v>
      </c>
      <c r="V98" s="5">
        <v>14.0</v>
      </c>
      <c r="W98" s="1">
        <v>59.0</v>
      </c>
      <c r="X98" s="5">
        <v>13.0</v>
      </c>
      <c r="Y98" s="5">
        <v>0.0</v>
      </c>
      <c r="Z98" s="1">
        <v>43.0</v>
      </c>
      <c r="AA98" s="1">
        <v>8.0</v>
      </c>
      <c r="AB98" s="5">
        <v>21.0</v>
      </c>
      <c r="AC98" s="5">
        <v>7.0</v>
      </c>
      <c r="AD98" s="1">
        <v>49.0</v>
      </c>
      <c r="AE98" s="1">
        <v>18.0</v>
      </c>
      <c r="AF98" s="5">
        <v>2.0</v>
      </c>
      <c r="AG98" s="1">
        <v>18.0</v>
      </c>
      <c r="AH98" s="5">
        <v>0.0</v>
      </c>
      <c r="AI98" s="3">
        <f>2288/66964*100</f>
        <v>3.416761245</v>
      </c>
      <c r="AJ98" s="5">
        <v>0.0</v>
      </c>
      <c r="AK98" s="5">
        <v>8.0</v>
      </c>
      <c r="AL98" s="5">
        <v>0.0</v>
      </c>
      <c r="AM98" s="5">
        <v>0.0</v>
      </c>
      <c r="AN98" s="5">
        <v>0.0</v>
      </c>
      <c r="AO98" s="5">
        <v>3.0</v>
      </c>
      <c r="AP98" s="5">
        <v>0.0</v>
      </c>
      <c r="AQ98" s="5">
        <v>0.0</v>
      </c>
      <c r="AR98" s="5">
        <v>0.0</v>
      </c>
      <c r="AS98" s="5">
        <v>0.0</v>
      </c>
      <c r="AT98" s="5">
        <v>0.0</v>
      </c>
      <c r="AU98" s="5">
        <v>0.0</v>
      </c>
      <c r="AV98" s="5">
        <v>0.0</v>
      </c>
      <c r="AW98" s="5">
        <v>0.0</v>
      </c>
      <c r="AX98" s="5">
        <v>0.0</v>
      </c>
      <c r="AY98" s="5">
        <v>0.0</v>
      </c>
      <c r="AZ98" s="5">
        <v>0.0</v>
      </c>
      <c r="BA98" s="5">
        <v>0.0</v>
      </c>
      <c r="BB98" s="5">
        <v>0.0</v>
      </c>
      <c r="BC98" s="5">
        <v>0.0</v>
      </c>
      <c r="BD98" s="5">
        <v>0.0</v>
      </c>
      <c r="BE98" s="5">
        <v>2.0</v>
      </c>
      <c r="BF98" s="5">
        <v>0.0</v>
      </c>
      <c r="BG98" s="5">
        <v>0.0</v>
      </c>
      <c r="BH98" s="5">
        <v>0.0</v>
      </c>
      <c r="BI98" s="5">
        <v>0.0</v>
      </c>
      <c r="BJ98" s="5">
        <v>0.0</v>
      </c>
      <c r="BK98" s="5">
        <v>0.0</v>
      </c>
      <c r="BL98" s="5">
        <v>0.0</v>
      </c>
      <c r="BM98" s="7">
        <f t="shared" si="11"/>
        <v>1671.649483</v>
      </c>
      <c r="BN98" s="8"/>
    </row>
    <row r="99">
      <c r="A99" s="1" t="s">
        <v>160</v>
      </c>
      <c r="B99" s="1">
        <v>47.0</v>
      </c>
      <c r="C99" s="2">
        <f>5856/15791*100</f>
        <v>37.08441517</v>
      </c>
      <c r="D99" s="2">
        <f>604/15791*100</f>
        <v>3.824963587</v>
      </c>
      <c r="E99" s="2">
        <f>3885/15791*100</f>
        <v>24.60262175</v>
      </c>
      <c r="F99" s="1">
        <v>0.0</v>
      </c>
      <c r="G99" s="1">
        <v>0.0</v>
      </c>
      <c r="H99" s="3">
        <f>5066/15791*100</f>
        <v>32.08156545</v>
      </c>
      <c r="I99" s="1">
        <v>0.0</v>
      </c>
      <c r="J99" s="1">
        <v>62.0</v>
      </c>
      <c r="K99" s="1">
        <v>160.0</v>
      </c>
      <c r="L99" s="1">
        <v>0.0</v>
      </c>
      <c r="M99" s="5">
        <v>0.0</v>
      </c>
      <c r="N99" s="1">
        <v>47.0</v>
      </c>
      <c r="O99" s="1">
        <v>0.0</v>
      </c>
      <c r="P99" s="1">
        <v>0.0</v>
      </c>
      <c r="Q99" s="1">
        <v>0.0</v>
      </c>
      <c r="R99" s="1">
        <v>10.0</v>
      </c>
      <c r="S99" s="1">
        <v>0.0</v>
      </c>
      <c r="T99" s="1">
        <v>20.0</v>
      </c>
      <c r="U99" s="1">
        <v>0.0</v>
      </c>
      <c r="V99" s="5">
        <v>0.0</v>
      </c>
      <c r="W99" s="1">
        <v>0.0</v>
      </c>
      <c r="X99" s="5">
        <v>11.0</v>
      </c>
      <c r="Y99" s="5">
        <v>0.0</v>
      </c>
      <c r="Z99" s="1">
        <v>9.0</v>
      </c>
      <c r="AA99" s="1">
        <v>0.0</v>
      </c>
      <c r="AB99" s="5">
        <v>0.0</v>
      </c>
      <c r="AC99" s="5">
        <v>0.0</v>
      </c>
      <c r="AD99" s="1">
        <v>0.0</v>
      </c>
      <c r="AE99" s="1">
        <v>0.0</v>
      </c>
      <c r="AF99" s="5">
        <v>0.0</v>
      </c>
      <c r="AG99" s="1">
        <v>0.0</v>
      </c>
      <c r="AH99" s="5">
        <v>0.0</v>
      </c>
      <c r="AI99" s="3">
        <v>12.0</v>
      </c>
      <c r="AJ99" s="5">
        <v>0.0</v>
      </c>
      <c r="AK99" s="5">
        <v>2.0</v>
      </c>
      <c r="AL99" s="5">
        <v>0.0</v>
      </c>
      <c r="AM99" s="5">
        <v>0.0</v>
      </c>
      <c r="AN99" s="5">
        <v>0.0</v>
      </c>
      <c r="AO99" s="5">
        <v>0.0</v>
      </c>
      <c r="AP99" s="5">
        <v>0.0</v>
      </c>
      <c r="AQ99" s="5">
        <v>0.0</v>
      </c>
      <c r="AR99" s="5">
        <v>0.0</v>
      </c>
      <c r="AS99" s="5">
        <v>0.0</v>
      </c>
      <c r="AT99" s="5">
        <v>0.0</v>
      </c>
      <c r="AU99" s="5">
        <v>0.0</v>
      </c>
      <c r="AV99" s="5">
        <v>0.0</v>
      </c>
      <c r="AW99" s="5">
        <v>0.0</v>
      </c>
      <c r="AX99" s="5">
        <v>0.0</v>
      </c>
      <c r="AY99" s="5">
        <v>0.0</v>
      </c>
      <c r="AZ99" s="5">
        <v>0.0</v>
      </c>
      <c r="BA99" s="5">
        <v>0.0</v>
      </c>
      <c r="BB99" s="5">
        <v>0.0</v>
      </c>
      <c r="BC99" s="5">
        <v>0.0</v>
      </c>
      <c r="BD99" s="5">
        <v>0.0</v>
      </c>
      <c r="BE99" s="5">
        <v>0.0</v>
      </c>
      <c r="BF99" s="5">
        <v>0.0</v>
      </c>
      <c r="BG99" s="5">
        <v>0.0</v>
      </c>
      <c r="BH99" s="5">
        <v>0.0</v>
      </c>
      <c r="BI99" s="5">
        <v>0.0</v>
      </c>
      <c r="BJ99" s="5">
        <v>0.0</v>
      </c>
      <c r="BK99" s="5">
        <v>0.0</v>
      </c>
      <c r="BL99" s="5">
        <v>0.0</v>
      </c>
      <c r="BM99" s="7">
        <f t="shared" si="11"/>
        <v>477.593566</v>
      </c>
      <c r="BN99" s="8"/>
    </row>
    <row r="100">
      <c r="A100" s="1" t="s">
        <v>161</v>
      </c>
      <c r="B100" s="1">
        <v>44.0</v>
      </c>
      <c r="C100" s="2">
        <f>8977/24478*100</f>
        <v>36.67374786</v>
      </c>
      <c r="D100" s="2">
        <f>1059/24478*100</f>
        <v>4.326333851</v>
      </c>
      <c r="E100" s="2">
        <f>8244/24478*100</f>
        <v>33.67922216</v>
      </c>
      <c r="F100" s="1">
        <v>0.0</v>
      </c>
      <c r="G100" s="1">
        <v>0.0</v>
      </c>
      <c r="H100" s="3">
        <f>5624/24478*100</f>
        <v>22.97573331</v>
      </c>
      <c r="I100" s="1">
        <v>0.0</v>
      </c>
      <c r="J100" s="1">
        <v>112.0</v>
      </c>
      <c r="K100" s="1">
        <v>183.0</v>
      </c>
      <c r="L100" s="1">
        <v>0.0</v>
      </c>
      <c r="M100" s="5">
        <v>0.0</v>
      </c>
      <c r="N100" s="1">
        <v>108.0</v>
      </c>
      <c r="O100" s="1">
        <v>6.0</v>
      </c>
      <c r="P100" s="1">
        <v>9.0</v>
      </c>
      <c r="Q100" s="1">
        <v>2.0</v>
      </c>
      <c r="R100" s="1">
        <v>29.0</v>
      </c>
      <c r="S100" s="1">
        <v>0.0</v>
      </c>
      <c r="T100" s="1">
        <v>29.0</v>
      </c>
      <c r="U100" s="1">
        <v>0.0</v>
      </c>
      <c r="V100" s="5">
        <v>0.0</v>
      </c>
      <c r="W100" s="1">
        <v>0.0</v>
      </c>
      <c r="X100" s="5">
        <v>19.0</v>
      </c>
      <c r="Y100" s="5">
        <v>0.0</v>
      </c>
      <c r="Z100" s="1">
        <v>3.0</v>
      </c>
      <c r="AA100" s="1">
        <v>2.0</v>
      </c>
      <c r="AB100" s="5">
        <v>0.0</v>
      </c>
      <c r="AC100" s="5">
        <v>0.0</v>
      </c>
      <c r="AD100" s="1">
        <v>3.0</v>
      </c>
      <c r="AE100" s="1">
        <v>12.0</v>
      </c>
      <c r="AF100" s="5">
        <v>0.0</v>
      </c>
      <c r="AG100" s="1">
        <v>0.0</v>
      </c>
      <c r="AH100" s="5">
        <v>0.0</v>
      </c>
      <c r="AI100" s="3">
        <v>11.0</v>
      </c>
      <c r="AJ100" s="5">
        <v>0.0</v>
      </c>
      <c r="AK100" s="5">
        <v>2.0</v>
      </c>
      <c r="AL100" s="5">
        <v>0.0</v>
      </c>
      <c r="AM100" s="5">
        <v>0.0</v>
      </c>
      <c r="AN100" s="5">
        <v>0.0</v>
      </c>
      <c r="AO100" s="5">
        <v>0.0</v>
      </c>
      <c r="AP100" s="5">
        <v>0.0</v>
      </c>
      <c r="AQ100" s="5">
        <v>0.0</v>
      </c>
      <c r="AR100" s="5">
        <v>0.0</v>
      </c>
      <c r="AS100" s="5">
        <v>0.0</v>
      </c>
      <c r="AT100" s="5">
        <v>0.0</v>
      </c>
      <c r="AU100" s="5">
        <v>0.0</v>
      </c>
      <c r="AV100" s="5">
        <v>0.0</v>
      </c>
      <c r="AW100" s="5">
        <v>0.0</v>
      </c>
      <c r="AX100" s="5">
        <v>0.0</v>
      </c>
      <c r="AY100" s="5">
        <v>0.0</v>
      </c>
      <c r="AZ100" s="5">
        <v>0.0</v>
      </c>
      <c r="BA100" s="5">
        <v>0.0</v>
      </c>
      <c r="BB100" s="5">
        <v>0.0</v>
      </c>
      <c r="BC100" s="5">
        <v>0.0</v>
      </c>
      <c r="BD100" s="5">
        <v>0.0</v>
      </c>
      <c r="BE100" s="5">
        <v>0.0</v>
      </c>
      <c r="BF100" s="5">
        <v>0.0</v>
      </c>
      <c r="BG100" s="5">
        <v>0.0</v>
      </c>
      <c r="BH100" s="5">
        <v>0.0</v>
      </c>
      <c r="BI100" s="5">
        <v>0.0</v>
      </c>
      <c r="BJ100" s="5">
        <v>0.0</v>
      </c>
      <c r="BK100" s="5">
        <v>0.0</v>
      </c>
      <c r="BL100" s="5">
        <v>0.0</v>
      </c>
      <c r="BM100" s="7">
        <f t="shared" si="11"/>
        <v>671.6550372</v>
      </c>
      <c r="BN100" s="8"/>
    </row>
    <row r="101">
      <c r="A101" s="1" t="s">
        <v>162</v>
      </c>
      <c r="B101" s="1">
        <v>523.0</v>
      </c>
      <c r="C101" s="2">
        <f>2145/58460*100</f>
        <v>3.669175505</v>
      </c>
      <c r="D101" s="2">
        <f>7986/58460*100</f>
        <v>13.66062265</v>
      </c>
      <c r="E101" s="2">
        <f>40739/58460*100</f>
        <v>69.68696545</v>
      </c>
      <c r="F101" s="1">
        <v>0.0</v>
      </c>
      <c r="G101" s="1">
        <v>6.0</v>
      </c>
      <c r="H101" s="3">
        <f>1757/58460*100</f>
        <v>3.005473828</v>
      </c>
      <c r="I101" s="1">
        <v>0.0</v>
      </c>
      <c r="J101" s="1">
        <f>727/58460*100</f>
        <v>1.243585358</v>
      </c>
      <c r="K101" s="7">
        <f>1095/58460*100</f>
        <v>1.873075607</v>
      </c>
      <c r="L101" s="1">
        <v>149.0</v>
      </c>
      <c r="M101" s="5">
        <v>16.0</v>
      </c>
      <c r="N101" s="7">
        <f>710/58460*100</f>
        <v>1.214505645</v>
      </c>
      <c r="O101" s="1">
        <v>86.0</v>
      </c>
      <c r="P101" s="1">
        <f>1102/58460*100</f>
        <v>1.885049607</v>
      </c>
      <c r="Q101" s="1">
        <v>110.0</v>
      </c>
      <c r="R101" s="1">
        <v>422.0</v>
      </c>
      <c r="S101" s="1">
        <v>16.0</v>
      </c>
      <c r="T101" s="1">
        <v>260.0</v>
      </c>
      <c r="U101" s="1">
        <v>60.0</v>
      </c>
      <c r="V101" s="5">
        <v>10.0</v>
      </c>
      <c r="W101" s="1">
        <v>22.0</v>
      </c>
      <c r="X101" s="5">
        <v>34.0</v>
      </c>
      <c r="Y101" s="5">
        <v>42.0</v>
      </c>
      <c r="Z101" s="1">
        <v>37.0</v>
      </c>
      <c r="AA101" s="1">
        <v>2.0</v>
      </c>
      <c r="AB101" s="5">
        <v>0.0</v>
      </c>
      <c r="AC101" s="5">
        <v>10.0</v>
      </c>
      <c r="AD101" s="1">
        <v>36.0</v>
      </c>
      <c r="AE101" s="1">
        <v>123.0</v>
      </c>
      <c r="AF101" s="5">
        <v>6.0</v>
      </c>
      <c r="AG101" s="1">
        <v>194.0</v>
      </c>
      <c r="AH101" s="5">
        <v>6.0</v>
      </c>
      <c r="AI101" s="3">
        <v>9.0</v>
      </c>
      <c r="AJ101" s="5">
        <v>0.0</v>
      </c>
      <c r="AK101" s="5">
        <v>5.0</v>
      </c>
      <c r="AL101" s="5">
        <v>0.0</v>
      </c>
      <c r="AM101" s="5">
        <v>0.0</v>
      </c>
      <c r="AN101" s="5">
        <v>0.0</v>
      </c>
      <c r="AO101" s="5">
        <v>15.0</v>
      </c>
      <c r="AP101" s="5">
        <v>0.0</v>
      </c>
      <c r="AQ101" s="5">
        <v>0.0</v>
      </c>
      <c r="AR101" s="5">
        <v>0.0</v>
      </c>
      <c r="AS101" s="5">
        <v>0.0</v>
      </c>
      <c r="AT101" s="5">
        <v>0.0</v>
      </c>
      <c r="AU101" s="5">
        <v>0.0</v>
      </c>
      <c r="AV101" s="5">
        <v>0.0</v>
      </c>
      <c r="AW101" s="5">
        <v>0.0</v>
      </c>
      <c r="AX101" s="5">
        <v>0.0</v>
      </c>
      <c r="AY101" s="5">
        <v>0.0</v>
      </c>
      <c r="AZ101" s="5">
        <v>0.0</v>
      </c>
      <c r="BA101" s="5">
        <v>0.0</v>
      </c>
      <c r="BB101" s="5">
        <v>0.0</v>
      </c>
      <c r="BC101" s="5">
        <v>0.0</v>
      </c>
      <c r="BD101" s="5">
        <v>0.0</v>
      </c>
      <c r="BE101" s="5">
        <v>0.0</v>
      </c>
      <c r="BF101" s="5">
        <v>0.0</v>
      </c>
      <c r="BG101" s="5">
        <v>0.0</v>
      </c>
      <c r="BH101" s="5">
        <v>0.0</v>
      </c>
      <c r="BI101" s="5">
        <v>0.0</v>
      </c>
      <c r="BJ101" s="5">
        <v>0.0</v>
      </c>
      <c r="BK101" s="5">
        <v>0.0</v>
      </c>
      <c r="BL101" s="5">
        <v>0.0</v>
      </c>
      <c r="BM101" s="7">
        <f t="shared" si="11"/>
        <v>2295.238454</v>
      </c>
      <c r="BN101" s="8"/>
    </row>
    <row r="102">
      <c r="A102" s="1" t="s">
        <v>163</v>
      </c>
      <c r="B102" s="1">
        <f>584/46088*100</f>
        <v>1.267141121</v>
      </c>
      <c r="C102" s="2">
        <f>5990/46088*100</f>
        <v>12.99687554</v>
      </c>
      <c r="D102" s="2">
        <f>3956/46088*100</f>
        <v>8.58357924</v>
      </c>
      <c r="E102" s="2">
        <f>32743/46088*100</f>
        <v>71.04452352</v>
      </c>
      <c r="F102" s="1">
        <v>8.0</v>
      </c>
      <c r="G102" s="1">
        <v>0.0</v>
      </c>
      <c r="H102" s="3">
        <f>1207/46088*100</f>
        <v>2.618902968</v>
      </c>
      <c r="I102" s="1">
        <v>0.0</v>
      </c>
      <c r="J102" s="1">
        <v>160.0</v>
      </c>
      <c r="K102" s="1">
        <v>243.0</v>
      </c>
      <c r="L102" s="1">
        <v>66.0</v>
      </c>
      <c r="M102" s="5">
        <v>25.0</v>
      </c>
      <c r="N102" s="1">
        <v>114.0</v>
      </c>
      <c r="O102" s="1">
        <v>52.0</v>
      </c>
      <c r="P102" s="1">
        <v>283.0</v>
      </c>
      <c r="Q102" s="1">
        <v>9.0</v>
      </c>
      <c r="R102" s="1">
        <v>265.0</v>
      </c>
      <c r="S102" s="1">
        <v>30.0</v>
      </c>
      <c r="T102" s="1">
        <v>99.0</v>
      </c>
      <c r="U102" s="1">
        <v>21.0</v>
      </c>
      <c r="V102" s="5">
        <v>7.0</v>
      </c>
      <c r="W102" s="1">
        <v>12.0</v>
      </c>
      <c r="X102" s="5">
        <v>0.0</v>
      </c>
      <c r="Y102" s="5">
        <v>66.0</v>
      </c>
      <c r="Z102" s="1">
        <v>0.0</v>
      </c>
      <c r="AA102" s="1">
        <v>15.0</v>
      </c>
      <c r="AB102" s="5">
        <v>0.0</v>
      </c>
      <c r="AC102" s="5">
        <v>18.0</v>
      </c>
      <c r="AD102" s="1">
        <v>6.0</v>
      </c>
      <c r="AE102" s="1">
        <v>17.0</v>
      </c>
      <c r="AF102" s="5">
        <v>5.0</v>
      </c>
      <c r="AG102" s="1">
        <v>34.0</v>
      </c>
      <c r="AH102" s="5">
        <v>0.0</v>
      </c>
      <c r="AI102" s="3">
        <v>47.0</v>
      </c>
      <c r="AJ102" s="5">
        <v>0.0</v>
      </c>
      <c r="AK102" s="5">
        <v>0.0</v>
      </c>
      <c r="AL102" s="5">
        <v>0.0</v>
      </c>
      <c r="AM102" s="5">
        <v>0.0</v>
      </c>
      <c r="AN102" s="5">
        <v>0.0</v>
      </c>
      <c r="AO102" s="5">
        <v>0.0</v>
      </c>
      <c r="AP102" s="5">
        <v>0.0</v>
      </c>
      <c r="AQ102" s="5">
        <v>0.0</v>
      </c>
      <c r="AR102" s="5">
        <v>0.0</v>
      </c>
      <c r="AS102" s="5">
        <v>0.0</v>
      </c>
      <c r="AT102" s="5">
        <v>0.0</v>
      </c>
      <c r="AU102" s="5">
        <v>0.0</v>
      </c>
      <c r="AV102" s="5">
        <v>0.0</v>
      </c>
      <c r="AW102" s="5">
        <v>0.0</v>
      </c>
      <c r="AX102" s="5">
        <v>0.0</v>
      </c>
      <c r="AY102" s="5">
        <v>0.0</v>
      </c>
      <c r="AZ102" s="5">
        <v>0.0</v>
      </c>
      <c r="BA102" s="5">
        <v>0.0</v>
      </c>
      <c r="BB102" s="5">
        <v>0.0</v>
      </c>
      <c r="BC102" s="5">
        <v>0.0</v>
      </c>
      <c r="BD102" s="5">
        <v>0.0</v>
      </c>
      <c r="BE102" s="5">
        <v>0.0</v>
      </c>
      <c r="BF102" s="5">
        <v>0.0</v>
      </c>
      <c r="BG102" s="5">
        <v>6.0</v>
      </c>
      <c r="BH102" s="5">
        <v>0.0</v>
      </c>
      <c r="BI102" s="5">
        <v>0.0</v>
      </c>
      <c r="BJ102" s="5">
        <v>0.0</v>
      </c>
      <c r="BK102" s="5">
        <v>0.0</v>
      </c>
      <c r="BL102" s="5">
        <v>0.0</v>
      </c>
      <c r="BM102" s="7">
        <f t="shared" si="11"/>
        <v>1704.511022</v>
      </c>
      <c r="BN102" s="8"/>
    </row>
    <row r="103">
      <c r="A103" s="1" t="s">
        <v>164</v>
      </c>
      <c r="B103" s="1">
        <v>96.0</v>
      </c>
      <c r="C103" s="2">
        <f>3234/34312*100</f>
        <v>9.425273957</v>
      </c>
      <c r="D103" s="2">
        <f>9092/34312*100</f>
        <v>26.49801819</v>
      </c>
      <c r="E103" s="2">
        <f>18387/34312*100</f>
        <v>53.58766612</v>
      </c>
      <c r="F103" s="1">
        <v>2.0</v>
      </c>
      <c r="G103" s="1">
        <v>0.0</v>
      </c>
      <c r="H103" s="3">
        <v>41.0</v>
      </c>
      <c r="I103" s="1">
        <v>0.0</v>
      </c>
      <c r="J103" s="1">
        <v>59.0</v>
      </c>
      <c r="K103" s="7">
        <f>1928/34312*100</f>
        <v>5.619025414</v>
      </c>
      <c r="L103" s="1">
        <v>15.0</v>
      </c>
      <c r="M103" s="5">
        <v>4.0</v>
      </c>
      <c r="N103" s="1">
        <v>61.0</v>
      </c>
      <c r="O103" s="1">
        <v>2.0</v>
      </c>
      <c r="P103" s="1">
        <v>255.0</v>
      </c>
      <c r="Q103" s="1">
        <v>22.0</v>
      </c>
      <c r="R103" s="1">
        <v>7.0</v>
      </c>
      <c r="S103" s="1">
        <v>14.0</v>
      </c>
      <c r="T103" s="1">
        <v>15.0</v>
      </c>
      <c r="U103" s="1">
        <v>26.0</v>
      </c>
      <c r="V103" s="5">
        <v>18.0</v>
      </c>
      <c r="W103" s="7">
        <f>843/34312*100</f>
        <v>2.456866402</v>
      </c>
      <c r="X103" s="5">
        <v>4.0</v>
      </c>
      <c r="Y103" s="5">
        <v>8.0</v>
      </c>
      <c r="Z103" s="1">
        <v>14.0</v>
      </c>
      <c r="AA103" s="1">
        <v>5.0</v>
      </c>
      <c r="AB103" s="5">
        <v>2.0</v>
      </c>
      <c r="AC103" s="5">
        <v>4.0</v>
      </c>
      <c r="AD103" s="1">
        <v>4.0</v>
      </c>
      <c r="AE103" s="1">
        <v>2.0</v>
      </c>
      <c r="AF103" s="5">
        <v>2.0</v>
      </c>
      <c r="AG103" s="1">
        <v>128.0</v>
      </c>
      <c r="AH103" s="5">
        <v>0.0</v>
      </c>
      <c r="AI103" s="3">
        <v>5.0</v>
      </c>
      <c r="AJ103" s="5">
        <v>0.0</v>
      </c>
      <c r="AK103" s="5">
        <v>0.0</v>
      </c>
      <c r="AL103" s="5">
        <v>0.0</v>
      </c>
      <c r="AM103" s="5">
        <v>0.0</v>
      </c>
      <c r="AN103" s="5">
        <v>0.0</v>
      </c>
      <c r="AO103" s="5">
        <v>0.0</v>
      </c>
      <c r="AP103" s="5">
        <v>0.0</v>
      </c>
      <c r="AQ103" s="5">
        <v>0.0</v>
      </c>
      <c r="AR103" s="5">
        <v>0.0</v>
      </c>
      <c r="AS103" s="5">
        <v>0.0</v>
      </c>
      <c r="AT103" s="5">
        <v>0.0</v>
      </c>
      <c r="AU103" s="5">
        <v>0.0</v>
      </c>
      <c r="AV103" s="5">
        <v>10.0</v>
      </c>
      <c r="AW103" s="5">
        <v>3.0</v>
      </c>
      <c r="AX103" s="5">
        <v>0.0</v>
      </c>
      <c r="AY103" s="5">
        <v>0.0</v>
      </c>
      <c r="AZ103" s="5">
        <v>0.0</v>
      </c>
      <c r="BA103" s="5">
        <v>0.0</v>
      </c>
      <c r="BB103" s="5">
        <v>0.0</v>
      </c>
      <c r="BC103" s="5">
        <v>0.0</v>
      </c>
      <c r="BD103" s="5">
        <v>0.0</v>
      </c>
      <c r="BE103" s="5">
        <v>0.0</v>
      </c>
      <c r="BF103" s="5">
        <v>0.0</v>
      </c>
      <c r="BG103" s="5">
        <v>0.0</v>
      </c>
      <c r="BH103" s="5">
        <v>0.0</v>
      </c>
      <c r="BI103" s="5">
        <v>0.0</v>
      </c>
      <c r="BJ103" s="5">
        <v>0.0</v>
      </c>
      <c r="BK103" s="5">
        <v>0.0</v>
      </c>
      <c r="BL103" s="5">
        <v>0.0</v>
      </c>
      <c r="BM103" s="7">
        <f t="shared" si="11"/>
        <v>925.5868501</v>
      </c>
      <c r="BN103" s="8"/>
    </row>
    <row r="104">
      <c r="A104" s="1" t="s">
        <v>165</v>
      </c>
      <c r="B104" s="1">
        <v>103.0</v>
      </c>
      <c r="C104" s="2">
        <f>3198/32521*100</f>
        <v>9.833645952</v>
      </c>
      <c r="D104" s="2">
        <f>9303/32521*100</f>
        <v>28.60613142</v>
      </c>
      <c r="E104" s="2">
        <f>16749/32521*100</f>
        <v>51.50210633</v>
      </c>
      <c r="F104" s="1">
        <v>16.0</v>
      </c>
      <c r="G104" s="1">
        <v>0.0</v>
      </c>
      <c r="H104" s="3">
        <v>48.0</v>
      </c>
      <c r="I104" s="1">
        <v>0.0</v>
      </c>
      <c r="J104" s="1">
        <v>60.0</v>
      </c>
      <c r="K104" s="1">
        <f>1834/32521*100</f>
        <v>5.639432982</v>
      </c>
      <c r="L104" s="1">
        <v>6.0</v>
      </c>
      <c r="M104" s="5">
        <v>0.0</v>
      </c>
      <c r="N104" s="1">
        <v>59.0</v>
      </c>
      <c r="O104" s="1">
        <v>23.0</v>
      </c>
      <c r="P104" s="1">
        <v>250.0</v>
      </c>
      <c r="Q104" s="1">
        <v>15.0</v>
      </c>
      <c r="R104" s="1">
        <v>0.0</v>
      </c>
      <c r="S104" s="1">
        <v>9.0</v>
      </c>
      <c r="T104" s="1">
        <v>26.0</v>
      </c>
      <c r="U104" s="1">
        <v>15.0</v>
      </c>
      <c r="V104" s="5">
        <v>16.0</v>
      </c>
      <c r="W104" s="7">
        <f>656/32521*100</f>
        <v>2.017158144</v>
      </c>
      <c r="X104" s="5">
        <v>5.0</v>
      </c>
      <c r="Y104" s="5">
        <v>2.0</v>
      </c>
      <c r="Z104" s="1">
        <v>0.0</v>
      </c>
      <c r="AA104" s="1">
        <v>7.0</v>
      </c>
      <c r="AB104" s="5">
        <v>3.0</v>
      </c>
      <c r="AC104" s="5">
        <v>4.0</v>
      </c>
      <c r="AD104" s="1">
        <v>12.0</v>
      </c>
      <c r="AE104" s="1">
        <v>7.0</v>
      </c>
      <c r="AF104" s="5">
        <v>2.0</v>
      </c>
      <c r="AG104" s="1">
        <v>78.0</v>
      </c>
      <c r="AH104" s="5">
        <v>0.0</v>
      </c>
      <c r="AI104" s="3">
        <v>4.0</v>
      </c>
      <c r="AJ104" s="5">
        <v>3.0</v>
      </c>
      <c r="AK104" s="5">
        <v>0.0</v>
      </c>
      <c r="AL104" s="5">
        <v>0.0</v>
      </c>
      <c r="AM104" s="5">
        <v>0.0</v>
      </c>
      <c r="AN104" s="5">
        <v>0.0</v>
      </c>
      <c r="AO104" s="5">
        <v>0.0</v>
      </c>
      <c r="AP104" s="5">
        <v>0.0</v>
      </c>
      <c r="AQ104" s="5">
        <v>0.0</v>
      </c>
      <c r="AR104" s="5">
        <v>0.0</v>
      </c>
      <c r="AS104" s="5">
        <v>0.0</v>
      </c>
      <c r="AT104" s="5">
        <v>0.0</v>
      </c>
      <c r="AU104" s="5">
        <v>0.0</v>
      </c>
      <c r="AV104" s="5">
        <v>6.0</v>
      </c>
      <c r="AW104" s="5">
        <v>0.0</v>
      </c>
      <c r="AX104" s="5">
        <v>0.0</v>
      </c>
      <c r="AY104" s="5">
        <v>0.0</v>
      </c>
      <c r="AZ104" s="5">
        <v>0.0</v>
      </c>
      <c r="BA104" s="5">
        <v>0.0</v>
      </c>
      <c r="BB104" s="5">
        <v>0.0</v>
      </c>
      <c r="BC104" s="5">
        <v>0.0</v>
      </c>
      <c r="BD104" s="5">
        <v>0.0</v>
      </c>
      <c r="BE104" s="5">
        <v>0.0</v>
      </c>
      <c r="BF104" s="5">
        <v>2.0</v>
      </c>
      <c r="BG104" s="5">
        <v>0.0</v>
      </c>
      <c r="BH104" s="5">
        <v>0.0</v>
      </c>
      <c r="BI104" s="5">
        <v>0.0</v>
      </c>
      <c r="BJ104" s="5">
        <v>0.0</v>
      </c>
      <c r="BK104" s="5">
        <v>0.0</v>
      </c>
      <c r="BL104" s="5">
        <v>0.0</v>
      </c>
      <c r="BM104" s="7">
        <f t="shared" si="11"/>
        <v>878.5984748</v>
      </c>
      <c r="BN104" s="8"/>
    </row>
    <row r="105">
      <c r="A105" s="1" t="s">
        <v>166</v>
      </c>
      <c r="B105" s="1">
        <v>39.0</v>
      </c>
      <c r="C105" s="2">
        <f>6355/39832*100</f>
        <v>15.95450894</v>
      </c>
      <c r="D105" s="2">
        <f>11124/39832*100</f>
        <v>27.92729464</v>
      </c>
      <c r="E105" s="2">
        <f>17813/39832*100</f>
        <v>44.72032537</v>
      </c>
      <c r="F105" s="1">
        <v>0.0</v>
      </c>
      <c r="G105" s="1">
        <v>0.0</v>
      </c>
      <c r="H105" s="3">
        <f>1030/39832*100</f>
        <v>2.585860615</v>
      </c>
      <c r="I105" s="1">
        <v>0.0</v>
      </c>
      <c r="J105" s="1">
        <f>1547/39832*100</f>
        <v>3.88381201</v>
      </c>
      <c r="K105" s="7">
        <f>444/39832*100</f>
        <v>1.114681663</v>
      </c>
      <c r="L105" s="1">
        <v>13.0</v>
      </c>
      <c r="M105" s="5">
        <v>0.0</v>
      </c>
      <c r="N105" s="1">
        <v>93.0</v>
      </c>
      <c r="O105" s="1">
        <v>4.0</v>
      </c>
      <c r="P105" s="1">
        <v>329.0</v>
      </c>
      <c r="Q105" s="1">
        <v>58.0</v>
      </c>
      <c r="R105" s="1">
        <v>3.0</v>
      </c>
      <c r="S105" s="1">
        <v>2.0</v>
      </c>
      <c r="T105" s="1">
        <v>2.0</v>
      </c>
      <c r="U105" s="1">
        <v>29.0</v>
      </c>
      <c r="V105" s="5">
        <v>22.0</v>
      </c>
      <c r="W105" s="1">
        <v>0.0</v>
      </c>
      <c r="X105" s="5">
        <v>8.0</v>
      </c>
      <c r="Y105" s="5">
        <v>6.0</v>
      </c>
      <c r="Z105" s="1">
        <v>24.0</v>
      </c>
      <c r="AA105" s="7">
        <f>769/39832*100</f>
        <v>1.930608556</v>
      </c>
      <c r="AB105" s="5">
        <v>0.0</v>
      </c>
      <c r="AC105" s="5">
        <v>0.0</v>
      </c>
      <c r="AD105" s="1">
        <v>3.0</v>
      </c>
      <c r="AE105" s="1">
        <v>44.0</v>
      </c>
      <c r="AF105" s="5">
        <v>0.0</v>
      </c>
      <c r="AG105" s="1">
        <v>4.0</v>
      </c>
      <c r="AH105" s="5">
        <v>0.0</v>
      </c>
      <c r="AI105" s="3">
        <v>67.0</v>
      </c>
      <c r="AJ105" s="5">
        <v>0.0</v>
      </c>
      <c r="AK105" s="5">
        <v>0.0</v>
      </c>
      <c r="AL105" s="5">
        <v>0.0</v>
      </c>
      <c r="AM105" s="5">
        <v>0.0</v>
      </c>
      <c r="AN105" s="5">
        <v>0.0</v>
      </c>
      <c r="AO105" s="5">
        <v>0.0</v>
      </c>
      <c r="AP105" s="5">
        <v>0.0</v>
      </c>
      <c r="AQ105" s="5">
        <v>0.0</v>
      </c>
      <c r="AR105" s="5">
        <v>0.0</v>
      </c>
      <c r="AS105" s="5">
        <v>0.0</v>
      </c>
      <c r="AT105" s="5">
        <v>0.0</v>
      </c>
      <c r="AU105" s="5">
        <v>0.0</v>
      </c>
      <c r="AV105" s="5">
        <v>0.0</v>
      </c>
      <c r="AW105" s="5">
        <v>0.0</v>
      </c>
      <c r="AX105" s="5">
        <v>0.0</v>
      </c>
      <c r="AY105" s="5">
        <v>0.0</v>
      </c>
      <c r="AZ105" s="5">
        <v>0.0</v>
      </c>
      <c r="BA105" s="5">
        <v>0.0</v>
      </c>
      <c r="BB105" s="5">
        <v>0.0</v>
      </c>
      <c r="BC105" s="5">
        <v>0.0</v>
      </c>
      <c r="BD105" s="5">
        <v>0.0</v>
      </c>
      <c r="BE105" s="5">
        <v>0.0</v>
      </c>
      <c r="BF105" s="5">
        <v>0.0</v>
      </c>
      <c r="BG105" s="5">
        <v>0.0</v>
      </c>
      <c r="BH105" s="5">
        <v>0.0</v>
      </c>
      <c r="BI105" s="5">
        <v>0.0</v>
      </c>
      <c r="BJ105" s="5">
        <v>0.0</v>
      </c>
      <c r="BK105" s="5">
        <v>0.0</v>
      </c>
      <c r="BL105" s="5">
        <v>0.0</v>
      </c>
      <c r="BM105" s="7">
        <f t="shared" si="11"/>
        <v>848.1170918</v>
      </c>
      <c r="BN105" s="8"/>
    </row>
    <row r="106">
      <c r="A106" s="1" t="s">
        <v>167</v>
      </c>
      <c r="B106" s="1">
        <v>126.0</v>
      </c>
      <c r="C106" s="2">
        <f>8473/49263*100</f>
        <v>17.19952094</v>
      </c>
      <c r="D106" s="2">
        <f>5414/49263*100</f>
        <v>10.98999249</v>
      </c>
      <c r="E106" s="2">
        <f>28085/49263*100</f>
        <v>57.0103323</v>
      </c>
      <c r="F106" s="1">
        <v>2.0</v>
      </c>
      <c r="G106" s="1">
        <v>2.0</v>
      </c>
      <c r="H106" s="3">
        <f>1385/49263*100</f>
        <v>2.811440635</v>
      </c>
      <c r="I106" s="1">
        <v>0.0</v>
      </c>
      <c r="J106" s="1">
        <f>2364/49263*100</f>
        <v>4.798733329</v>
      </c>
      <c r="K106" s="7">
        <f>1366/49263*100</f>
        <v>2.772872135</v>
      </c>
      <c r="L106" s="1">
        <v>292.0</v>
      </c>
      <c r="M106" s="5">
        <v>4.0</v>
      </c>
      <c r="N106" s="1">
        <v>291.0</v>
      </c>
      <c r="O106" s="1">
        <v>23.0</v>
      </c>
      <c r="P106" s="1">
        <v>209.0</v>
      </c>
      <c r="Q106" s="1">
        <v>191.0</v>
      </c>
      <c r="R106" s="1">
        <v>29.0</v>
      </c>
      <c r="S106" s="1">
        <v>2.0</v>
      </c>
      <c r="T106" s="1">
        <v>30.0</v>
      </c>
      <c r="U106" s="1">
        <v>88.0</v>
      </c>
      <c r="V106" s="5">
        <v>7.0</v>
      </c>
      <c r="W106" s="1">
        <v>13.0</v>
      </c>
      <c r="X106" s="5">
        <v>20.0</v>
      </c>
      <c r="Y106" s="5">
        <v>0.0</v>
      </c>
      <c r="Z106" s="1">
        <v>34.0</v>
      </c>
      <c r="AA106" s="1">
        <v>3.0</v>
      </c>
      <c r="AB106" s="5">
        <v>0.0</v>
      </c>
      <c r="AC106" s="5">
        <v>47.0</v>
      </c>
      <c r="AD106" s="1">
        <v>11.0</v>
      </c>
      <c r="AE106" s="1">
        <v>76.0</v>
      </c>
      <c r="AF106" s="5">
        <v>0.0</v>
      </c>
      <c r="AG106" s="1">
        <v>48.0</v>
      </c>
      <c r="AH106" s="5">
        <v>2.0</v>
      </c>
      <c r="AI106" s="3">
        <f>595/49263*100</f>
        <v>1.207803016</v>
      </c>
      <c r="AJ106" s="5">
        <v>0.0</v>
      </c>
      <c r="AK106" s="5">
        <v>26.0</v>
      </c>
      <c r="AL106" s="5">
        <v>0.0</v>
      </c>
      <c r="AM106" s="5">
        <v>0.0</v>
      </c>
      <c r="AN106" s="5">
        <v>0.0</v>
      </c>
      <c r="AO106" s="5">
        <v>0.0</v>
      </c>
      <c r="AP106" s="5">
        <v>3.0</v>
      </c>
      <c r="AQ106" s="5">
        <v>0.0</v>
      </c>
      <c r="AR106" s="5">
        <v>0.0</v>
      </c>
      <c r="AS106" s="5">
        <v>0.0</v>
      </c>
      <c r="AT106" s="5">
        <v>0.0</v>
      </c>
      <c r="AU106" s="5">
        <v>0.0</v>
      </c>
      <c r="AV106" s="5">
        <v>0.0</v>
      </c>
      <c r="AW106" s="5">
        <v>0.0</v>
      </c>
      <c r="AX106" s="5">
        <v>0.0</v>
      </c>
      <c r="AY106" s="5">
        <v>0.0</v>
      </c>
      <c r="AZ106" s="5">
        <v>0.0</v>
      </c>
      <c r="BA106" s="5">
        <v>2.0</v>
      </c>
      <c r="BB106" s="5">
        <v>0.0</v>
      </c>
      <c r="BC106" s="5">
        <v>0.0</v>
      </c>
      <c r="BD106" s="5">
        <v>0.0</v>
      </c>
      <c r="BE106" s="5">
        <v>0.0</v>
      </c>
      <c r="BF106" s="5">
        <v>0.0</v>
      </c>
      <c r="BG106" s="5">
        <v>0.0</v>
      </c>
      <c r="BH106" s="5">
        <v>0.0</v>
      </c>
      <c r="BI106" s="5">
        <v>0.0</v>
      </c>
      <c r="BJ106" s="5">
        <v>0.0</v>
      </c>
      <c r="BK106" s="5">
        <v>0.0</v>
      </c>
      <c r="BL106" s="5">
        <v>0.0</v>
      </c>
      <c r="BM106" s="7">
        <f t="shared" si="11"/>
        <v>1677.790695</v>
      </c>
      <c r="BN106" s="8"/>
    </row>
    <row r="107">
      <c r="A107" s="1" t="s">
        <v>168</v>
      </c>
      <c r="B107" s="1">
        <v>16.0</v>
      </c>
      <c r="C107" s="2">
        <f>2747/23032*100</f>
        <v>11.92688433</v>
      </c>
      <c r="D107" s="2">
        <f>2226/23032*100</f>
        <v>9.664814172</v>
      </c>
      <c r="E107" s="2">
        <f>16511/23032*100</f>
        <v>71.68721778</v>
      </c>
      <c r="F107" s="1">
        <v>0.0</v>
      </c>
      <c r="G107" s="1">
        <v>0.0</v>
      </c>
      <c r="H107" s="3">
        <v>159.0</v>
      </c>
      <c r="I107" s="1">
        <v>0.0</v>
      </c>
      <c r="J107" s="1">
        <v>168.0</v>
      </c>
      <c r="K107" s="1">
        <v>57.0</v>
      </c>
      <c r="L107" s="1">
        <v>3.0</v>
      </c>
      <c r="M107" s="5">
        <v>0.0</v>
      </c>
      <c r="N107" s="1">
        <v>13.0</v>
      </c>
      <c r="O107" s="1">
        <v>3.0</v>
      </c>
      <c r="P107" s="7">
        <f>869/23032*100</f>
        <v>3.773011462</v>
      </c>
      <c r="Q107" s="1">
        <v>5.0</v>
      </c>
      <c r="R107" s="1">
        <v>177.0</v>
      </c>
      <c r="S107" s="1">
        <v>0.0</v>
      </c>
      <c r="T107" s="1">
        <v>23.0</v>
      </c>
      <c r="U107" s="1">
        <v>0.0</v>
      </c>
      <c r="V107" s="5">
        <v>4.0</v>
      </c>
      <c r="W107" s="1">
        <v>0.0</v>
      </c>
      <c r="X107" s="5">
        <v>0.0</v>
      </c>
      <c r="Y107" s="5">
        <v>0.0</v>
      </c>
      <c r="Z107" s="1">
        <v>16.0</v>
      </c>
      <c r="AA107" s="1">
        <v>3.0</v>
      </c>
      <c r="AB107" s="5">
        <v>0.0</v>
      </c>
      <c r="AC107" s="5">
        <v>0.0</v>
      </c>
      <c r="AD107" s="1">
        <v>9.0</v>
      </c>
      <c r="AE107" s="1">
        <v>8.0</v>
      </c>
      <c r="AF107" s="5">
        <v>0.0</v>
      </c>
      <c r="AG107" s="1">
        <v>10.0</v>
      </c>
      <c r="AH107" s="5">
        <v>0.0</v>
      </c>
      <c r="AI107" s="3">
        <v>3.0</v>
      </c>
      <c r="AJ107" s="5">
        <v>0.0</v>
      </c>
      <c r="AK107" s="5">
        <v>2.0</v>
      </c>
      <c r="AL107" s="5">
        <v>0.0</v>
      </c>
      <c r="AM107" s="5">
        <v>0.0</v>
      </c>
      <c r="AN107" s="5">
        <v>0.0</v>
      </c>
      <c r="AO107" s="5">
        <v>0.0</v>
      </c>
      <c r="AP107" s="5">
        <v>0.0</v>
      </c>
      <c r="AQ107" s="5">
        <v>0.0</v>
      </c>
      <c r="AR107" s="5">
        <v>0.0</v>
      </c>
      <c r="AS107" s="5">
        <v>0.0</v>
      </c>
      <c r="AT107" s="5">
        <v>0.0</v>
      </c>
      <c r="AU107" s="5">
        <v>0.0</v>
      </c>
      <c r="AV107" s="5">
        <v>0.0</v>
      </c>
      <c r="AW107" s="5">
        <v>0.0</v>
      </c>
      <c r="AX107" s="5">
        <v>0.0</v>
      </c>
      <c r="AY107" s="5">
        <v>0.0</v>
      </c>
      <c r="AZ107" s="5">
        <v>0.0</v>
      </c>
      <c r="BA107" s="5">
        <v>0.0</v>
      </c>
      <c r="BB107" s="5">
        <v>0.0</v>
      </c>
      <c r="BC107" s="5">
        <v>0.0</v>
      </c>
      <c r="BD107" s="5">
        <v>0.0</v>
      </c>
      <c r="BE107" s="5">
        <v>0.0</v>
      </c>
      <c r="BF107" s="5">
        <v>0.0</v>
      </c>
      <c r="BG107" s="5">
        <v>0.0</v>
      </c>
      <c r="BH107" s="5">
        <v>0.0</v>
      </c>
      <c r="BI107" s="5">
        <v>0.0</v>
      </c>
      <c r="BJ107" s="5">
        <v>0.0</v>
      </c>
      <c r="BK107" s="5">
        <v>0.0</v>
      </c>
      <c r="BL107" s="5">
        <v>0.0</v>
      </c>
      <c r="BM107" s="7">
        <f t="shared" si="11"/>
        <v>776.0519278</v>
      </c>
      <c r="BN107" s="8"/>
    </row>
    <row r="108">
      <c r="A108" s="1" t="s">
        <v>169</v>
      </c>
      <c r="B108" s="1">
        <v>37.0</v>
      </c>
      <c r="C108" s="2">
        <f>8265/29611*100</f>
        <v>27.91192462</v>
      </c>
      <c r="D108" s="2">
        <f>1817/29611*100</f>
        <v>6.136233157</v>
      </c>
      <c r="E108" s="2">
        <f>17576/29611*100</f>
        <v>59.35632029</v>
      </c>
      <c r="F108" s="1">
        <v>0.0</v>
      </c>
      <c r="G108" s="1">
        <v>0.0</v>
      </c>
      <c r="H108" s="3">
        <f>483/29611*100</f>
        <v>1.631150586</v>
      </c>
      <c r="I108" s="1">
        <v>0.0</v>
      </c>
      <c r="J108" s="1">
        <v>104.0</v>
      </c>
      <c r="K108" s="1">
        <v>50.0</v>
      </c>
      <c r="L108" s="1">
        <v>2.0</v>
      </c>
      <c r="M108" s="5">
        <v>0.0</v>
      </c>
      <c r="N108" s="1">
        <v>19.0</v>
      </c>
      <c r="O108" s="1">
        <v>6.0</v>
      </c>
      <c r="P108" s="7">
        <f>1034/29611*100</f>
        <v>3.491945561</v>
      </c>
      <c r="Q108" s="1">
        <v>5.0</v>
      </c>
      <c r="R108" s="1">
        <v>143.0</v>
      </c>
      <c r="S108" s="1">
        <v>0.0</v>
      </c>
      <c r="T108" s="1">
        <v>22.0</v>
      </c>
      <c r="U108" s="1">
        <v>0.0</v>
      </c>
      <c r="V108" s="5">
        <v>8.0</v>
      </c>
      <c r="W108" s="1">
        <v>0.0</v>
      </c>
      <c r="X108" s="5">
        <v>0.0</v>
      </c>
      <c r="Y108" s="5">
        <v>0.0</v>
      </c>
      <c r="Z108" s="1">
        <v>7.0</v>
      </c>
      <c r="AA108" s="1">
        <v>0.0</v>
      </c>
      <c r="AB108" s="5">
        <v>0.0</v>
      </c>
      <c r="AC108" s="5">
        <v>0.0</v>
      </c>
      <c r="AD108" s="1">
        <v>10.0</v>
      </c>
      <c r="AE108" s="1">
        <v>11.0</v>
      </c>
      <c r="AF108" s="5">
        <v>0.0</v>
      </c>
      <c r="AG108" s="1">
        <v>6.0</v>
      </c>
      <c r="AH108" s="5">
        <v>0.0</v>
      </c>
      <c r="AI108" s="3">
        <v>4.0</v>
      </c>
      <c r="AJ108" s="5">
        <v>0.0</v>
      </c>
      <c r="AK108" s="5">
        <v>0.0</v>
      </c>
      <c r="AL108" s="5">
        <v>0.0</v>
      </c>
      <c r="AM108" s="5">
        <v>0.0</v>
      </c>
      <c r="AN108" s="5">
        <v>0.0</v>
      </c>
      <c r="AO108" s="5">
        <v>2.0</v>
      </c>
      <c r="AP108" s="5">
        <v>0.0</v>
      </c>
      <c r="AQ108" s="5">
        <v>0.0</v>
      </c>
      <c r="AR108" s="5">
        <v>0.0</v>
      </c>
      <c r="AS108" s="5">
        <v>0.0</v>
      </c>
      <c r="AT108" s="5">
        <v>0.0</v>
      </c>
      <c r="AU108" s="5">
        <v>0.0</v>
      </c>
      <c r="AV108" s="5">
        <v>0.0</v>
      </c>
      <c r="AW108" s="5">
        <v>0.0</v>
      </c>
      <c r="AX108" s="5">
        <v>0.0</v>
      </c>
      <c r="AY108" s="5">
        <v>0.0</v>
      </c>
      <c r="AZ108" s="5">
        <v>0.0</v>
      </c>
      <c r="BA108" s="5">
        <v>0.0</v>
      </c>
      <c r="BB108" s="5">
        <v>0.0</v>
      </c>
      <c r="BC108" s="5">
        <v>0.0</v>
      </c>
      <c r="BD108" s="5">
        <v>0.0</v>
      </c>
      <c r="BE108" s="5">
        <v>0.0</v>
      </c>
      <c r="BF108" s="5">
        <v>0.0</v>
      </c>
      <c r="BG108" s="5">
        <v>0.0</v>
      </c>
      <c r="BH108" s="5">
        <v>0.0</v>
      </c>
      <c r="BI108" s="5">
        <v>0.0</v>
      </c>
      <c r="BJ108" s="5">
        <v>0.0</v>
      </c>
      <c r="BK108" s="5">
        <v>0.0</v>
      </c>
      <c r="BL108" s="5">
        <v>0.0</v>
      </c>
      <c r="BM108" s="7">
        <f t="shared" si="11"/>
        <v>534.5275742</v>
      </c>
      <c r="BN108" s="8"/>
    </row>
    <row r="109">
      <c r="A109" s="1" t="s">
        <v>170</v>
      </c>
      <c r="B109" s="1">
        <v>57.0</v>
      </c>
      <c r="C109" s="2">
        <f>5848/17459*100</f>
        <v>33.49561831</v>
      </c>
      <c r="D109" s="2">
        <f>1536/17459*100</f>
        <v>8.79775474</v>
      </c>
      <c r="E109" s="2">
        <f>9158/17459*100</f>
        <v>52.45432155</v>
      </c>
      <c r="F109" s="1">
        <v>0.0</v>
      </c>
      <c r="G109" s="1">
        <v>0.0</v>
      </c>
      <c r="H109" s="3">
        <f>228/17459*100</f>
        <v>1.305916719</v>
      </c>
      <c r="I109" s="1">
        <v>0.0</v>
      </c>
      <c r="J109" s="1">
        <f>220/17459*100</f>
        <v>1.26009508</v>
      </c>
      <c r="K109" s="7">
        <f>214/17459*100</f>
        <v>1.22572885</v>
      </c>
      <c r="L109" s="1">
        <v>11.0</v>
      </c>
      <c r="M109" s="5">
        <v>0.0</v>
      </c>
      <c r="N109" s="1">
        <v>93.0</v>
      </c>
      <c r="O109" s="1">
        <v>0.0</v>
      </c>
      <c r="P109" s="1">
        <v>11.0</v>
      </c>
      <c r="Q109" s="1">
        <v>3.0</v>
      </c>
      <c r="R109" s="1">
        <v>18.0</v>
      </c>
      <c r="S109" s="1">
        <v>0.0</v>
      </c>
      <c r="T109" s="1">
        <v>0.0</v>
      </c>
      <c r="U109" s="1">
        <v>0.0</v>
      </c>
      <c r="V109" s="5">
        <v>0.0</v>
      </c>
      <c r="W109" s="1">
        <v>10.0</v>
      </c>
      <c r="X109" s="5">
        <v>0.0</v>
      </c>
      <c r="Y109" s="5">
        <v>3.0</v>
      </c>
      <c r="Z109" s="1">
        <v>2.0</v>
      </c>
      <c r="AA109" s="1">
        <v>0.0</v>
      </c>
      <c r="AB109" s="5">
        <v>0.0</v>
      </c>
      <c r="AC109" s="5">
        <v>0.0</v>
      </c>
      <c r="AD109" s="1">
        <v>4.0</v>
      </c>
      <c r="AE109" s="1">
        <v>18.0</v>
      </c>
      <c r="AF109" s="5">
        <v>0.0</v>
      </c>
      <c r="AG109" s="1">
        <v>8.0</v>
      </c>
      <c r="AH109" s="5">
        <v>0.0</v>
      </c>
      <c r="AI109" s="3">
        <v>17.0</v>
      </c>
      <c r="AJ109" s="5">
        <v>0.0</v>
      </c>
      <c r="AK109" s="5">
        <v>0.0</v>
      </c>
      <c r="AL109" s="5">
        <v>0.0</v>
      </c>
      <c r="AM109" s="5">
        <v>0.0</v>
      </c>
      <c r="AN109" s="5">
        <v>0.0</v>
      </c>
      <c r="AO109" s="5">
        <v>0.0</v>
      </c>
      <c r="AP109" s="5">
        <v>0.0</v>
      </c>
      <c r="AQ109" s="5">
        <v>0.0</v>
      </c>
      <c r="AR109" s="5">
        <v>0.0</v>
      </c>
      <c r="AS109" s="5">
        <v>0.0</v>
      </c>
      <c r="AT109" s="5">
        <v>0.0</v>
      </c>
      <c r="AU109" s="5">
        <v>0.0</v>
      </c>
      <c r="AV109" s="5">
        <v>0.0</v>
      </c>
      <c r="AW109" s="5">
        <v>0.0</v>
      </c>
      <c r="AX109" s="5">
        <v>0.0</v>
      </c>
      <c r="AY109" s="5">
        <v>0.0</v>
      </c>
      <c r="AZ109" s="5">
        <v>0.0</v>
      </c>
      <c r="BA109" s="5">
        <v>0.0</v>
      </c>
      <c r="BB109" s="5">
        <v>0.0</v>
      </c>
      <c r="BC109" s="5">
        <v>0.0</v>
      </c>
      <c r="BD109" s="5">
        <v>0.0</v>
      </c>
      <c r="BE109" s="5">
        <v>0.0</v>
      </c>
      <c r="BF109" s="5">
        <v>0.0</v>
      </c>
      <c r="BG109" s="5">
        <v>0.0</v>
      </c>
      <c r="BH109" s="5">
        <v>0.0</v>
      </c>
      <c r="BI109" s="5">
        <v>0.0</v>
      </c>
      <c r="BJ109" s="5">
        <v>0.0</v>
      </c>
      <c r="BK109" s="5">
        <v>0.0</v>
      </c>
      <c r="BL109" s="5">
        <v>0.0</v>
      </c>
      <c r="BM109" s="7">
        <f t="shared" si="11"/>
        <v>353.5394352</v>
      </c>
      <c r="BN109" s="8"/>
    </row>
    <row r="110">
      <c r="A110" s="1" t="s">
        <v>171</v>
      </c>
      <c r="B110" s="1">
        <v>261.0</v>
      </c>
      <c r="C110" s="2">
        <f>17032/34641*100</f>
        <v>49.16717185</v>
      </c>
      <c r="D110" s="2">
        <f>3593/34641*100</f>
        <v>10.37210242</v>
      </c>
      <c r="E110" s="2">
        <f>12339/34641*100</f>
        <v>35.61964147</v>
      </c>
      <c r="F110" s="1">
        <v>0.0</v>
      </c>
      <c r="G110" s="1">
        <v>0.0</v>
      </c>
      <c r="H110" s="3">
        <f>396/34641*100</f>
        <v>1.143154066</v>
      </c>
      <c r="I110" s="1">
        <v>0.0</v>
      </c>
      <c r="J110" s="1">
        <v>262.0</v>
      </c>
      <c r="K110" s="7">
        <f>442/34641*100</f>
        <v>1.27594469</v>
      </c>
      <c r="L110" s="1">
        <v>12.0</v>
      </c>
      <c r="M110" s="5">
        <v>0.0</v>
      </c>
      <c r="N110" s="1">
        <v>94.0</v>
      </c>
      <c r="O110" s="1">
        <v>0.0</v>
      </c>
      <c r="P110" s="1">
        <v>25.0</v>
      </c>
      <c r="Q110" s="1">
        <v>17.0</v>
      </c>
      <c r="R110" s="1">
        <v>11.0</v>
      </c>
      <c r="S110" s="1">
        <v>5.0</v>
      </c>
      <c r="T110" s="1">
        <v>2.0</v>
      </c>
      <c r="U110" s="1">
        <v>6.0</v>
      </c>
      <c r="V110" s="5">
        <v>0.0</v>
      </c>
      <c r="W110" s="1">
        <v>46.0</v>
      </c>
      <c r="X110" s="5">
        <v>5.0</v>
      </c>
      <c r="Y110" s="5">
        <v>4.0</v>
      </c>
      <c r="Z110" s="1">
        <v>0.0</v>
      </c>
      <c r="AA110" s="1">
        <v>0.0</v>
      </c>
      <c r="AB110" s="5">
        <v>0.0</v>
      </c>
      <c r="AC110" s="5">
        <v>0.0</v>
      </c>
      <c r="AD110" s="1">
        <v>9.0</v>
      </c>
      <c r="AE110" s="1">
        <v>42.0</v>
      </c>
      <c r="AF110" s="5">
        <v>0.0</v>
      </c>
      <c r="AG110" s="1">
        <v>23.0</v>
      </c>
      <c r="AH110" s="5">
        <v>4.0</v>
      </c>
      <c r="AI110" s="3">
        <v>3.0</v>
      </c>
      <c r="AJ110" s="5">
        <v>0.0</v>
      </c>
      <c r="AK110" s="5">
        <v>8.0</v>
      </c>
      <c r="AL110" s="5">
        <v>0.0</v>
      </c>
      <c r="AM110" s="5">
        <v>0.0</v>
      </c>
      <c r="AN110" s="5">
        <v>0.0</v>
      </c>
      <c r="AO110" s="5">
        <v>0.0</v>
      </c>
      <c r="AP110" s="5">
        <v>0.0</v>
      </c>
      <c r="AQ110" s="5">
        <v>0.0</v>
      </c>
      <c r="AR110" s="5">
        <v>0.0</v>
      </c>
      <c r="AS110" s="5">
        <v>0.0</v>
      </c>
      <c r="AT110" s="5">
        <v>0.0</v>
      </c>
      <c r="AU110" s="5">
        <v>0.0</v>
      </c>
      <c r="AV110" s="5">
        <v>0.0</v>
      </c>
      <c r="AW110" s="5">
        <v>0.0</v>
      </c>
      <c r="AX110" s="5">
        <v>0.0</v>
      </c>
      <c r="AY110" s="5">
        <v>0.0</v>
      </c>
      <c r="AZ110" s="5">
        <v>0.0</v>
      </c>
      <c r="BA110" s="5">
        <v>0.0</v>
      </c>
      <c r="BB110" s="5">
        <v>0.0</v>
      </c>
      <c r="BC110" s="5">
        <v>0.0</v>
      </c>
      <c r="BD110" s="5">
        <v>0.0</v>
      </c>
      <c r="BE110" s="5">
        <v>0.0</v>
      </c>
      <c r="BF110" s="5">
        <v>0.0</v>
      </c>
      <c r="BG110" s="5">
        <v>0.0</v>
      </c>
      <c r="BH110" s="5">
        <v>0.0</v>
      </c>
      <c r="BI110" s="5">
        <v>0.0</v>
      </c>
      <c r="BJ110" s="5">
        <v>0.0</v>
      </c>
      <c r="BK110" s="5">
        <v>0.0</v>
      </c>
      <c r="BL110" s="5">
        <v>0.0</v>
      </c>
      <c r="BM110" s="7">
        <f t="shared" si="11"/>
        <v>936.5780145</v>
      </c>
      <c r="BN110" s="8"/>
    </row>
    <row r="111">
      <c r="A111" s="1" t="s">
        <v>172</v>
      </c>
      <c r="B111" s="1">
        <v>45.0</v>
      </c>
      <c r="C111" s="2">
        <f>1169/19011*100</f>
        <v>6.14907159</v>
      </c>
      <c r="D111" s="2">
        <f>1726/19011*100</f>
        <v>9.07895429</v>
      </c>
      <c r="E111" s="2">
        <f>13875/19011*100</f>
        <v>72.98406186</v>
      </c>
      <c r="F111" s="1">
        <v>0.0</v>
      </c>
      <c r="G111" s="1">
        <v>2.0</v>
      </c>
      <c r="H111" s="3">
        <f>711/19011*100</f>
        <v>3.739940035</v>
      </c>
      <c r="I111" s="1">
        <v>0.0</v>
      </c>
      <c r="J111" s="1">
        <v>109.0</v>
      </c>
      <c r="K111" s="1">
        <f>879/19011*100</f>
        <v>4.623638946</v>
      </c>
      <c r="L111" s="1">
        <v>35.0</v>
      </c>
      <c r="M111" s="5">
        <v>0.0</v>
      </c>
      <c r="N111" s="1">
        <v>70.0</v>
      </c>
      <c r="O111" s="1">
        <v>0.0</v>
      </c>
      <c r="P111" s="1">
        <v>23.0</v>
      </c>
      <c r="Q111" s="1">
        <v>13.0</v>
      </c>
      <c r="R111" s="1">
        <v>22.0</v>
      </c>
      <c r="S111" s="1">
        <v>0.0</v>
      </c>
      <c r="T111" s="1">
        <v>12.0</v>
      </c>
      <c r="U111" s="7">
        <f>211/19011*100</f>
        <v>1.109883752</v>
      </c>
      <c r="V111" s="5">
        <v>0.0</v>
      </c>
      <c r="W111" s="1">
        <v>8.0</v>
      </c>
      <c r="X111" s="5">
        <v>6.0</v>
      </c>
      <c r="Y111" s="5">
        <v>0.0</v>
      </c>
      <c r="Z111" s="1">
        <v>22.0</v>
      </c>
      <c r="AA111" s="1">
        <v>0.0</v>
      </c>
      <c r="AB111" s="5">
        <v>0.0</v>
      </c>
      <c r="AC111" s="5">
        <v>0.0</v>
      </c>
      <c r="AD111" s="1">
        <v>5.0</v>
      </c>
      <c r="AE111" s="1">
        <v>0.0</v>
      </c>
      <c r="AF111" s="5">
        <v>0.0</v>
      </c>
      <c r="AG111" s="1">
        <v>12.0</v>
      </c>
      <c r="AH111" s="5">
        <v>0.0</v>
      </c>
      <c r="AI111" s="3">
        <v>46.0</v>
      </c>
      <c r="AJ111" s="5">
        <v>0.0</v>
      </c>
      <c r="AK111" s="5">
        <v>10.0</v>
      </c>
      <c r="AL111" s="5">
        <v>0.0</v>
      </c>
      <c r="AM111" s="5">
        <v>0.0</v>
      </c>
      <c r="AN111" s="5">
        <v>0.0</v>
      </c>
      <c r="AO111" s="5">
        <v>0.0</v>
      </c>
      <c r="AP111" s="5">
        <v>0.0</v>
      </c>
      <c r="AQ111" s="5">
        <v>0.0</v>
      </c>
      <c r="AR111" s="5">
        <v>0.0</v>
      </c>
      <c r="AS111" s="5">
        <v>0.0</v>
      </c>
      <c r="AT111" s="5">
        <v>0.0</v>
      </c>
      <c r="AU111" s="5">
        <v>0.0</v>
      </c>
      <c r="AV111" s="5">
        <v>0.0</v>
      </c>
      <c r="AW111" s="5">
        <v>0.0</v>
      </c>
      <c r="AX111" s="5">
        <v>0.0</v>
      </c>
      <c r="AY111" s="5">
        <v>0.0</v>
      </c>
      <c r="AZ111" s="5">
        <v>0.0</v>
      </c>
      <c r="BA111" s="5">
        <v>0.0</v>
      </c>
      <c r="BB111" s="5">
        <v>0.0</v>
      </c>
      <c r="BC111" s="5">
        <v>0.0</v>
      </c>
      <c r="BD111" s="5">
        <v>0.0</v>
      </c>
      <c r="BE111" s="5">
        <v>0.0</v>
      </c>
      <c r="BF111" s="5">
        <v>0.0</v>
      </c>
      <c r="BG111" s="5">
        <v>0.0</v>
      </c>
      <c r="BH111" s="5">
        <v>0.0</v>
      </c>
      <c r="BI111" s="5">
        <v>0.0</v>
      </c>
      <c r="BJ111" s="5">
        <v>0.0</v>
      </c>
      <c r="BK111" s="5">
        <v>0.0</v>
      </c>
      <c r="BL111" s="5">
        <v>0.0</v>
      </c>
      <c r="BM111" s="7">
        <f t="shared" si="11"/>
        <v>537.6855505</v>
      </c>
      <c r="BN111" s="8"/>
    </row>
    <row r="112">
      <c r="A112" s="1" t="s">
        <v>173</v>
      </c>
      <c r="B112" s="1">
        <f>2526/71638*100</f>
        <v>3.526061587</v>
      </c>
      <c r="C112" s="2">
        <f>6892/71638*100</f>
        <v>9.620592423</v>
      </c>
      <c r="D112" s="2">
        <f>2918/71638*100</f>
        <v>4.07325721</v>
      </c>
      <c r="E112" s="2">
        <f>38208/71638*100</f>
        <v>53.3348223</v>
      </c>
      <c r="F112" s="1">
        <v>21.0</v>
      </c>
      <c r="G112" s="1">
        <v>18.0</v>
      </c>
      <c r="H112" s="3">
        <v>444.0</v>
      </c>
      <c r="I112" s="1">
        <v>0.0</v>
      </c>
      <c r="J112" s="1">
        <f>1671/71638*100</f>
        <v>2.332560931</v>
      </c>
      <c r="K112" s="1">
        <f>7983/71638*100</f>
        <v>11.14352718</v>
      </c>
      <c r="L112" s="1">
        <v>190.0</v>
      </c>
      <c r="M112" s="5">
        <v>21.0</v>
      </c>
      <c r="N112" s="1">
        <f>1089/71638*100</f>
        <v>1.520142941</v>
      </c>
      <c r="O112" s="1">
        <v>681.0</v>
      </c>
      <c r="P112" s="1">
        <f>1702/71638*100</f>
        <v>2.375834055</v>
      </c>
      <c r="Q112" s="1">
        <f>2117/71638*100</f>
        <v>2.955135543</v>
      </c>
      <c r="R112" s="1">
        <v>527.0</v>
      </c>
      <c r="S112" s="1">
        <v>300.0</v>
      </c>
      <c r="T112" s="1">
        <v>120.0</v>
      </c>
      <c r="U112" s="1">
        <v>38.0</v>
      </c>
      <c r="V112" s="5">
        <v>88.0</v>
      </c>
      <c r="W112" s="1">
        <v>60.0</v>
      </c>
      <c r="X112" s="5">
        <v>9.0</v>
      </c>
      <c r="Y112" s="5">
        <v>70.0</v>
      </c>
      <c r="Z112" s="1">
        <v>106.0</v>
      </c>
      <c r="AA112" s="1">
        <v>168.0</v>
      </c>
      <c r="AB112" s="5">
        <v>46.0</v>
      </c>
      <c r="AC112" s="5">
        <v>56.0</v>
      </c>
      <c r="AD112" s="1">
        <v>106.0</v>
      </c>
      <c r="AE112" s="1">
        <v>699.0</v>
      </c>
      <c r="AF112" s="5">
        <v>11.0</v>
      </c>
      <c r="AG112" s="1">
        <f>2663/71638*100</f>
        <v>3.717300874</v>
      </c>
      <c r="AH112" s="5">
        <v>0.0</v>
      </c>
      <c r="AI112" s="3">
        <v>16.0</v>
      </c>
      <c r="AJ112" s="5">
        <v>0.0</v>
      </c>
      <c r="AK112" s="5">
        <v>0.0</v>
      </c>
      <c r="AL112" s="5">
        <v>0.0</v>
      </c>
      <c r="AM112" s="5">
        <v>0.0</v>
      </c>
      <c r="AN112" s="5">
        <v>0.0</v>
      </c>
      <c r="AO112" s="5">
        <v>25.0</v>
      </c>
      <c r="AP112" s="5">
        <v>4.0</v>
      </c>
      <c r="AQ112" s="5">
        <v>5.0</v>
      </c>
      <c r="AR112" s="5">
        <v>0.0</v>
      </c>
      <c r="AS112" s="5">
        <v>2.0</v>
      </c>
      <c r="AT112" s="5">
        <v>0.0</v>
      </c>
      <c r="AU112" s="5">
        <v>4.0</v>
      </c>
      <c r="AV112" s="5">
        <v>5.0</v>
      </c>
      <c r="AW112" s="5">
        <v>2.0</v>
      </c>
      <c r="AX112" s="5">
        <v>15.0</v>
      </c>
      <c r="AY112" s="5">
        <v>2.0</v>
      </c>
      <c r="AZ112" s="5">
        <v>0.0</v>
      </c>
      <c r="BA112" s="5">
        <v>0.0</v>
      </c>
      <c r="BB112" s="5">
        <v>0.0</v>
      </c>
      <c r="BC112" s="5">
        <v>0.0</v>
      </c>
      <c r="BD112" s="5">
        <v>3.0</v>
      </c>
      <c r="BE112" s="5">
        <v>7.0</v>
      </c>
      <c r="BF112" s="5">
        <v>0.0</v>
      </c>
      <c r="BG112" s="5">
        <v>0.0</v>
      </c>
      <c r="BH112" s="5">
        <v>0.0</v>
      </c>
      <c r="BI112" s="5">
        <v>0.0</v>
      </c>
      <c r="BJ112" s="5">
        <v>0.0</v>
      </c>
      <c r="BK112" s="5">
        <v>0.0</v>
      </c>
      <c r="BL112" s="5">
        <v>0.0</v>
      </c>
      <c r="BM112" s="7">
        <f t="shared" si="11"/>
        <v>3963.599235</v>
      </c>
      <c r="BN112" s="8"/>
    </row>
    <row r="113">
      <c r="A113" s="1" t="s">
        <v>174</v>
      </c>
      <c r="B113" s="1">
        <f>2181/65368*100</f>
        <v>3.336494921</v>
      </c>
      <c r="C113" s="2">
        <f>6334/65368*100</f>
        <v>9.689756456</v>
      </c>
      <c r="D113" s="2">
        <f>3448/65368*100</f>
        <v>5.274752172</v>
      </c>
      <c r="E113" s="2">
        <f>32369/65368*100</f>
        <v>49.51811284</v>
      </c>
      <c r="F113" s="1">
        <v>33.0</v>
      </c>
      <c r="G113" s="1">
        <v>44.0</v>
      </c>
      <c r="H113" s="3">
        <v>281.0</v>
      </c>
      <c r="I113" s="1">
        <v>5.0</v>
      </c>
      <c r="J113" s="1">
        <f>1657/65368*100</f>
        <v>2.534879452</v>
      </c>
      <c r="K113" s="1">
        <f>9891/65368*100</f>
        <v>15.13125688</v>
      </c>
      <c r="L113" s="1">
        <v>139.0</v>
      </c>
      <c r="M113" s="5">
        <v>42.0</v>
      </c>
      <c r="N113" s="1">
        <f>674/65368*100</f>
        <v>1.031085546</v>
      </c>
      <c r="O113" s="1">
        <v>336.0</v>
      </c>
      <c r="P113" s="1">
        <f>1558/65368*100</f>
        <v>2.383429201</v>
      </c>
      <c r="Q113" s="1">
        <f>1895/65368*100</f>
        <v>2.898971974</v>
      </c>
      <c r="R113" s="1">
        <v>266.0</v>
      </c>
      <c r="S113" s="1">
        <v>208.0</v>
      </c>
      <c r="T113" s="1">
        <v>157.0</v>
      </c>
      <c r="U113" s="1">
        <v>78.0</v>
      </c>
      <c r="V113" s="5">
        <v>98.0</v>
      </c>
      <c r="W113" s="1">
        <v>107.0</v>
      </c>
      <c r="X113" s="5">
        <v>58.0</v>
      </c>
      <c r="Y113" s="5">
        <v>135.0</v>
      </c>
      <c r="Z113" s="1">
        <v>159.0</v>
      </c>
      <c r="AA113" s="1">
        <v>204.0</v>
      </c>
      <c r="AB113" s="5">
        <v>48.0</v>
      </c>
      <c r="AC113" s="5">
        <v>59.0</v>
      </c>
      <c r="AD113" s="1">
        <v>163.0</v>
      </c>
      <c r="AE113" s="1">
        <v>359.0</v>
      </c>
      <c r="AF113" s="5">
        <v>12.0</v>
      </c>
      <c r="AG113" s="1">
        <f>2289/65368*100</f>
        <v>3.501713377</v>
      </c>
      <c r="AH113" s="5">
        <v>0.0</v>
      </c>
      <c r="AI113" s="3">
        <v>11.0</v>
      </c>
      <c r="AJ113" s="5">
        <v>7.0</v>
      </c>
      <c r="AK113" s="5">
        <v>0.0</v>
      </c>
      <c r="AL113" s="5">
        <v>0.0</v>
      </c>
      <c r="AM113" s="5">
        <v>2.0</v>
      </c>
      <c r="AN113" s="5">
        <v>0.0</v>
      </c>
      <c r="AO113" s="5">
        <v>8.0</v>
      </c>
      <c r="AP113" s="5">
        <v>3.0</v>
      </c>
      <c r="AQ113" s="5">
        <v>8.0</v>
      </c>
      <c r="AR113" s="5">
        <v>0.0</v>
      </c>
      <c r="AS113" s="5">
        <v>0.0</v>
      </c>
      <c r="AT113" s="5">
        <v>3.0</v>
      </c>
      <c r="AU113" s="5">
        <v>17.0</v>
      </c>
      <c r="AV113" s="5">
        <v>0.0</v>
      </c>
      <c r="AW113" s="5">
        <v>0.0</v>
      </c>
      <c r="AX113" s="5">
        <v>16.0</v>
      </c>
      <c r="AY113" s="5">
        <v>0.0</v>
      </c>
      <c r="AZ113" s="5">
        <v>0.0</v>
      </c>
      <c r="BA113" s="5">
        <v>0.0</v>
      </c>
      <c r="BB113" s="5">
        <v>0.0</v>
      </c>
      <c r="BC113" s="5">
        <v>0.0</v>
      </c>
      <c r="BD113" s="5">
        <v>4.0</v>
      </c>
      <c r="BE113" s="5">
        <v>2.0</v>
      </c>
      <c r="BF113" s="5">
        <v>0.0</v>
      </c>
      <c r="BG113" s="5">
        <v>0.0</v>
      </c>
      <c r="BH113" s="5">
        <v>0.0</v>
      </c>
      <c r="BI113" s="5">
        <v>0.0</v>
      </c>
      <c r="BJ113" s="5">
        <v>0.0</v>
      </c>
      <c r="BK113" s="5">
        <v>0.0</v>
      </c>
      <c r="BL113" s="5">
        <v>0.0</v>
      </c>
      <c r="BM113" s="7">
        <f t="shared" si="11"/>
        <v>3167.300453</v>
      </c>
      <c r="BN113" s="8"/>
    </row>
    <row r="114">
      <c r="A114" s="1" t="s">
        <v>175</v>
      </c>
      <c r="B114" s="1">
        <v>12.0</v>
      </c>
      <c r="C114" s="2">
        <f>1704/18182*100</f>
        <v>9.371906281</v>
      </c>
      <c r="D114" s="2">
        <f>4522/18182*100</f>
        <v>24.87075129</v>
      </c>
      <c r="E114" s="2">
        <f>9588/18182*100</f>
        <v>52.73347267</v>
      </c>
      <c r="F114" s="1">
        <v>3.0</v>
      </c>
      <c r="G114" s="1">
        <v>0.0</v>
      </c>
      <c r="H114" s="3">
        <f>215/18182*100</f>
        <v>1.182488175</v>
      </c>
      <c r="I114" s="1">
        <v>0.0</v>
      </c>
      <c r="J114" s="1">
        <f>577/18182*100</f>
        <v>3.173468265</v>
      </c>
      <c r="K114" s="1">
        <v>171.0</v>
      </c>
      <c r="L114" s="1">
        <v>19.0</v>
      </c>
      <c r="M114" s="5">
        <v>0.0</v>
      </c>
      <c r="N114" s="1">
        <v>81.0</v>
      </c>
      <c r="O114" s="1">
        <v>28.0</v>
      </c>
      <c r="P114" s="1">
        <f>929/18182*100</f>
        <v>5.109448906</v>
      </c>
      <c r="Q114" s="1">
        <v>89.0</v>
      </c>
      <c r="R114" s="1">
        <v>9.0</v>
      </c>
      <c r="S114" s="1">
        <v>10.0</v>
      </c>
      <c r="T114" s="1">
        <v>2.0</v>
      </c>
      <c r="U114" s="1">
        <v>0.0</v>
      </c>
      <c r="V114" s="5">
        <v>46.0</v>
      </c>
      <c r="W114" s="1">
        <v>0.0</v>
      </c>
      <c r="X114" s="5">
        <v>2.0</v>
      </c>
      <c r="Y114" s="5">
        <v>0.0</v>
      </c>
      <c r="Z114" s="1">
        <v>0.0</v>
      </c>
      <c r="AA114" s="1">
        <v>0.0</v>
      </c>
      <c r="AB114" s="5">
        <v>0.0</v>
      </c>
      <c r="AC114" s="5">
        <v>0.0</v>
      </c>
      <c r="AD114" s="1">
        <v>83.0</v>
      </c>
      <c r="AE114" s="1">
        <v>18.0</v>
      </c>
      <c r="AF114" s="5">
        <v>0.0</v>
      </c>
      <c r="AG114" s="1">
        <v>31.0</v>
      </c>
      <c r="AH114" s="5">
        <v>0.0</v>
      </c>
      <c r="AI114" s="3">
        <v>5.0</v>
      </c>
      <c r="AJ114" s="5">
        <v>0.0</v>
      </c>
      <c r="AK114" s="5">
        <v>32.0</v>
      </c>
      <c r="AL114" s="5">
        <v>0.0</v>
      </c>
      <c r="AM114" s="5">
        <v>0.0</v>
      </c>
      <c r="AN114" s="5">
        <v>0.0</v>
      </c>
      <c r="AO114" s="5">
        <v>2.0</v>
      </c>
      <c r="AP114" s="5">
        <v>0.0</v>
      </c>
      <c r="AQ114" s="5">
        <v>0.0</v>
      </c>
      <c r="AR114" s="5">
        <v>0.0</v>
      </c>
      <c r="AS114" s="5">
        <v>2.0</v>
      </c>
      <c r="AT114" s="5">
        <v>0.0</v>
      </c>
      <c r="AU114" s="5">
        <v>0.0</v>
      </c>
      <c r="AV114" s="5">
        <v>0.0</v>
      </c>
      <c r="AW114" s="5">
        <v>0.0</v>
      </c>
      <c r="AX114" s="5">
        <v>0.0</v>
      </c>
      <c r="AY114" s="5">
        <v>2.0</v>
      </c>
      <c r="AZ114" s="5">
        <v>0.0</v>
      </c>
      <c r="BA114" s="5">
        <v>0.0</v>
      </c>
      <c r="BB114" s="5">
        <v>0.0</v>
      </c>
      <c r="BC114" s="5">
        <v>0.0</v>
      </c>
      <c r="BD114" s="5">
        <v>0.0</v>
      </c>
      <c r="BE114" s="5">
        <v>0.0</v>
      </c>
      <c r="BF114" s="5">
        <v>0.0</v>
      </c>
      <c r="BG114" s="5">
        <v>0.0</v>
      </c>
      <c r="BH114" s="5">
        <v>0.0</v>
      </c>
      <c r="BI114" s="5">
        <v>0.0</v>
      </c>
      <c r="BJ114" s="5">
        <v>0.0</v>
      </c>
      <c r="BK114" s="5">
        <v>0.0</v>
      </c>
      <c r="BL114" s="5">
        <v>0.0</v>
      </c>
      <c r="BM114" s="7">
        <f t="shared" si="11"/>
        <v>743.4415356</v>
      </c>
      <c r="BN114" s="8"/>
    </row>
    <row r="115">
      <c r="A115" s="1" t="s">
        <v>176</v>
      </c>
      <c r="B115" s="1">
        <v>5.0</v>
      </c>
      <c r="C115" s="2">
        <f>1838/16353*100</f>
        <v>11.23952792</v>
      </c>
      <c r="D115" s="2">
        <f>6708/16353*100</f>
        <v>41.01999633</v>
      </c>
      <c r="E115" s="2">
        <f>6884/16353*100</f>
        <v>42.09625145</v>
      </c>
      <c r="F115" s="1">
        <v>0.0</v>
      </c>
      <c r="G115" s="1">
        <v>0.0</v>
      </c>
      <c r="H115" s="3">
        <v>112.0</v>
      </c>
      <c r="I115" s="1">
        <v>0.0</v>
      </c>
      <c r="J115" s="1">
        <v>34.0</v>
      </c>
      <c r="K115" s="1">
        <v>25.0</v>
      </c>
      <c r="L115" s="1">
        <v>11.0</v>
      </c>
      <c r="M115" s="5">
        <v>0.0</v>
      </c>
      <c r="N115" s="1">
        <v>2.0</v>
      </c>
      <c r="O115" s="1">
        <v>10.0</v>
      </c>
      <c r="P115" s="1">
        <f>383/16353*100</f>
        <v>2.342077906</v>
      </c>
      <c r="Q115" s="1">
        <v>26.0</v>
      </c>
      <c r="R115" s="1">
        <v>0.0</v>
      </c>
      <c r="S115" s="1">
        <v>2.0</v>
      </c>
      <c r="T115" s="1">
        <v>5.0</v>
      </c>
      <c r="U115" s="1">
        <v>7.0</v>
      </c>
      <c r="V115" s="5">
        <v>0.0</v>
      </c>
      <c r="W115" s="1">
        <v>4.0</v>
      </c>
      <c r="X115" s="5">
        <v>0.0</v>
      </c>
      <c r="Y115" s="5">
        <v>6.0</v>
      </c>
      <c r="Z115" s="1">
        <v>13.0</v>
      </c>
      <c r="AA115" s="1">
        <v>0.0</v>
      </c>
      <c r="AB115" s="5">
        <v>0.0</v>
      </c>
      <c r="AC115" s="5">
        <v>3.0</v>
      </c>
      <c r="AD115" s="7">
        <f>268/16353*100</f>
        <v>1.638843026</v>
      </c>
      <c r="AE115" s="1">
        <v>0.0</v>
      </c>
      <c r="AF115" s="5">
        <v>0.0</v>
      </c>
      <c r="AG115" s="1">
        <v>5.0</v>
      </c>
      <c r="AH115" s="5">
        <v>0.0</v>
      </c>
      <c r="AI115" s="3">
        <v>0.0</v>
      </c>
      <c r="AJ115" s="5">
        <v>2.0</v>
      </c>
      <c r="AK115" s="5">
        <v>0.0</v>
      </c>
      <c r="AL115" s="5">
        <v>0.0</v>
      </c>
      <c r="AM115" s="5">
        <v>0.0</v>
      </c>
      <c r="AN115" s="5">
        <v>0.0</v>
      </c>
      <c r="AO115" s="5">
        <v>0.0</v>
      </c>
      <c r="AP115" s="5">
        <v>0.0</v>
      </c>
      <c r="AQ115" s="5">
        <v>0.0</v>
      </c>
      <c r="AR115" s="5">
        <v>0.0</v>
      </c>
      <c r="AS115" s="5">
        <v>0.0</v>
      </c>
      <c r="AT115" s="5">
        <v>0.0</v>
      </c>
      <c r="AU115" s="5">
        <v>0.0</v>
      </c>
      <c r="AV115" s="5">
        <v>0.0</v>
      </c>
      <c r="AW115" s="5">
        <v>0.0</v>
      </c>
      <c r="AX115" s="5">
        <v>0.0</v>
      </c>
      <c r="AY115" s="5">
        <v>0.0</v>
      </c>
      <c r="AZ115" s="5">
        <v>0.0</v>
      </c>
      <c r="BA115" s="5">
        <v>0.0</v>
      </c>
      <c r="BB115" s="5">
        <v>0.0</v>
      </c>
      <c r="BC115" s="5">
        <v>0.0</v>
      </c>
      <c r="BD115" s="5">
        <v>0.0</v>
      </c>
      <c r="BE115" s="5">
        <v>0.0</v>
      </c>
      <c r="BF115" s="5">
        <v>0.0</v>
      </c>
      <c r="BG115" s="5">
        <v>0.0</v>
      </c>
      <c r="BH115" s="5">
        <v>0.0</v>
      </c>
      <c r="BI115" s="5">
        <v>0.0</v>
      </c>
      <c r="BJ115" s="5">
        <v>0.0</v>
      </c>
      <c r="BK115" s="5">
        <v>0.0</v>
      </c>
      <c r="BL115" s="5">
        <v>0.0</v>
      </c>
      <c r="BM115" s="7">
        <f t="shared" si="11"/>
        <v>370.3366966</v>
      </c>
      <c r="BN115" s="8"/>
    </row>
    <row r="116">
      <c r="A116" s="1" t="s">
        <v>177</v>
      </c>
      <c r="B116" s="1">
        <f>3701/74299*100</f>
        <v>4.981224512</v>
      </c>
      <c r="C116" s="2">
        <f>17011/74299*100</f>
        <v>22.89532834</v>
      </c>
      <c r="D116" s="2">
        <f>5381/74299*100</f>
        <v>7.242358578</v>
      </c>
      <c r="E116" s="2">
        <f>41400/74299*100</f>
        <v>55.72080378</v>
      </c>
      <c r="F116" s="1">
        <v>11.0</v>
      </c>
      <c r="G116" s="1">
        <v>85.0</v>
      </c>
      <c r="H116" s="3">
        <f>3237/74299*100</f>
        <v>4.356720817</v>
      </c>
      <c r="I116" s="1">
        <v>0.0</v>
      </c>
      <c r="J116" s="1">
        <v>327.0</v>
      </c>
      <c r="K116" s="1">
        <f>1350/74299*100</f>
        <v>1.816982732</v>
      </c>
      <c r="L116" s="1">
        <v>225.0</v>
      </c>
      <c r="M116" s="5">
        <v>21.0</v>
      </c>
      <c r="N116" s="1">
        <v>126.0</v>
      </c>
      <c r="O116" s="1">
        <v>59.0</v>
      </c>
      <c r="P116" s="1">
        <v>407.0</v>
      </c>
      <c r="Q116" s="1">
        <v>14.0</v>
      </c>
      <c r="R116" s="1">
        <v>38.0</v>
      </c>
      <c r="S116" s="1">
        <v>207.0</v>
      </c>
      <c r="T116" s="1">
        <v>7.0</v>
      </c>
      <c r="U116" s="1">
        <v>11.0</v>
      </c>
      <c r="V116" s="5">
        <v>24.0</v>
      </c>
      <c r="W116" s="1">
        <v>0.0</v>
      </c>
      <c r="X116" s="5">
        <v>29.0</v>
      </c>
      <c r="Y116" s="5">
        <v>2.0</v>
      </c>
      <c r="Z116" s="1">
        <v>80.0</v>
      </c>
      <c r="AA116" s="1">
        <v>76.0</v>
      </c>
      <c r="AB116" s="5">
        <v>44.0</v>
      </c>
      <c r="AC116" s="5">
        <v>52.0</v>
      </c>
      <c r="AD116" s="1">
        <v>74.0</v>
      </c>
      <c r="AE116" s="1">
        <v>134.0</v>
      </c>
      <c r="AF116" s="5">
        <v>37.0</v>
      </c>
      <c r="AG116" s="1">
        <v>114.0</v>
      </c>
      <c r="AH116" s="5">
        <v>0.0</v>
      </c>
      <c r="AI116" s="3">
        <v>2.0</v>
      </c>
      <c r="AJ116" s="5">
        <v>0.0</v>
      </c>
      <c r="AK116" s="5">
        <v>0.0</v>
      </c>
      <c r="AL116" s="5">
        <v>2.0</v>
      </c>
      <c r="AM116" s="5">
        <v>4.0</v>
      </c>
      <c r="AN116" s="5">
        <v>0.0</v>
      </c>
      <c r="AO116" s="5">
        <v>5.0</v>
      </c>
      <c r="AP116" s="5">
        <v>0.0</v>
      </c>
      <c r="AQ116" s="5">
        <v>0.0</v>
      </c>
      <c r="AR116" s="5">
        <v>0.0</v>
      </c>
      <c r="AS116" s="5">
        <v>0.0</v>
      </c>
      <c r="AT116" s="5">
        <v>0.0</v>
      </c>
      <c r="AU116" s="5">
        <v>0.0</v>
      </c>
      <c r="AV116" s="5">
        <v>0.0</v>
      </c>
      <c r="AW116" s="5">
        <v>0.0</v>
      </c>
      <c r="AX116" s="5">
        <v>2.0</v>
      </c>
      <c r="AY116" s="5">
        <v>0.0</v>
      </c>
      <c r="AZ116" s="5">
        <v>0.0</v>
      </c>
      <c r="BA116" s="5">
        <v>0.0</v>
      </c>
      <c r="BB116" s="5">
        <v>0.0</v>
      </c>
      <c r="BC116" s="5">
        <v>0.0</v>
      </c>
      <c r="BD116" s="5">
        <v>0.0</v>
      </c>
      <c r="BE116" s="5">
        <v>0.0</v>
      </c>
      <c r="BF116" s="5">
        <v>0.0</v>
      </c>
      <c r="BG116" s="5">
        <v>0.0</v>
      </c>
      <c r="BH116" s="5">
        <v>0.0</v>
      </c>
      <c r="BI116" s="5">
        <v>0.0</v>
      </c>
      <c r="BJ116" s="5">
        <v>0.0</v>
      </c>
      <c r="BK116" s="5">
        <v>0.0</v>
      </c>
      <c r="BL116" s="5">
        <v>0.0</v>
      </c>
      <c r="BM116" s="7">
        <f t="shared" si="11"/>
        <v>2316.013419</v>
      </c>
    </row>
    <row r="117">
      <c r="A117" s="1" t="s">
        <v>178</v>
      </c>
      <c r="B117" s="1">
        <v>38.0</v>
      </c>
      <c r="C117" s="2">
        <f>4597/20410*100</f>
        <v>22.52327291</v>
      </c>
      <c r="D117" s="2">
        <f>1907/20410*100</f>
        <v>9.343459089</v>
      </c>
      <c r="E117" s="2">
        <f>12066/20410*100</f>
        <v>59.11807937</v>
      </c>
      <c r="F117" s="1">
        <v>0.0</v>
      </c>
      <c r="G117" s="1">
        <v>0.0</v>
      </c>
      <c r="H117" s="3">
        <f>222/20410*100</f>
        <v>1.087702107</v>
      </c>
      <c r="I117" s="1">
        <v>0.0</v>
      </c>
      <c r="J117" s="1">
        <f>245/20410*100</f>
        <v>1.200391965</v>
      </c>
      <c r="K117" s="7">
        <f>202/20410*100</f>
        <v>0.989710926</v>
      </c>
      <c r="L117" s="1">
        <v>68.0</v>
      </c>
      <c r="M117" s="5">
        <v>0.0</v>
      </c>
      <c r="N117" s="1">
        <v>40.0</v>
      </c>
      <c r="O117" s="1">
        <v>8.0</v>
      </c>
      <c r="P117" s="7">
        <f>864/20410*100</f>
        <v>4.23321901</v>
      </c>
      <c r="Q117" s="1">
        <v>0.0</v>
      </c>
      <c r="R117" s="1">
        <v>38.0</v>
      </c>
      <c r="S117" s="1">
        <v>2.0</v>
      </c>
      <c r="T117" s="1">
        <v>0.0</v>
      </c>
      <c r="U117" s="1">
        <v>0.0</v>
      </c>
      <c r="V117" s="5">
        <v>2.0</v>
      </c>
      <c r="W117" s="1">
        <v>2.0</v>
      </c>
      <c r="X117" s="5">
        <v>6.0</v>
      </c>
      <c r="Y117" s="5">
        <v>0.0</v>
      </c>
      <c r="Z117" s="1">
        <v>0.0</v>
      </c>
      <c r="AA117" s="1">
        <v>3.0</v>
      </c>
      <c r="AB117" s="5">
        <v>0.0</v>
      </c>
      <c r="AC117" s="5">
        <v>0.0</v>
      </c>
      <c r="AD117" s="1">
        <v>56.0</v>
      </c>
      <c r="AE117" s="1">
        <v>6.0</v>
      </c>
      <c r="AF117" s="5">
        <v>0.0</v>
      </c>
      <c r="AG117" s="1">
        <v>0.0</v>
      </c>
      <c r="AH117" s="5">
        <v>0.0</v>
      </c>
      <c r="AI117" s="3">
        <v>38.0</v>
      </c>
      <c r="AJ117" s="5">
        <v>0.0</v>
      </c>
      <c r="AK117" s="5">
        <v>0.0</v>
      </c>
      <c r="AL117" s="5">
        <v>0.0</v>
      </c>
      <c r="AM117" s="5">
        <v>0.0</v>
      </c>
      <c r="AN117" s="5">
        <v>0.0</v>
      </c>
      <c r="AO117" s="5">
        <v>0.0</v>
      </c>
      <c r="AP117" s="5">
        <v>0.0</v>
      </c>
      <c r="AQ117" s="5">
        <v>0.0</v>
      </c>
      <c r="AR117" s="5">
        <v>0.0</v>
      </c>
      <c r="AS117" s="5">
        <v>0.0</v>
      </c>
      <c r="AT117" s="5">
        <v>0.0</v>
      </c>
      <c r="AU117" s="5">
        <v>0.0</v>
      </c>
      <c r="AV117" s="5">
        <v>0.0</v>
      </c>
      <c r="AW117" s="5">
        <v>0.0</v>
      </c>
      <c r="AX117" s="5">
        <v>0.0</v>
      </c>
      <c r="AY117" s="5">
        <v>0.0</v>
      </c>
      <c r="AZ117" s="5">
        <v>0.0</v>
      </c>
      <c r="BA117" s="5">
        <v>0.0</v>
      </c>
      <c r="BB117" s="5">
        <v>0.0</v>
      </c>
      <c r="BC117" s="5">
        <v>0.0</v>
      </c>
      <c r="BD117" s="5">
        <v>0.0</v>
      </c>
      <c r="BE117" s="5">
        <v>0.0</v>
      </c>
      <c r="BF117" s="5">
        <v>0.0</v>
      </c>
      <c r="BG117" s="5">
        <v>0.0</v>
      </c>
      <c r="BH117" s="5">
        <v>0.0</v>
      </c>
      <c r="BI117" s="5">
        <v>0.0</v>
      </c>
      <c r="BJ117" s="5">
        <v>0.0</v>
      </c>
      <c r="BK117" s="5">
        <v>0.0</v>
      </c>
      <c r="BL117" s="5">
        <v>0.0</v>
      </c>
      <c r="BM117" s="7">
        <f t="shared" si="11"/>
        <v>405.4958354</v>
      </c>
      <c r="BN117" s="8"/>
    </row>
    <row r="118">
      <c r="A118" s="1" t="s">
        <v>179</v>
      </c>
      <c r="B118" s="1">
        <v>85.0</v>
      </c>
      <c r="C118" s="2">
        <f>5993/34477*100</f>
        <v>17.38260289</v>
      </c>
      <c r="D118" s="2">
        <f>4445/34477*100</f>
        <v>12.89265307</v>
      </c>
      <c r="E118" s="2">
        <f>20930/34477*100</f>
        <v>60.70713809</v>
      </c>
      <c r="F118" s="1">
        <v>0.0</v>
      </c>
      <c r="G118" s="1">
        <v>0.0</v>
      </c>
      <c r="H118" s="3">
        <v>245.0</v>
      </c>
      <c r="I118" s="1">
        <v>0.0</v>
      </c>
      <c r="J118" s="1">
        <v>124.0</v>
      </c>
      <c r="K118" s="7">
        <f>716/34477*100</f>
        <v>2.076746817</v>
      </c>
      <c r="L118" s="1">
        <v>95.0</v>
      </c>
      <c r="M118" s="5">
        <v>0.0</v>
      </c>
      <c r="N118" s="1">
        <v>57.0</v>
      </c>
      <c r="O118" s="1">
        <v>2.0</v>
      </c>
      <c r="P118" s="7">
        <f>1476/34477*100</f>
        <v>4.281114946</v>
      </c>
      <c r="Q118" s="1">
        <v>3.0</v>
      </c>
      <c r="R118" s="1">
        <v>66.0</v>
      </c>
      <c r="S118" s="1">
        <v>11.0</v>
      </c>
      <c r="T118" s="1">
        <v>0.0</v>
      </c>
      <c r="U118" s="1">
        <v>0.0</v>
      </c>
      <c r="V118" s="5">
        <v>7.0</v>
      </c>
      <c r="W118" s="1">
        <v>0.0</v>
      </c>
      <c r="X118" s="5">
        <v>0.0</v>
      </c>
      <c r="Y118" s="5">
        <v>0.0</v>
      </c>
      <c r="Z118" s="1">
        <v>0.0</v>
      </c>
      <c r="AA118" s="1">
        <v>2.0</v>
      </c>
      <c r="AB118" s="5">
        <v>0.0</v>
      </c>
      <c r="AC118" s="5">
        <v>0.0</v>
      </c>
      <c r="AD118" s="1">
        <v>133.0</v>
      </c>
      <c r="AE118" s="1">
        <v>28.0</v>
      </c>
      <c r="AF118" s="5">
        <v>0.0</v>
      </c>
      <c r="AG118" s="1">
        <v>4.0</v>
      </c>
      <c r="AH118" s="5">
        <v>2.0</v>
      </c>
      <c r="AI118" s="3">
        <v>50.0</v>
      </c>
      <c r="AJ118" s="5">
        <v>0.0</v>
      </c>
      <c r="AK118" s="5">
        <v>3.0</v>
      </c>
      <c r="AL118" s="5">
        <v>0.0</v>
      </c>
      <c r="AM118" s="5">
        <v>0.0</v>
      </c>
      <c r="AN118" s="5">
        <v>0.0</v>
      </c>
      <c r="AO118" s="5">
        <v>0.0</v>
      </c>
      <c r="AP118" s="5">
        <v>0.0</v>
      </c>
      <c r="AQ118" s="5">
        <v>0.0</v>
      </c>
      <c r="AR118" s="5">
        <v>0.0</v>
      </c>
      <c r="AS118" s="5">
        <v>0.0</v>
      </c>
      <c r="AT118" s="5">
        <v>0.0</v>
      </c>
      <c r="AU118" s="5">
        <v>0.0</v>
      </c>
      <c r="AV118" s="5">
        <v>0.0</v>
      </c>
      <c r="AW118" s="5">
        <v>0.0</v>
      </c>
      <c r="AX118" s="5">
        <v>0.0</v>
      </c>
      <c r="AY118" s="5">
        <v>0.0</v>
      </c>
      <c r="AZ118" s="5">
        <v>0.0</v>
      </c>
      <c r="BA118" s="5">
        <v>0.0</v>
      </c>
      <c r="BB118" s="5">
        <v>0.0</v>
      </c>
      <c r="BC118" s="5">
        <v>0.0</v>
      </c>
      <c r="BD118" s="5">
        <v>0.0</v>
      </c>
      <c r="BE118" s="5">
        <v>0.0</v>
      </c>
      <c r="BF118" s="5">
        <v>0.0</v>
      </c>
      <c r="BG118" s="5">
        <v>0.0</v>
      </c>
      <c r="BH118" s="5">
        <v>0.0</v>
      </c>
      <c r="BI118" s="5">
        <v>0.0</v>
      </c>
      <c r="BJ118" s="5">
        <v>0.0</v>
      </c>
      <c r="BK118" s="5">
        <v>0.0</v>
      </c>
      <c r="BL118" s="5">
        <v>0.0</v>
      </c>
      <c r="BM118" s="7">
        <f t="shared" si="11"/>
        <v>1014.340256</v>
      </c>
      <c r="BN118" s="8"/>
    </row>
    <row r="119">
      <c r="A119" s="1" t="s">
        <v>180</v>
      </c>
      <c r="B119" s="1">
        <f>2452/44921*100</f>
        <v>5.458471539</v>
      </c>
      <c r="C119" s="2">
        <f>2264/44921*100</f>
        <v>5.039959039</v>
      </c>
      <c r="D119" s="2">
        <f>7708/44921*100</f>
        <v>17.15901249</v>
      </c>
      <c r="E119" s="2">
        <f>30061/44921*100</f>
        <v>66.91970348</v>
      </c>
      <c r="F119" s="1">
        <v>12.0</v>
      </c>
      <c r="G119" s="1">
        <v>44.0</v>
      </c>
      <c r="H119" s="3">
        <f>494/44921*100</f>
        <v>1.099708377</v>
      </c>
      <c r="I119" s="1">
        <v>0.0</v>
      </c>
      <c r="J119" s="1">
        <v>105.0</v>
      </c>
      <c r="K119" s="7">
        <f>500/44921*100</f>
        <v>1.113065159</v>
      </c>
      <c r="L119" s="1">
        <v>12.0</v>
      </c>
      <c r="M119" s="5">
        <v>38.0</v>
      </c>
      <c r="N119" s="1">
        <v>70.0</v>
      </c>
      <c r="O119" s="1">
        <v>58.0</v>
      </c>
      <c r="P119" s="1">
        <v>202.0</v>
      </c>
      <c r="Q119" s="1">
        <v>52.0</v>
      </c>
      <c r="R119" s="1">
        <v>68.0</v>
      </c>
      <c r="S119" s="1">
        <v>287.0</v>
      </c>
      <c r="T119" s="1">
        <v>9.0</v>
      </c>
      <c r="U119" s="1">
        <v>9.0</v>
      </c>
      <c r="V119" s="5">
        <v>112.0</v>
      </c>
      <c r="W119" s="1">
        <v>12.0</v>
      </c>
      <c r="X119" s="5">
        <v>9.0</v>
      </c>
      <c r="Y119" s="5">
        <v>41.0</v>
      </c>
      <c r="Z119" s="1">
        <v>59.0</v>
      </c>
      <c r="AA119" s="1">
        <v>10.0</v>
      </c>
      <c r="AB119" s="5">
        <v>13.0</v>
      </c>
      <c r="AC119" s="5">
        <v>35.0</v>
      </c>
      <c r="AD119" s="1">
        <v>7.0</v>
      </c>
      <c r="AE119" s="1">
        <v>0.0</v>
      </c>
      <c r="AF119" s="5">
        <v>0.0</v>
      </c>
      <c r="AG119" s="1">
        <v>123.0</v>
      </c>
      <c r="AH119" s="5">
        <v>0.0</v>
      </c>
      <c r="AI119" s="3">
        <v>29.0</v>
      </c>
      <c r="AJ119" s="5">
        <v>0.0</v>
      </c>
      <c r="AK119" s="5">
        <v>0.0</v>
      </c>
      <c r="AL119" s="5">
        <v>0.0</v>
      </c>
      <c r="AM119" s="5">
        <v>8.0</v>
      </c>
      <c r="AN119" s="5">
        <v>0.0</v>
      </c>
      <c r="AO119" s="5">
        <v>0.0</v>
      </c>
      <c r="AP119" s="5">
        <v>0.0</v>
      </c>
      <c r="AQ119" s="5">
        <v>2.0</v>
      </c>
      <c r="AR119" s="5">
        <v>0.0</v>
      </c>
      <c r="AS119" s="5">
        <v>0.0</v>
      </c>
      <c r="AT119" s="5">
        <v>0.0</v>
      </c>
      <c r="AU119" s="5">
        <v>0.0</v>
      </c>
      <c r="AV119" s="5">
        <v>12.0</v>
      </c>
      <c r="AW119" s="5">
        <v>0.0</v>
      </c>
      <c r="AX119" s="5">
        <v>0.0</v>
      </c>
      <c r="AY119" s="5">
        <v>0.0</v>
      </c>
      <c r="AZ119" s="5">
        <v>0.0</v>
      </c>
      <c r="BA119" s="5">
        <v>0.0</v>
      </c>
      <c r="BB119" s="5">
        <v>0.0</v>
      </c>
      <c r="BC119" s="5">
        <v>0.0</v>
      </c>
      <c r="BD119" s="5">
        <v>0.0</v>
      </c>
      <c r="BE119" s="5">
        <v>4.0</v>
      </c>
      <c r="BF119" s="5">
        <v>0.0</v>
      </c>
      <c r="BG119" s="5">
        <v>0.0</v>
      </c>
      <c r="BH119" s="5">
        <v>0.0</v>
      </c>
      <c r="BI119" s="5">
        <v>0.0</v>
      </c>
      <c r="BJ119" s="5">
        <v>0.0</v>
      </c>
      <c r="BK119" s="5">
        <v>0.0</v>
      </c>
      <c r="BL119" s="5">
        <v>0.0</v>
      </c>
      <c r="BM119" s="7">
        <f t="shared" si="11"/>
        <v>1538.78992</v>
      </c>
      <c r="BN119" s="8"/>
    </row>
    <row r="120">
      <c r="A120" s="1" t="s">
        <v>181</v>
      </c>
      <c r="B120" s="1">
        <f>2366/73965*100</f>
        <v>3.198810248</v>
      </c>
      <c r="C120" s="2">
        <f>5465/73965*100</f>
        <v>7.388629757</v>
      </c>
      <c r="D120" s="2">
        <f>17377/73965*100</f>
        <v>23.49354424</v>
      </c>
      <c r="E120" s="2">
        <f>39065/73965*100</f>
        <v>52.81552085</v>
      </c>
      <c r="F120" s="1">
        <v>3.0</v>
      </c>
      <c r="G120" s="1">
        <v>182.0</v>
      </c>
      <c r="H120" s="3">
        <f>4903/73965*100</f>
        <v>6.628810924</v>
      </c>
      <c r="I120" s="1">
        <v>0.0</v>
      </c>
      <c r="J120" s="1">
        <v>64.0</v>
      </c>
      <c r="K120" s="1">
        <f>1793/73965*100</f>
        <v>2.424119516</v>
      </c>
      <c r="L120" s="1">
        <v>50.0</v>
      </c>
      <c r="M120" s="5">
        <v>22.0</v>
      </c>
      <c r="N120" s="1">
        <v>125.0</v>
      </c>
      <c r="O120" s="1">
        <v>156.0</v>
      </c>
      <c r="P120" s="1">
        <v>255.0</v>
      </c>
      <c r="Q120" s="1">
        <v>129.0</v>
      </c>
      <c r="R120" s="1">
        <v>248.0</v>
      </c>
      <c r="S120" s="1">
        <v>277.0</v>
      </c>
      <c r="T120" s="1">
        <v>28.0</v>
      </c>
      <c r="U120" s="1">
        <v>18.0</v>
      </c>
      <c r="V120" s="5">
        <v>222.0</v>
      </c>
      <c r="W120" s="1">
        <v>3.0</v>
      </c>
      <c r="X120" s="5">
        <v>9.0</v>
      </c>
      <c r="Y120" s="5">
        <v>82.0</v>
      </c>
      <c r="Z120" s="1">
        <v>155.0</v>
      </c>
      <c r="AA120" s="1">
        <v>48.0</v>
      </c>
      <c r="AB120" s="5">
        <v>80.0</v>
      </c>
      <c r="AC120" s="5">
        <v>24.0</v>
      </c>
      <c r="AD120" s="1">
        <v>73.0</v>
      </c>
      <c r="AE120" s="1">
        <v>26.0</v>
      </c>
      <c r="AF120" s="5">
        <v>0.0</v>
      </c>
      <c r="AG120" s="1">
        <v>496.0</v>
      </c>
      <c r="AH120" s="5">
        <v>0.0</v>
      </c>
      <c r="AI120" s="3">
        <v>184.0</v>
      </c>
      <c r="AJ120" s="5">
        <v>0.0</v>
      </c>
      <c r="AK120" s="5">
        <v>3.0</v>
      </c>
      <c r="AL120" s="5">
        <v>0.0</v>
      </c>
      <c r="AM120" s="5">
        <v>3.0</v>
      </c>
      <c r="AN120" s="5">
        <v>0.0</v>
      </c>
      <c r="AO120" s="5">
        <v>10.0</v>
      </c>
      <c r="AP120" s="5">
        <v>0.0</v>
      </c>
      <c r="AQ120" s="5">
        <v>9.0</v>
      </c>
      <c r="AR120" s="5">
        <v>0.0</v>
      </c>
      <c r="AS120" s="5">
        <v>0.0</v>
      </c>
      <c r="AT120" s="5">
        <v>0.0</v>
      </c>
      <c r="AU120" s="5">
        <v>0.0</v>
      </c>
      <c r="AV120" s="5">
        <v>9.0</v>
      </c>
      <c r="AW120" s="5">
        <v>0.0</v>
      </c>
      <c r="AX120" s="5">
        <v>0.0</v>
      </c>
      <c r="AY120" s="5">
        <v>0.0</v>
      </c>
      <c r="AZ120" s="5">
        <v>0.0</v>
      </c>
      <c r="BA120" s="5">
        <v>0.0</v>
      </c>
      <c r="BB120" s="5">
        <v>0.0</v>
      </c>
      <c r="BC120" s="5">
        <v>0.0</v>
      </c>
      <c r="BD120" s="5">
        <v>0.0</v>
      </c>
      <c r="BE120" s="5">
        <v>3.0</v>
      </c>
      <c r="BF120" s="5">
        <v>0.0</v>
      </c>
      <c r="BG120" s="5">
        <v>0.0</v>
      </c>
      <c r="BH120" s="5">
        <v>0.0</v>
      </c>
      <c r="BI120" s="5">
        <v>0.0</v>
      </c>
      <c r="BJ120" s="5">
        <v>0.0</v>
      </c>
      <c r="BK120" s="5">
        <v>0.0</v>
      </c>
      <c r="BL120" s="5">
        <v>0.0</v>
      </c>
      <c r="BM120" s="7">
        <f t="shared" si="11"/>
        <v>3091.949436</v>
      </c>
      <c r="BN120" s="8"/>
    </row>
    <row r="121">
      <c r="A121" s="1" t="s">
        <v>182</v>
      </c>
      <c r="B121" s="1">
        <v>308.0</v>
      </c>
      <c r="C121" s="2">
        <f>10982/56736*100</f>
        <v>19.35631698</v>
      </c>
      <c r="D121" s="2">
        <f>6538/56736*100</f>
        <v>11.52354766</v>
      </c>
      <c r="E121" s="2">
        <f>33611/56736*100</f>
        <v>59.24104625</v>
      </c>
      <c r="F121" s="1">
        <v>5.0</v>
      </c>
      <c r="G121" s="1">
        <v>27.0</v>
      </c>
      <c r="H121" s="3">
        <f>716/56736*100</f>
        <v>1.261985336</v>
      </c>
      <c r="I121" s="1">
        <v>0.0</v>
      </c>
      <c r="J121" s="7">
        <f>717/56736*100</f>
        <v>1.263747885</v>
      </c>
      <c r="K121" s="7">
        <f>790/56736*100</f>
        <v>1.392413988</v>
      </c>
      <c r="L121" s="1">
        <v>221.0</v>
      </c>
      <c r="M121" s="5">
        <v>0.0</v>
      </c>
      <c r="N121" s="1">
        <v>547.0</v>
      </c>
      <c r="O121" s="1">
        <v>18.0</v>
      </c>
      <c r="P121" s="1">
        <v>215.0</v>
      </c>
      <c r="Q121" s="1">
        <v>190.0</v>
      </c>
      <c r="R121" s="1">
        <v>19.0</v>
      </c>
      <c r="S121" s="1">
        <v>0.0</v>
      </c>
      <c r="T121" s="1">
        <v>19.0</v>
      </c>
      <c r="U121" s="1">
        <v>63.0</v>
      </c>
      <c r="V121" s="5">
        <v>11.0</v>
      </c>
      <c r="W121" s="1">
        <v>5.0</v>
      </c>
      <c r="X121" s="5">
        <v>16.0</v>
      </c>
      <c r="Y121" s="5">
        <v>10.0</v>
      </c>
      <c r="Z121" s="1">
        <v>302.0</v>
      </c>
      <c r="AA121" s="1">
        <v>13.0</v>
      </c>
      <c r="AB121" s="5">
        <v>10.0</v>
      </c>
      <c r="AC121" s="5">
        <v>21.0</v>
      </c>
      <c r="AD121" s="7">
        <f>1062/56736*100</f>
        <v>1.871827411</v>
      </c>
      <c r="AE121" s="1">
        <v>16.0</v>
      </c>
      <c r="AF121" s="5">
        <v>2.0</v>
      </c>
      <c r="AG121" s="1">
        <v>114.0</v>
      </c>
      <c r="AH121" s="5">
        <v>3.0</v>
      </c>
      <c r="AI121" s="3">
        <v>93.0</v>
      </c>
      <c r="AJ121" s="5">
        <v>0.0</v>
      </c>
      <c r="AK121" s="5">
        <v>68.0</v>
      </c>
      <c r="AL121" s="5">
        <v>0.0</v>
      </c>
      <c r="AM121" s="5">
        <v>2.0</v>
      </c>
      <c r="AN121" s="5">
        <v>0.0</v>
      </c>
      <c r="AO121" s="5">
        <v>0.0</v>
      </c>
      <c r="AP121" s="5">
        <v>0.0</v>
      </c>
      <c r="AQ121" s="5">
        <v>0.0</v>
      </c>
      <c r="AR121" s="5">
        <v>0.0</v>
      </c>
      <c r="AS121" s="5">
        <v>2.0</v>
      </c>
      <c r="AT121" s="5">
        <v>0.0</v>
      </c>
      <c r="AU121" s="5">
        <v>0.0</v>
      </c>
      <c r="AV121" s="5">
        <v>0.0</v>
      </c>
      <c r="AW121" s="5">
        <v>0.0</v>
      </c>
      <c r="AX121" s="5">
        <v>0.0</v>
      </c>
      <c r="AY121" s="5">
        <v>0.0</v>
      </c>
      <c r="AZ121" s="5">
        <v>0.0</v>
      </c>
      <c r="BA121" s="5">
        <v>0.0</v>
      </c>
      <c r="BB121" s="5">
        <v>0.0</v>
      </c>
      <c r="BC121" s="5">
        <v>0.0</v>
      </c>
      <c r="BD121" s="5">
        <v>0.0</v>
      </c>
      <c r="BE121" s="5">
        <v>0.0</v>
      </c>
      <c r="BF121" s="5">
        <v>0.0</v>
      </c>
      <c r="BG121" s="5">
        <v>0.0</v>
      </c>
      <c r="BH121" s="5">
        <v>0.0</v>
      </c>
      <c r="BI121" s="5">
        <v>0.0</v>
      </c>
      <c r="BJ121" s="5">
        <v>0.0</v>
      </c>
      <c r="BK121" s="5">
        <v>0.0</v>
      </c>
      <c r="BL121" s="5">
        <v>0.0</v>
      </c>
      <c r="BM121" s="7">
        <f t="shared" si="11"/>
        <v>2415.910886</v>
      </c>
      <c r="BN121" s="8"/>
    </row>
    <row r="122">
      <c r="A122" s="1" t="s">
        <v>183</v>
      </c>
      <c r="B122" s="1">
        <v>642.0</v>
      </c>
      <c r="C122" s="2">
        <f>12044/68850*100</f>
        <v>17.49310094</v>
      </c>
      <c r="D122" s="2">
        <f>3392/68850*100</f>
        <v>4.926652142</v>
      </c>
      <c r="E122" s="2">
        <f>48196/68850*100</f>
        <v>70.00145243</v>
      </c>
      <c r="F122" s="1">
        <v>12.0</v>
      </c>
      <c r="G122" s="1">
        <v>3.0</v>
      </c>
      <c r="H122" s="3">
        <v>522.0</v>
      </c>
      <c r="I122" s="1">
        <v>0.0</v>
      </c>
      <c r="J122" s="1">
        <v>405.0</v>
      </c>
      <c r="K122" s="1">
        <v>456.0</v>
      </c>
      <c r="L122" s="1">
        <v>293.0</v>
      </c>
      <c r="M122" s="5">
        <v>9.0</v>
      </c>
      <c r="N122" s="1">
        <v>269.0</v>
      </c>
      <c r="O122" s="1">
        <v>9.0</v>
      </c>
      <c r="P122" s="1">
        <v>153.0</v>
      </c>
      <c r="Q122" s="1">
        <v>48.0</v>
      </c>
      <c r="R122" s="1">
        <v>51.0</v>
      </c>
      <c r="S122" s="1">
        <v>35.0</v>
      </c>
      <c r="T122" s="1">
        <v>16.0</v>
      </c>
      <c r="U122" s="1">
        <v>61.0</v>
      </c>
      <c r="V122" s="5">
        <v>16.0</v>
      </c>
      <c r="W122" s="1">
        <v>9.0</v>
      </c>
      <c r="X122" s="5">
        <v>5.0</v>
      </c>
      <c r="Y122" s="5">
        <v>2.0</v>
      </c>
      <c r="Z122" s="1">
        <v>208.0</v>
      </c>
      <c r="AA122" s="1">
        <v>3.0</v>
      </c>
      <c r="AB122" s="5">
        <v>10.0</v>
      </c>
      <c r="AC122" s="5">
        <v>5.0</v>
      </c>
      <c r="AD122" s="1">
        <f>1819/68850*100</f>
        <v>2.641975309</v>
      </c>
      <c r="AE122" s="1">
        <v>49.0</v>
      </c>
      <c r="AF122" s="5">
        <v>3.0</v>
      </c>
      <c r="AG122" s="1">
        <v>39.0</v>
      </c>
      <c r="AH122" s="5">
        <v>0.0</v>
      </c>
      <c r="AI122" s="3">
        <v>43.0</v>
      </c>
      <c r="AJ122" s="5">
        <v>8.0</v>
      </c>
      <c r="AK122" s="5">
        <v>0.0</v>
      </c>
      <c r="AL122" s="5">
        <v>0.0</v>
      </c>
      <c r="AM122" s="5">
        <v>3.0</v>
      </c>
      <c r="AN122" s="5">
        <v>0.0</v>
      </c>
      <c r="AO122" s="5">
        <v>7.0</v>
      </c>
      <c r="AP122" s="5">
        <v>0.0</v>
      </c>
      <c r="AQ122" s="5">
        <v>2.0</v>
      </c>
      <c r="AR122" s="5">
        <v>0.0</v>
      </c>
      <c r="AS122" s="5">
        <v>0.0</v>
      </c>
      <c r="AT122" s="5">
        <v>0.0</v>
      </c>
      <c r="AU122" s="5">
        <v>3.0</v>
      </c>
      <c r="AV122" s="5">
        <v>0.0</v>
      </c>
      <c r="AW122" s="5">
        <v>0.0</v>
      </c>
      <c r="AX122" s="5">
        <v>0.0</v>
      </c>
      <c r="AY122" s="5">
        <v>0.0</v>
      </c>
      <c r="AZ122" s="5">
        <v>0.0</v>
      </c>
      <c r="BA122" s="5">
        <v>0.0</v>
      </c>
      <c r="BB122" s="5">
        <v>0.0</v>
      </c>
      <c r="BC122" s="5">
        <v>0.0</v>
      </c>
      <c r="BD122" s="5">
        <v>0.0</v>
      </c>
      <c r="BE122" s="5">
        <v>0.0</v>
      </c>
      <c r="BF122" s="5">
        <v>0.0</v>
      </c>
      <c r="BG122" s="5">
        <v>0.0</v>
      </c>
      <c r="BH122" s="5">
        <v>0.0</v>
      </c>
      <c r="BI122" s="5">
        <v>0.0</v>
      </c>
      <c r="BJ122" s="5">
        <v>0.0</v>
      </c>
      <c r="BK122" s="5">
        <v>0.0</v>
      </c>
      <c r="BL122" s="5">
        <v>0.0</v>
      </c>
      <c r="BM122" s="7">
        <f t="shared" si="11"/>
        <v>3494.063181</v>
      </c>
      <c r="BN122" s="8"/>
    </row>
    <row r="123">
      <c r="A123" s="1" t="s">
        <v>184</v>
      </c>
      <c r="B123" s="1">
        <v>101.0</v>
      </c>
      <c r="C123" s="2">
        <f>184/14466*100</f>
        <v>1.271948016</v>
      </c>
      <c r="D123" s="2">
        <f>4336/14466*100</f>
        <v>29.97373151</v>
      </c>
      <c r="E123" s="2">
        <f>9661/14466*100</f>
        <v>66.7841836</v>
      </c>
      <c r="F123" s="1">
        <v>0.0</v>
      </c>
      <c r="G123" s="1">
        <v>0.0</v>
      </c>
      <c r="H123" s="3">
        <v>0.0</v>
      </c>
      <c r="I123" s="1">
        <v>0.0</v>
      </c>
      <c r="J123" s="1">
        <v>2.0</v>
      </c>
      <c r="K123" s="1">
        <v>36.0</v>
      </c>
      <c r="L123" s="1">
        <v>3.0</v>
      </c>
      <c r="M123" s="5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21.0</v>
      </c>
      <c r="T123" s="1">
        <v>0.0</v>
      </c>
      <c r="U123" s="1">
        <v>59.0</v>
      </c>
      <c r="V123" s="5">
        <v>48.0</v>
      </c>
      <c r="W123" s="1">
        <v>0.0</v>
      </c>
      <c r="X123" s="5">
        <v>0.0</v>
      </c>
      <c r="Y123" s="5">
        <v>2.0</v>
      </c>
      <c r="Z123" s="1">
        <v>0.0</v>
      </c>
      <c r="AA123" s="1">
        <v>0.0</v>
      </c>
      <c r="AB123" s="5">
        <v>3.0</v>
      </c>
      <c r="AC123" s="5">
        <v>3.0</v>
      </c>
      <c r="AD123" s="1">
        <v>0.0</v>
      </c>
      <c r="AE123" s="1">
        <v>0.0</v>
      </c>
      <c r="AF123" s="5">
        <v>0.0</v>
      </c>
      <c r="AG123" s="1">
        <v>7.0</v>
      </c>
      <c r="AH123" s="5">
        <v>0.0</v>
      </c>
      <c r="AI123" s="3">
        <v>0.0</v>
      </c>
      <c r="AJ123" s="5">
        <v>0.0</v>
      </c>
      <c r="AK123" s="5">
        <v>0.0</v>
      </c>
      <c r="AL123" s="5">
        <v>0.0</v>
      </c>
      <c r="AM123" s="5">
        <v>0.0</v>
      </c>
      <c r="AN123" s="5">
        <v>0.0</v>
      </c>
      <c r="AO123" s="5">
        <v>0.0</v>
      </c>
      <c r="AP123" s="5">
        <v>0.0</v>
      </c>
      <c r="AQ123" s="5">
        <v>0.0</v>
      </c>
      <c r="AR123" s="5">
        <v>0.0</v>
      </c>
      <c r="AS123" s="5">
        <v>0.0</v>
      </c>
      <c r="AT123" s="5">
        <v>0.0</v>
      </c>
      <c r="AU123" s="5">
        <v>0.0</v>
      </c>
      <c r="AV123" s="5">
        <v>0.0</v>
      </c>
      <c r="AW123" s="5">
        <v>0.0</v>
      </c>
      <c r="AX123" s="5">
        <v>0.0</v>
      </c>
      <c r="AY123" s="5">
        <v>0.0</v>
      </c>
      <c r="AZ123" s="5">
        <v>0.0</v>
      </c>
      <c r="BA123" s="5">
        <v>0.0</v>
      </c>
      <c r="BB123" s="5">
        <v>0.0</v>
      </c>
      <c r="BC123" s="5">
        <v>0.0</v>
      </c>
      <c r="BD123" s="5">
        <v>0.0</v>
      </c>
      <c r="BE123" s="5">
        <v>0.0</v>
      </c>
      <c r="BF123" s="5">
        <v>0.0</v>
      </c>
      <c r="BG123" s="5">
        <v>0.0</v>
      </c>
      <c r="BH123" s="5">
        <v>0.0</v>
      </c>
      <c r="BI123" s="5">
        <v>0.0</v>
      </c>
      <c r="BJ123" s="5">
        <v>0.0</v>
      </c>
      <c r="BK123" s="5">
        <v>0.0</v>
      </c>
      <c r="BL123" s="5">
        <v>0.0</v>
      </c>
      <c r="BM123" s="7">
        <f t="shared" si="11"/>
        <v>383.0298631</v>
      </c>
      <c r="BN123" s="8"/>
    </row>
    <row r="124">
      <c r="A124" s="1" t="s">
        <v>185</v>
      </c>
      <c r="B124" s="1">
        <f>2236/39010*100</f>
        <v>5.731863625</v>
      </c>
      <c r="C124" s="2">
        <f>1287/39010*100</f>
        <v>3.299154063</v>
      </c>
      <c r="D124" s="2">
        <f>10032/39010*100</f>
        <v>25.71648295</v>
      </c>
      <c r="E124" s="2">
        <f>15783/39010*100</f>
        <v>40.4588567</v>
      </c>
      <c r="F124" s="1">
        <v>2.0</v>
      </c>
      <c r="G124" s="1">
        <v>96.0</v>
      </c>
      <c r="H124" s="3">
        <f>3339/39010*100</f>
        <v>8.559343758</v>
      </c>
      <c r="I124" s="1">
        <v>0.0</v>
      </c>
      <c r="J124" s="1">
        <v>302.0</v>
      </c>
      <c r="K124" s="1">
        <f>4750/39010*100</f>
        <v>12.17636503</v>
      </c>
      <c r="L124" s="1">
        <v>78.0</v>
      </c>
      <c r="M124" s="5">
        <v>2.0</v>
      </c>
      <c r="N124" s="1">
        <v>86.0</v>
      </c>
      <c r="O124" s="1">
        <v>36.0</v>
      </c>
      <c r="P124" s="1">
        <v>53.0</v>
      </c>
      <c r="Q124" s="1">
        <v>60.0</v>
      </c>
      <c r="R124" s="1">
        <v>149.0</v>
      </c>
      <c r="S124" s="1">
        <v>37.0</v>
      </c>
      <c r="T124" s="1">
        <v>95.0</v>
      </c>
      <c r="U124" s="1">
        <v>68.0</v>
      </c>
      <c r="V124" s="5">
        <v>14.0</v>
      </c>
      <c r="W124" s="1">
        <v>4.0</v>
      </c>
      <c r="X124" s="5">
        <v>66.0</v>
      </c>
      <c r="Y124" s="5">
        <v>14.0</v>
      </c>
      <c r="Z124" s="1">
        <v>79.0</v>
      </c>
      <c r="AA124" s="1">
        <v>4.0</v>
      </c>
      <c r="AB124" s="5">
        <v>14.0</v>
      </c>
      <c r="AC124" s="5">
        <v>0.0</v>
      </c>
      <c r="AD124" s="1">
        <v>13.0</v>
      </c>
      <c r="AE124" s="1">
        <v>47.0</v>
      </c>
      <c r="AF124" s="5">
        <v>3.0</v>
      </c>
      <c r="AG124" s="1">
        <v>249.0</v>
      </c>
      <c r="AH124" s="5">
        <v>2.0</v>
      </c>
      <c r="AI124" s="3">
        <v>7.0</v>
      </c>
      <c r="AJ124" s="5">
        <v>0.0</v>
      </c>
      <c r="AK124" s="5">
        <v>0.0</v>
      </c>
      <c r="AL124" s="5">
        <v>0.0</v>
      </c>
      <c r="AM124" s="5">
        <v>0.0</v>
      </c>
      <c r="AN124" s="5">
        <v>0.0</v>
      </c>
      <c r="AO124" s="5">
        <v>3.0</v>
      </c>
      <c r="AP124" s="5">
        <v>0.0</v>
      </c>
      <c r="AQ124" s="5">
        <v>0.0</v>
      </c>
      <c r="AR124" s="5">
        <v>0.0</v>
      </c>
      <c r="AS124" s="5">
        <v>0.0</v>
      </c>
      <c r="AT124" s="5">
        <v>0.0</v>
      </c>
      <c r="AU124" s="5">
        <v>0.0</v>
      </c>
      <c r="AV124" s="5">
        <v>0.0</v>
      </c>
      <c r="AW124" s="5">
        <v>0.0</v>
      </c>
      <c r="AX124" s="5">
        <v>0.0</v>
      </c>
      <c r="AY124" s="5">
        <v>0.0</v>
      </c>
      <c r="AZ124" s="5">
        <v>0.0</v>
      </c>
      <c r="BA124" s="5">
        <v>0.0</v>
      </c>
      <c r="BB124" s="5">
        <v>0.0</v>
      </c>
      <c r="BC124" s="5">
        <v>0.0</v>
      </c>
      <c r="BD124" s="5">
        <v>0.0</v>
      </c>
      <c r="BE124" s="5">
        <v>0.0</v>
      </c>
      <c r="BF124" s="5">
        <v>0.0</v>
      </c>
      <c r="BG124" s="5">
        <v>0.0</v>
      </c>
      <c r="BH124" s="5">
        <v>0.0</v>
      </c>
      <c r="BI124" s="5">
        <v>0.0</v>
      </c>
      <c r="BJ124" s="5">
        <v>0.0</v>
      </c>
      <c r="BK124" s="5">
        <v>0.0</v>
      </c>
      <c r="BL124" s="5">
        <v>0.0</v>
      </c>
      <c r="BM124" s="7">
        <f t="shared" si="11"/>
        <v>1678.942066</v>
      </c>
      <c r="BN124" s="8"/>
    </row>
    <row r="125">
      <c r="A125" s="1" t="s">
        <v>186</v>
      </c>
      <c r="B125" s="1">
        <f>4313/69560*100</f>
        <v>6.20040253</v>
      </c>
      <c r="C125" s="2">
        <f>2581/69560*100</f>
        <v>3.710465785</v>
      </c>
      <c r="D125" s="2">
        <f>18549/69560*100</f>
        <v>26.66618746</v>
      </c>
      <c r="E125" s="2">
        <f>28309/69560*100</f>
        <v>40.69723979</v>
      </c>
      <c r="F125" s="1">
        <v>18.0</v>
      </c>
      <c r="G125" s="1">
        <v>143.0</v>
      </c>
      <c r="H125" s="3">
        <f>4832/69560*100</f>
        <v>6.946520989</v>
      </c>
      <c r="I125" s="1">
        <v>0.0</v>
      </c>
      <c r="J125" s="1">
        <v>559.0</v>
      </c>
      <c r="K125" s="1">
        <f>7931/69560*100</f>
        <v>11.40166763</v>
      </c>
      <c r="L125" s="1">
        <v>272.0</v>
      </c>
      <c r="M125" s="5">
        <v>9.0</v>
      </c>
      <c r="N125" s="1">
        <v>144.0</v>
      </c>
      <c r="O125" s="1">
        <v>136.0</v>
      </c>
      <c r="P125" s="1">
        <v>117.0</v>
      </c>
      <c r="Q125" s="1">
        <v>136.0</v>
      </c>
      <c r="R125" s="1">
        <v>272.0</v>
      </c>
      <c r="S125" s="1">
        <v>70.0</v>
      </c>
      <c r="T125" s="1">
        <v>137.0</v>
      </c>
      <c r="U125" s="1">
        <v>102.0</v>
      </c>
      <c r="V125" s="5">
        <v>37.0</v>
      </c>
      <c r="W125" s="1">
        <v>19.0</v>
      </c>
      <c r="X125" s="5">
        <v>97.0</v>
      </c>
      <c r="Y125" s="5">
        <v>18.0</v>
      </c>
      <c r="Z125" s="1">
        <v>110.0</v>
      </c>
      <c r="AA125" s="1">
        <v>15.0</v>
      </c>
      <c r="AB125" s="5">
        <v>17.0</v>
      </c>
      <c r="AC125" s="5">
        <v>3.0</v>
      </c>
      <c r="AD125" s="1">
        <v>22.0</v>
      </c>
      <c r="AE125" s="1">
        <v>98.0</v>
      </c>
      <c r="AF125" s="5">
        <v>18.0</v>
      </c>
      <c r="AG125" s="1">
        <v>462.0</v>
      </c>
      <c r="AH125" s="5">
        <v>0.0</v>
      </c>
      <c r="AI125" s="3">
        <v>2.0</v>
      </c>
      <c r="AJ125" s="5">
        <v>0.0</v>
      </c>
      <c r="AK125" s="5">
        <v>0.0</v>
      </c>
      <c r="AL125" s="5">
        <v>0.0</v>
      </c>
      <c r="AM125" s="5">
        <v>0.0</v>
      </c>
      <c r="AN125" s="5">
        <v>0.0</v>
      </c>
      <c r="AO125" s="5">
        <v>12.0</v>
      </c>
      <c r="AP125" s="5">
        <v>0.0</v>
      </c>
      <c r="AQ125" s="5">
        <v>0.0</v>
      </c>
      <c r="AR125" s="5">
        <v>0.0</v>
      </c>
      <c r="AS125" s="5">
        <v>0.0</v>
      </c>
      <c r="AT125" s="5">
        <v>0.0</v>
      </c>
      <c r="AU125" s="5">
        <v>0.0</v>
      </c>
      <c r="AV125" s="5">
        <v>0.0</v>
      </c>
      <c r="AW125" s="5">
        <v>0.0</v>
      </c>
      <c r="AX125" s="5">
        <v>0.0</v>
      </c>
      <c r="AY125" s="5">
        <v>0.0</v>
      </c>
      <c r="AZ125" s="5">
        <v>0.0</v>
      </c>
      <c r="BA125" s="5">
        <v>0.0</v>
      </c>
      <c r="BB125" s="5">
        <v>0.0</v>
      </c>
      <c r="BC125" s="5">
        <v>0.0</v>
      </c>
      <c r="BD125" s="5">
        <v>0.0</v>
      </c>
      <c r="BE125" s="5">
        <v>0.0</v>
      </c>
      <c r="BF125" s="5">
        <v>0.0</v>
      </c>
      <c r="BG125" s="5">
        <v>0.0</v>
      </c>
      <c r="BH125" s="5">
        <v>0.0</v>
      </c>
      <c r="BI125" s="5">
        <v>0.0</v>
      </c>
      <c r="BJ125" s="5">
        <v>0.0</v>
      </c>
      <c r="BK125" s="5">
        <v>0.0</v>
      </c>
      <c r="BL125" s="5">
        <v>0.0</v>
      </c>
      <c r="BM125" s="7">
        <f t="shared" si="11"/>
        <v>3140.622484</v>
      </c>
      <c r="BN125" s="8"/>
    </row>
    <row r="126">
      <c r="A126" s="1" t="s">
        <v>187</v>
      </c>
      <c r="B126" s="1">
        <f>1194/61284*100</f>
        <v>1.948306246</v>
      </c>
      <c r="C126" s="2">
        <f>7175/61284*100</f>
        <v>11.7077867</v>
      </c>
      <c r="D126" s="2">
        <f>9299/61284*100</f>
        <v>15.17361791</v>
      </c>
      <c r="E126" s="2">
        <f>36759/61284*100</f>
        <v>59.98139808</v>
      </c>
      <c r="F126" s="1">
        <v>19.0</v>
      </c>
      <c r="G126" s="1">
        <v>57.0</v>
      </c>
      <c r="H126" s="3">
        <f>726/61284*100</f>
        <v>1.184648522</v>
      </c>
      <c r="I126" s="1">
        <v>0.0</v>
      </c>
      <c r="J126" s="1">
        <v>178.0</v>
      </c>
      <c r="K126" s="1">
        <f>1747/61284*100</f>
        <v>2.850662489</v>
      </c>
      <c r="L126" s="1">
        <v>39.0</v>
      </c>
      <c r="M126" s="5">
        <v>4.0</v>
      </c>
      <c r="N126" s="1">
        <v>36.0</v>
      </c>
      <c r="O126" s="1">
        <v>62.0</v>
      </c>
      <c r="P126" s="1">
        <v>97.0</v>
      </c>
      <c r="Q126" s="1">
        <v>80.0</v>
      </c>
      <c r="R126" s="1">
        <v>207.0</v>
      </c>
      <c r="S126" s="1">
        <v>528.0</v>
      </c>
      <c r="T126" s="1">
        <v>59.0</v>
      </c>
      <c r="U126" s="1">
        <f>1603/61284*100</f>
        <v>2.615690882</v>
      </c>
      <c r="V126" s="5">
        <v>560.0</v>
      </c>
      <c r="W126" s="1">
        <v>18.0</v>
      </c>
      <c r="X126" s="5">
        <v>12.0</v>
      </c>
      <c r="Y126" s="5">
        <v>57.0</v>
      </c>
      <c r="Z126" s="1">
        <v>95.0</v>
      </c>
      <c r="AA126" s="1">
        <v>56.0</v>
      </c>
      <c r="AB126" s="5">
        <v>17.0</v>
      </c>
      <c r="AC126" s="5">
        <v>47.0</v>
      </c>
      <c r="AD126" s="1">
        <v>14.0</v>
      </c>
      <c r="AE126" s="1">
        <v>49.0</v>
      </c>
      <c r="AF126" s="5">
        <v>0.0</v>
      </c>
      <c r="AG126" s="1">
        <v>386.0</v>
      </c>
      <c r="AH126" s="5">
        <v>0.0</v>
      </c>
      <c r="AI126" s="3">
        <v>74.0</v>
      </c>
      <c r="AJ126" s="5">
        <v>0.0</v>
      </c>
      <c r="AK126" s="5">
        <v>13.0</v>
      </c>
      <c r="AL126" s="5">
        <v>0.0</v>
      </c>
      <c r="AM126" s="5">
        <v>10.0</v>
      </c>
      <c r="AN126" s="5">
        <v>0.0</v>
      </c>
      <c r="AO126" s="5">
        <v>0.0</v>
      </c>
      <c r="AP126" s="5">
        <v>2.0</v>
      </c>
      <c r="AQ126" s="5">
        <v>3.0</v>
      </c>
      <c r="AR126" s="5">
        <v>0.0</v>
      </c>
      <c r="AS126" s="5">
        <v>0.0</v>
      </c>
      <c r="AT126" s="5">
        <v>0.0</v>
      </c>
      <c r="AU126" s="5">
        <v>0.0</v>
      </c>
      <c r="AV126" s="5">
        <v>2.0</v>
      </c>
      <c r="AW126" s="5">
        <v>0.0</v>
      </c>
      <c r="AX126" s="5">
        <v>0.0</v>
      </c>
      <c r="AY126" s="5">
        <v>0.0</v>
      </c>
      <c r="AZ126" s="5">
        <v>0.0</v>
      </c>
      <c r="BA126" s="5">
        <v>0.0</v>
      </c>
      <c r="BB126" s="5">
        <v>0.0</v>
      </c>
      <c r="BC126" s="5">
        <v>0.0</v>
      </c>
      <c r="BD126" s="5">
        <v>0.0</v>
      </c>
      <c r="BE126" s="5">
        <v>0.0</v>
      </c>
      <c r="BF126" s="5">
        <v>0.0</v>
      </c>
      <c r="BG126" s="5">
        <v>0.0</v>
      </c>
      <c r="BH126" s="5">
        <v>0.0</v>
      </c>
      <c r="BI126" s="5">
        <v>0.0</v>
      </c>
      <c r="BJ126" s="5">
        <v>0.0</v>
      </c>
      <c r="BK126" s="5">
        <v>0.0</v>
      </c>
      <c r="BL126" s="5">
        <v>0.0</v>
      </c>
      <c r="BM126" s="7">
        <f t="shared" si="11"/>
        <v>2876.462111</v>
      </c>
      <c r="BN126" s="8"/>
    </row>
    <row r="127">
      <c r="A127" s="1" t="s">
        <v>188</v>
      </c>
      <c r="B127" s="1">
        <f>892/38369*100</f>
        <v>2.324793453</v>
      </c>
      <c r="C127" s="2">
        <f>3324/38369*100</f>
        <v>8.663243764</v>
      </c>
      <c r="D127" s="2">
        <f>6984/38369*100</f>
        <v>18.20219448</v>
      </c>
      <c r="E127" s="2">
        <f>22928/38369*100</f>
        <v>59.75657432</v>
      </c>
      <c r="F127" s="1">
        <v>6.0</v>
      </c>
      <c r="G127" s="1">
        <v>41.0</v>
      </c>
      <c r="H127" s="3">
        <v>192.0</v>
      </c>
      <c r="I127" s="1">
        <v>0.0</v>
      </c>
      <c r="J127" s="1">
        <v>72.0</v>
      </c>
      <c r="K127" s="1">
        <f>886/38369*100</f>
        <v>2.309155829</v>
      </c>
      <c r="L127" s="1">
        <v>37.0</v>
      </c>
      <c r="M127" s="5">
        <v>2.0</v>
      </c>
      <c r="N127" s="1">
        <v>46.0</v>
      </c>
      <c r="O127" s="1">
        <v>52.0</v>
      </c>
      <c r="P127" s="1">
        <v>61.0</v>
      </c>
      <c r="Q127" s="1">
        <v>110.0</v>
      </c>
      <c r="R127" s="1">
        <v>168.0</v>
      </c>
      <c r="S127" s="1">
        <v>164.0</v>
      </c>
      <c r="T127" s="1">
        <v>53.0</v>
      </c>
      <c r="U127" s="1">
        <f>1386/38369*100</f>
        <v>3.612291173</v>
      </c>
      <c r="V127" s="5">
        <v>336.0</v>
      </c>
      <c r="W127" s="1">
        <v>13.0</v>
      </c>
      <c r="X127" s="5">
        <v>19.0</v>
      </c>
      <c r="Y127" s="5">
        <v>27.0</v>
      </c>
      <c r="Z127" s="1">
        <v>72.0</v>
      </c>
      <c r="AA127" s="1">
        <v>10.0</v>
      </c>
      <c r="AB127" s="5">
        <v>21.0</v>
      </c>
      <c r="AC127" s="5">
        <v>37.0</v>
      </c>
      <c r="AD127" s="1">
        <v>15.0</v>
      </c>
      <c r="AE127" s="1">
        <v>23.0</v>
      </c>
      <c r="AF127" s="5">
        <v>0.0</v>
      </c>
      <c r="AG127" s="1">
        <v>336.0</v>
      </c>
      <c r="AH127" s="5">
        <v>0.0</v>
      </c>
      <c r="AI127" s="3">
        <v>6.0</v>
      </c>
      <c r="AJ127" s="5">
        <v>0.0</v>
      </c>
      <c r="AK127" s="5">
        <v>19.0</v>
      </c>
      <c r="AL127" s="5">
        <v>3.0</v>
      </c>
      <c r="AM127" s="5">
        <v>0.0</v>
      </c>
      <c r="AN127" s="5">
        <v>2.0</v>
      </c>
      <c r="AO127" s="5">
        <v>0.0</v>
      </c>
      <c r="AP127" s="5">
        <v>2.0</v>
      </c>
      <c r="AQ127" s="5">
        <v>4.0</v>
      </c>
      <c r="AR127" s="5">
        <v>0.0</v>
      </c>
      <c r="AS127" s="5">
        <v>2.0</v>
      </c>
      <c r="AT127" s="5">
        <v>0.0</v>
      </c>
      <c r="AU127" s="5">
        <v>0.0</v>
      </c>
      <c r="AV127" s="5">
        <v>4.0</v>
      </c>
      <c r="AW127" s="5">
        <v>0.0</v>
      </c>
      <c r="AX127" s="5">
        <v>0.0</v>
      </c>
      <c r="AY127" s="5">
        <v>0.0</v>
      </c>
      <c r="AZ127" s="5">
        <v>0.0</v>
      </c>
      <c r="BA127" s="5">
        <v>4.0</v>
      </c>
      <c r="BB127" s="5">
        <v>0.0</v>
      </c>
      <c r="BC127" s="5">
        <v>0.0</v>
      </c>
      <c r="BD127" s="5">
        <v>0.0</v>
      </c>
      <c r="BE127" s="5">
        <v>5.0</v>
      </c>
      <c r="BF127" s="5">
        <v>0.0</v>
      </c>
      <c r="BG127" s="5">
        <v>3.0</v>
      </c>
      <c r="BH127" s="5">
        <v>0.0</v>
      </c>
      <c r="BI127" s="5">
        <v>0.0</v>
      </c>
      <c r="BJ127" s="5">
        <v>2.0</v>
      </c>
      <c r="BK127" s="5">
        <v>0.0</v>
      </c>
      <c r="BL127" s="5">
        <v>0.0</v>
      </c>
      <c r="BM127" s="7">
        <f t="shared" si="11"/>
        <v>2063.868253</v>
      </c>
      <c r="BN127" s="8"/>
    </row>
    <row r="128">
      <c r="A128" s="1" t="s">
        <v>189</v>
      </c>
      <c r="B128" s="1">
        <v>131.0</v>
      </c>
      <c r="C128" s="2">
        <f>3855/29358*100</f>
        <v>13.13100347</v>
      </c>
      <c r="D128" s="2">
        <f>4602/29358*100</f>
        <v>15.67545473</v>
      </c>
      <c r="E128" s="2">
        <f>20020/29358*100</f>
        <v>68.19265618</v>
      </c>
      <c r="F128" s="1">
        <v>2.0</v>
      </c>
      <c r="G128" s="1">
        <v>22.0</v>
      </c>
      <c r="H128" s="3">
        <v>132.0</v>
      </c>
      <c r="I128" s="1">
        <v>0.0</v>
      </c>
      <c r="J128" s="1">
        <v>21.0</v>
      </c>
      <c r="K128" s="1">
        <v>191.0</v>
      </c>
      <c r="L128" s="1">
        <v>7.0</v>
      </c>
      <c r="M128" s="5">
        <v>0.0</v>
      </c>
      <c r="N128" s="1">
        <v>36.0</v>
      </c>
      <c r="O128" s="1">
        <v>27.0</v>
      </c>
      <c r="P128" s="1">
        <v>52.0</v>
      </c>
      <c r="Q128" s="1">
        <v>14.0</v>
      </c>
      <c r="R128" s="1">
        <v>9.0</v>
      </c>
      <c r="S128" s="1">
        <v>29.0</v>
      </c>
      <c r="T128" s="1">
        <v>0.0</v>
      </c>
      <c r="U128" s="1">
        <v>8.0</v>
      </c>
      <c r="V128" s="5">
        <v>40.0</v>
      </c>
      <c r="W128" s="1">
        <v>30.0</v>
      </c>
      <c r="X128" s="5">
        <v>2.0</v>
      </c>
      <c r="Y128" s="5">
        <v>16.0</v>
      </c>
      <c r="Z128" s="1">
        <v>46.0</v>
      </c>
      <c r="AA128" s="1">
        <v>4.0</v>
      </c>
      <c r="AB128" s="5">
        <v>0.0</v>
      </c>
      <c r="AC128" s="5">
        <v>16.0</v>
      </c>
      <c r="AD128" s="1">
        <v>2.0</v>
      </c>
      <c r="AE128" s="1">
        <v>0.0</v>
      </c>
      <c r="AF128" s="5">
        <v>7.0</v>
      </c>
      <c r="AG128" s="1">
        <v>33.0</v>
      </c>
      <c r="AH128" s="5">
        <v>0.0</v>
      </c>
      <c r="AI128" s="3">
        <v>0.0</v>
      </c>
      <c r="AJ128" s="5">
        <v>0.0</v>
      </c>
      <c r="AK128" s="5">
        <v>0.0</v>
      </c>
      <c r="AL128" s="5">
        <v>0.0</v>
      </c>
      <c r="AM128" s="5">
        <v>0.0</v>
      </c>
      <c r="AN128" s="5">
        <v>0.0</v>
      </c>
      <c r="AO128" s="5">
        <v>0.0</v>
      </c>
      <c r="AP128" s="5">
        <v>0.0</v>
      </c>
      <c r="AQ128" s="5">
        <v>0.0</v>
      </c>
      <c r="AR128" s="5">
        <v>0.0</v>
      </c>
      <c r="AS128" s="5">
        <v>0.0</v>
      </c>
      <c r="AT128" s="5">
        <v>0.0</v>
      </c>
      <c r="AU128" s="5">
        <v>0.0</v>
      </c>
      <c r="AV128" s="5">
        <v>4.0</v>
      </c>
      <c r="AW128" s="5">
        <v>0.0</v>
      </c>
      <c r="AX128" s="5">
        <v>0.0</v>
      </c>
      <c r="AY128" s="5">
        <v>0.0</v>
      </c>
      <c r="AZ128" s="5">
        <v>0.0</v>
      </c>
      <c r="BA128" s="5">
        <v>0.0</v>
      </c>
      <c r="BB128" s="5">
        <v>0.0</v>
      </c>
      <c r="BC128" s="5">
        <v>0.0</v>
      </c>
      <c r="BD128" s="5">
        <v>0.0</v>
      </c>
      <c r="BE128" s="5">
        <v>0.0</v>
      </c>
      <c r="BF128" s="5">
        <v>0.0</v>
      </c>
      <c r="BG128" s="5">
        <v>0.0</v>
      </c>
      <c r="BH128" s="5">
        <v>0.0</v>
      </c>
      <c r="BI128" s="5">
        <v>0.0</v>
      </c>
      <c r="BJ128" s="5">
        <v>0.0</v>
      </c>
      <c r="BK128" s="5">
        <v>0.0</v>
      </c>
      <c r="BL128" s="5">
        <v>0.0</v>
      </c>
      <c r="BM128" s="7">
        <f t="shared" si="11"/>
        <v>977.9991144</v>
      </c>
    </row>
    <row r="129">
      <c r="C129" s="2"/>
      <c r="D129" s="2"/>
      <c r="E129" s="2"/>
      <c r="H129" s="3"/>
      <c r="M129" s="10"/>
      <c r="V129" s="10"/>
      <c r="X129" s="10"/>
      <c r="Y129" s="10"/>
      <c r="AB129" s="10"/>
      <c r="AC129" s="10"/>
      <c r="AF129" s="10"/>
      <c r="AH129" s="10"/>
      <c r="AI129" s="3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</row>
    <row r="130">
      <c r="A130" s="1" t="s">
        <v>190</v>
      </c>
      <c r="B130" s="1">
        <v>465.0</v>
      </c>
      <c r="C130" s="2">
        <f>23302/62831*100</f>
        <v>37.08678837</v>
      </c>
      <c r="D130" s="2">
        <f>9427/62831*100</f>
        <v>15.00374019</v>
      </c>
      <c r="E130" s="2">
        <f>21498/62831*100</f>
        <v>34.21559421</v>
      </c>
      <c r="F130" s="1">
        <v>0.0</v>
      </c>
      <c r="G130" s="1">
        <v>20.0</v>
      </c>
      <c r="H130" s="3">
        <f>1249/62831*100</f>
        <v>1.987872229</v>
      </c>
      <c r="I130" s="1">
        <v>0.0</v>
      </c>
      <c r="J130" s="1">
        <f>3943/62831*100</f>
        <v>6.27556461</v>
      </c>
      <c r="K130" s="1">
        <f>1054/62831*100</f>
        <v>1.677515876</v>
      </c>
      <c r="L130" s="1">
        <v>20.0</v>
      </c>
      <c r="M130" s="5">
        <v>12.0</v>
      </c>
      <c r="N130" s="1">
        <v>453.0</v>
      </c>
      <c r="O130" s="1">
        <v>19.0</v>
      </c>
      <c r="P130" s="1">
        <v>231.0</v>
      </c>
      <c r="Q130" s="1">
        <v>480.0</v>
      </c>
      <c r="R130" s="1">
        <v>4.0</v>
      </c>
      <c r="S130" s="1">
        <v>108.0</v>
      </c>
      <c r="T130" s="1">
        <v>20.0</v>
      </c>
      <c r="U130" s="1">
        <v>54.0</v>
      </c>
      <c r="V130" s="5">
        <v>13.0</v>
      </c>
      <c r="W130" s="1">
        <v>3.0</v>
      </c>
      <c r="X130" s="5">
        <v>28.0</v>
      </c>
      <c r="Y130" s="5">
        <v>0.0</v>
      </c>
      <c r="Z130" s="1">
        <v>202.0</v>
      </c>
      <c r="AA130" s="1">
        <v>32.0</v>
      </c>
      <c r="AB130" s="5">
        <v>6.0</v>
      </c>
      <c r="AC130" s="5">
        <v>12.0</v>
      </c>
      <c r="AD130" s="1">
        <v>6.0</v>
      </c>
      <c r="AE130" s="1">
        <v>84.0</v>
      </c>
      <c r="AF130" s="5">
        <v>0.0</v>
      </c>
      <c r="AG130" s="1">
        <v>35.0</v>
      </c>
      <c r="AH130" s="5">
        <v>0.0</v>
      </c>
      <c r="AI130" s="3">
        <v>29.0</v>
      </c>
      <c r="AJ130" s="5">
        <v>2.0</v>
      </c>
      <c r="AK130" s="5">
        <v>0.0</v>
      </c>
      <c r="AL130" s="5">
        <v>0.0</v>
      </c>
      <c r="AM130" s="5">
        <v>0.0</v>
      </c>
      <c r="AN130" s="5">
        <v>0.0</v>
      </c>
      <c r="AO130" s="5">
        <v>20.0</v>
      </c>
      <c r="AP130" s="5">
        <v>0.0</v>
      </c>
      <c r="AQ130" s="5">
        <v>0.0</v>
      </c>
      <c r="AR130" s="5">
        <v>0.0</v>
      </c>
      <c r="AS130" s="5">
        <v>0.0</v>
      </c>
      <c r="AT130" s="5">
        <v>0.0</v>
      </c>
      <c r="AU130" s="5">
        <v>0.0</v>
      </c>
      <c r="AV130" s="5">
        <v>0.0</v>
      </c>
      <c r="AW130" s="5">
        <v>0.0</v>
      </c>
      <c r="AX130" s="5">
        <v>0.0</v>
      </c>
      <c r="AY130" s="5">
        <v>0.0</v>
      </c>
      <c r="AZ130" s="5">
        <v>0.0</v>
      </c>
      <c r="BA130" s="5">
        <v>0.0</v>
      </c>
      <c r="BB130" s="5">
        <v>0.0</v>
      </c>
      <c r="BC130" s="5">
        <v>0.0</v>
      </c>
      <c r="BD130" s="5">
        <v>0.0</v>
      </c>
      <c r="BE130" s="5">
        <v>0.0</v>
      </c>
      <c r="BF130" s="5">
        <v>0.0</v>
      </c>
      <c r="BG130" s="5">
        <v>0.0</v>
      </c>
      <c r="BH130" s="5">
        <v>0.0</v>
      </c>
      <c r="BI130" s="5">
        <v>0.0</v>
      </c>
      <c r="BJ130" s="5">
        <v>0.0</v>
      </c>
      <c r="BK130" s="5">
        <v>0.0</v>
      </c>
      <c r="BL130" s="5">
        <v>0.0</v>
      </c>
      <c r="BM130" s="7">
        <f t="shared" ref="BM130:BM143" si="12">SUM(B130:BL130)</f>
        <v>2454.247075</v>
      </c>
      <c r="BN130" s="8"/>
    </row>
    <row r="131">
      <c r="A131" s="1" t="s">
        <v>191</v>
      </c>
      <c r="B131" s="1">
        <v>361.0</v>
      </c>
      <c r="C131" s="2">
        <f>21114/56482*100</f>
        <v>37.38182076</v>
      </c>
      <c r="D131" s="2">
        <f>5920/56482*100</f>
        <v>10.48121525</v>
      </c>
      <c r="E131" s="2">
        <f>22168/56482*100</f>
        <v>39.24790199</v>
      </c>
      <c r="F131" s="1">
        <v>0.0</v>
      </c>
      <c r="G131" s="1">
        <v>14.0</v>
      </c>
      <c r="H131" s="3">
        <f>1531/56482*100</f>
        <v>2.710598067</v>
      </c>
      <c r="I131" s="1">
        <v>0.0</v>
      </c>
      <c r="J131" s="1">
        <f>3541/56482*100</f>
        <v>6.269253922</v>
      </c>
      <c r="K131" s="1">
        <v>362.0</v>
      </c>
      <c r="L131" s="1">
        <v>72.0</v>
      </c>
      <c r="M131" s="5">
        <v>0.0</v>
      </c>
      <c r="N131" s="1">
        <v>410.0</v>
      </c>
      <c r="O131" s="1">
        <v>6.0</v>
      </c>
      <c r="P131" s="1">
        <v>179.0</v>
      </c>
      <c r="Q131" s="1">
        <v>217.0</v>
      </c>
      <c r="R131" s="1">
        <v>8.0</v>
      </c>
      <c r="S131" s="1">
        <v>50.0</v>
      </c>
      <c r="T131" s="1">
        <v>41.0</v>
      </c>
      <c r="U131" s="1">
        <v>49.0</v>
      </c>
      <c r="V131" s="5">
        <v>18.0</v>
      </c>
      <c r="W131" s="1">
        <v>0.0</v>
      </c>
      <c r="X131" s="5">
        <v>31.0</v>
      </c>
      <c r="Y131" s="5">
        <v>0.0</v>
      </c>
      <c r="Z131" s="1">
        <v>176.0</v>
      </c>
      <c r="AA131" s="1">
        <v>33.0</v>
      </c>
      <c r="AB131" s="5">
        <v>4.0</v>
      </c>
      <c r="AC131" s="5">
        <v>18.0</v>
      </c>
      <c r="AD131" s="1">
        <v>4.0</v>
      </c>
      <c r="AE131" s="1">
        <v>63.0</v>
      </c>
      <c r="AF131" s="5">
        <v>0.0</v>
      </c>
      <c r="AG131" s="1">
        <v>18.0</v>
      </c>
      <c r="AH131" s="5">
        <v>0.0</v>
      </c>
      <c r="AI131" s="3">
        <v>61.0</v>
      </c>
      <c r="AJ131" s="5">
        <v>0.0</v>
      </c>
      <c r="AK131" s="5">
        <v>0.0</v>
      </c>
      <c r="AL131" s="5">
        <v>0.0</v>
      </c>
      <c r="AM131" s="5">
        <v>2.0</v>
      </c>
      <c r="AN131" s="5">
        <v>0.0</v>
      </c>
      <c r="AO131" s="5">
        <v>9.0</v>
      </c>
      <c r="AP131" s="5">
        <v>0.0</v>
      </c>
      <c r="AQ131" s="5">
        <v>0.0</v>
      </c>
      <c r="AR131" s="5">
        <v>0.0</v>
      </c>
      <c r="AS131" s="5">
        <v>0.0</v>
      </c>
      <c r="AT131" s="5">
        <v>0.0</v>
      </c>
      <c r="AU131" s="5">
        <v>0.0</v>
      </c>
      <c r="AV131" s="5">
        <v>2.0</v>
      </c>
      <c r="AW131" s="5">
        <v>0.0</v>
      </c>
      <c r="AX131" s="5">
        <v>0.0</v>
      </c>
      <c r="AY131" s="5">
        <v>0.0</v>
      </c>
      <c r="AZ131" s="5">
        <v>0.0</v>
      </c>
      <c r="BA131" s="5">
        <v>0.0</v>
      </c>
      <c r="BB131" s="5">
        <v>0.0</v>
      </c>
      <c r="BC131" s="5">
        <v>0.0</v>
      </c>
      <c r="BD131" s="5">
        <v>0.0</v>
      </c>
      <c r="BE131" s="5">
        <v>0.0</v>
      </c>
      <c r="BF131" s="5">
        <v>0.0</v>
      </c>
      <c r="BG131" s="5">
        <v>0.0</v>
      </c>
      <c r="BH131" s="5">
        <v>0.0</v>
      </c>
      <c r="BI131" s="5">
        <v>0.0</v>
      </c>
      <c r="BJ131" s="5">
        <v>0.0</v>
      </c>
      <c r="BK131" s="5">
        <v>0.0</v>
      </c>
      <c r="BL131" s="5">
        <v>0.0</v>
      </c>
      <c r="BM131" s="7">
        <f t="shared" si="12"/>
        <v>2304.09079</v>
      </c>
      <c r="BN131" s="8"/>
    </row>
    <row r="132">
      <c r="A132" s="1" t="s">
        <v>192</v>
      </c>
      <c r="B132" s="1">
        <v>69.0</v>
      </c>
      <c r="C132" s="2">
        <f>7526/33406*100</f>
        <v>22.52888703</v>
      </c>
      <c r="D132" s="2">
        <f>4093/33406*100</f>
        <v>12.25229001</v>
      </c>
      <c r="E132" s="2">
        <f>16771/33406*100</f>
        <v>50.20355625</v>
      </c>
      <c r="F132" s="1">
        <v>15.0</v>
      </c>
      <c r="G132" s="1">
        <v>0.0</v>
      </c>
      <c r="H132" s="3">
        <f>1560/33406*100</f>
        <v>4.669819793</v>
      </c>
      <c r="I132" s="1">
        <v>0.0</v>
      </c>
      <c r="J132" s="1">
        <v>155.0</v>
      </c>
      <c r="K132" s="1">
        <v>142.0</v>
      </c>
      <c r="L132" s="1">
        <v>19.0</v>
      </c>
      <c r="M132" s="5">
        <v>2.0</v>
      </c>
      <c r="N132" s="1">
        <v>353.0</v>
      </c>
      <c r="O132" s="1">
        <v>38.0</v>
      </c>
      <c r="P132" s="1">
        <f>963/33406*100</f>
        <v>2.88271568</v>
      </c>
      <c r="Q132" s="1">
        <v>8.0</v>
      </c>
      <c r="R132" s="7">
        <f>727/33406*100</f>
        <v>2.176255762</v>
      </c>
      <c r="S132" s="1">
        <v>236.0</v>
      </c>
      <c r="T132" s="1">
        <v>0.0</v>
      </c>
      <c r="U132" s="1">
        <v>14.0</v>
      </c>
      <c r="V132" s="5">
        <v>2.0</v>
      </c>
      <c r="W132" s="1">
        <v>37.0</v>
      </c>
      <c r="X132" s="5">
        <v>5.0</v>
      </c>
      <c r="Y132" s="5">
        <v>0.0</v>
      </c>
      <c r="Z132" s="1">
        <v>5.0</v>
      </c>
      <c r="AA132" s="1">
        <f>550/33406*100</f>
        <v>1.646410824</v>
      </c>
      <c r="AB132" s="5">
        <v>0.0</v>
      </c>
      <c r="AC132" s="5">
        <v>20.0</v>
      </c>
      <c r="AD132" s="1">
        <v>0.0</v>
      </c>
      <c r="AE132" s="1">
        <v>17.0</v>
      </c>
      <c r="AF132" s="5">
        <v>0.0</v>
      </c>
      <c r="AG132" s="1">
        <v>12.0</v>
      </c>
      <c r="AH132" s="5">
        <v>0.0</v>
      </c>
      <c r="AI132" s="3">
        <v>63.0</v>
      </c>
      <c r="AJ132" s="5">
        <v>0.0</v>
      </c>
      <c r="AK132" s="5">
        <v>0.0</v>
      </c>
      <c r="AL132" s="5">
        <v>0.0</v>
      </c>
      <c r="AM132" s="5">
        <v>0.0</v>
      </c>
      <c r="AN132" s="5">
        <v>0.0</v>
      </c>
      <c r="AO132" s="5">
        <v>4.0</v>
      </c>
      <c r="AP132" s="5">
        <v>0.0</v>
      </c>
      <c r="AQ132" s="5">
        <v>0.0</v>
      </c>
      <c r="AR132" s="5">
        <v>0.0</v>
      </c>
      <c r="AS132" s="5">
        <v>0.0</v>
      </c>
      <c r="AT132" s="5">
        <v>0.0</v>
      </c>
      <c r="AU132" s="5">
        <v>0.0</v>
      </c>
      <c r="AV132" s="5">
        <v>0.0</v>
      </c>
      <c r="AW132" s="5">
        <v>0.0</v>
      </c>
      <c r="AX132" s="5">
        <v>0.0</v>
      </c>
      <c r="AY132" s="5">
        <v>0.0</v>
      </c>
      <c r="AZ132" s="5">
        <v>0.0</v>
      </c>
      <c r="BA132" s="5">
        <v>0.0</v>
      </c>
      <c r="BB132" s="5">
        <v>0.0</v>
      </c>
      <c r="BC132" s="5">
        <v>0.0</v>
      </c>
      <c r="BD132" s="5">
        <v>0.0</v>
      </c>
      <c r="BE132" s="5">
        <v>0.0</v>
      </c>
      <c r="BF132" s="5">
        <v>0.0</v>
      </c>
      <c r="BG132" s="5">
        <v>0.0</v>
      </c>
      <c r="BH132" s="5">
        <v>0.0</v>
      </c>
      <c r="BI132" s="5">
        <v>0.0</v>
      </c>
      <c r="BJ132" s="5">
        <v>0.0</v>
      </c>
      <c r="BK132" s="5">
        <v>0.0</v>
      </c>
      <c r="BL132" s="5">
        <v>0.0</v>
      </c>
      <c r="BM132" s="7">
        <f t="shared" si="12"/>
        <v>1312.359935</v>
      </c>
      <c r="BN132" s="8"/>
    </row>
    <row r="133">
      <c r="A133" s="1" t="s">
        <v>193</v>
      </c>
      <c r="B133" s="1">
        <v>122.0</v>
      </c>
      <c r="C133" s="2">
        <f>6128/38920*100</f>
        <v>15.74511819</v>
      </c>
      <c r="D133" s="2">
        <f>5222/38920*100</f>
        <v>13.41726619</v>
      </c>
      <c r="E133" s="2">
        <f>21234/38920*100</f>
        <v>54.55806783</v>
      </c>
      <c r="F133" s="1">
        <v>13.0</v>
      </c>
      <c r="G133" s="1">
        <v>13.0</v>
      </c>
      <c r="H133" s="3">
        <f>1737/38920*100</f>
        <v>4.463001028</v>
      </c>
      <c r="I133" s="1">
        <v>0.0</v>
      </c>
      <c r="J133" s="1">
        <f>480/38920*100</f>
        <v>1.233299075</v>
      </c>
      <c r="K133" s="1">
        <f>643/38920*100</f>
        <v>1.652106886</v>
      </c>
      <c r="L133" s="1">
        <v>31.0</v>
      </c>
      <c r="M133" s="5">
        <v>3.0</v>
      </c>
      <c r="N133" s="1">
        <v>331.0</v>
      </c>
      <c r="O133" s="1">
        <v>8.0</v>
      </c>
      <c r="P133" s="7">
        <f>791/38920*100</f>
        <v>2.032374101</v>
      </c>
      <c r="Q133" s="1">
        <v>24.0</v>
      </c>
      <c r="R133" s="1">
        <f>1268/38920*100</f>
        <v>3.257965057</v>
      </c>
      <c r="S133" s="1">
        <v>100.0</v>
      </c>
      <c r="T133" s="1">
        <v>13.0</v>
      </c>
      <c r="U133" s="1">
        <v>57.0</v>
      </c>
      <c r="V133" s="5">
        <v>2.0</v>
      </c>
      <c r="W133" s="1">
        <v>49.0</v>
      </c>
      <c r="X133" s="5">
        <v>4.0</v>
      </c>
      <c r="Y133" s="5">
        <v>0.0</v>
      </c>
      <c r="Z133" s="1">
        <v>25.0</v>
      </c>
      <c r="AA133" s="1">
        <f>380/38920*100</f>
        <v>0.9763617677</v>
      </c>
      <c r="AB133" s="5">
        <v>6.0</v>
      </c>
      <c r="AC133" s="5">
        <v>46.0</v>
      </c>
      <c r="AD133" s="1">
        <v>0.0</v>
      </c>
      <c r="AE133" s="1">
        <v>11.0</v>
      </c>
      <c r="AF133" s="5">
        <v>0.0</v>
      </c>
      <c r="AG133" s="1">
        <v>34.0</v>
      </c>
      <c r="AH133" s="5">
        <v>0.0</v>
      </c>
      <c r="AI133" s="3">
        <v>139.0</v>
      </c>
      <c r="AJ133" s="5">
        <v>0.0</v>
      </c>
      <c r="AK133" s="5">
        <v>2.0</v>
      </c>
      <c r="AL133" s="5">
        <v>0.0</v>
      </c>
      <c r="AM133" s="5">
        <v>0.0</v>
      </c>
      <c r="AN133" s="5">
        <v>0.0</v>
      </c>
      <c r="AO133" s="5">
        <v>0.0</v>
      </c>
      <c r="AP133" s="5">
        <v>0.0</v>
      </c>
      <c r="AQ133" s="5">
        <v>0.0</v>
      </c>
      <c r="AR133" s="5">
        <v>0.0</v>
      </c>
      <c r="AS133" s="5">
        <v>2.0</v>
      </c>
      <c r="AT133" s="5">
        <v>0.0</v>
      </c>
      <c r="AU133" s="5">
        <v>0.0</v>
      </c>
      <c r="AV133" s="5">
        <v>2.0</v>
      </c>
      <c r="AW133" s="5">
        <v>0.0</v>
      </c>
      <c r="AX133" s="5">
        <v>0.0</v>
      </c>
      <c r="AY133" s="5">
        <v>0.0</v>
      </c>
      <c r="AZ133" s="5">
        <v>0.0</v>
      </c>
      <c r="BA133" s="5">
        <v>0.0</v>
      </c>
      <c r="BB133" s="5">
        <v>0.0</v>
      </c>
      <c r="BC133" s="5">
        <v>0.0</v>
      </c>
      <c r="BD133" s="5">
        <v>0.0</v>
      </c>
      <c r="BE133" s="5">
        <v>0.0</v>
      </c>
      <c r="BF133" s="5">
        <v>0.0</v>
      </c>
      <c r="BG133" s="5">
        <v>0.0</v>
      </c>
      <c r="BH133" s="5">
        <v>0.0</v>
      </c>
      <c r="BI133" s="5">
        <v>0.0</v>
      </c>
      <c r="BJ133" s="5">
        <v>0.0</v>
      </c>
      <c r="BK133" s="5">
        <v>0.0</v>
      </c>
      <c r="BL133" s="5">
        <v>0.0</v>
      </c>
      <c r="BM133" s="7">
        <f t="shared" si="12"/>
        <v>1134.33556</v>
      </c>
      <c r="BN133" s="8"/>
    </row>
    <row r="134">
      <c r="A134" s="1" t="s">
        <v>194</v>
      </c>
      <c r="B134" s="1">
        <f>622/62139*100</f>
        <v>1.00098167</v>
      </c>
      <c r="C134" s="2">
        <f>7261/62139*100</f>
        <v>11.6850931</v>
      </c>
      <c r="D134" s="2">
        <f>7695/62139*100</f>
        <v>12.38352725</v>
      </c>
      <c r="E134" s="2">
        <f>39029/62139*100</f>
        <v>62.80918586</v>
      </c>
      <c r="F134" s="1">
        <v>29.0</v>
      </c>
      <c r="G134" s="1">
        <v>11.0</v>
      </c>
      <c r="H134" s="3">
        <f>3982/62139*100</f>
        <v>6.408213843</v>
      </c>
      <c r="I134" s="1">
        <v>0.0</v>
      </c>
      <c r="J134" s="1">
        <f>950/62139*100</f>
        <v>1.528830525</v>
      </c>
      <c r="K134" s="1">
        <f>774/62139*100</f>
        <v>1.245594554</v>
      </c>
      <c r="L134" s="1">
        <v>103.0</v>
      </c>
      <c r="M134" s="5">
        <v>25.0</v>
      </c>
      <c r="N134" s="1">
        <v>397.0</v>
      </c>
      <c r="O134" s="1">
        <v>35.0</v>
      </c>
      <c r="P134" s="1">
        <v>120.0</v>
      </c>
      <c r="Q134" s="1">
        <v>21.0</v>
      </c>
      <c r="R134" s="7">
        <f>620/62139*100</f>
        <v>0.9977630795</v>
      </c>
      <c r="S134" s="1">
        <v>46.0</v>
      </c>
      <c r="T134" s="1">
        <v>55.0</v>
      </c>
      <c r="U134" s="1">
        <v>9.0</v>
      </c>
      <c r="V134" s="5">
        <v>69.0</v>
      </c>
      <c r="W134" s="1">
        <v>25.0</v>
      </c>
      <c r="X134" s="5">
        <v>3.0</v>
      </c>
      <c r="Y134" s="5">
        <v>17.0</v>
      </c>
      <c r="Z134" s="1">
        <v>62.0</v>
      </c>
      <c r="AA134" s="1">
        <v>13.0</v>
      </c>
      <c r="AB134" s="5">
        <v>10.0</v>
      </c>
      <c r="AC134" s="5">
        <v>17.0</v>
      </c>
      <c r="AD134" s="1">
        <v>3.0</v>
      </c>
      <c r="AE134" s="1">
        <v>32.0</v>
      </c>
      <c r="AF134" s="5">
        <v>0.0</v>
      </c>
      <c r="AG134" s="1">
        <v>74.0</v>
      </c>
      <c r="AH134" s="5">
        <v>0.0</v>
      </c>
      <c r="AI134" s="3">
        <v>4.0</v>
      </c>
      <c r="AJ134" s="5">
        <v>0.0</v>
      </c>
      <c r="AK134" s="5">
        <v>13.0</v>
      </c>
      <c r="AL134" s="5">
        <v>0.0</v>
      </c>
      <c r="AM134" s="5">
        <v>0.0</v>
      </c>
      <c r="AN134" s="5">
        <v>0.0</v>
      </c>
      <c r="AO134" s="5">
        <v>11.0</v>
      </c>
      <c r="AP134" s="5">
        <v>0.0</v>
      </c>
      <c r="AQ134" s="5">
        <v>0.0</v>
      </c>
      <c r="AR134" s="5">
        <v>0.0</v>
      </c>
      <c r="AS134" s="5">
        <v>0.0</v>
      </c>
      <c r="AT134" s="5">
        <v>0.0</v>
      </c>
      <c r="AU134" s="5">
        <v>0.0</v>
      </c>
      <c r="AV134" s="5">
        <v>0.0</v>
      </c>
      <c r="AW134" s="5">
        <v>0.0</v>
      </c>
      <c r="AX134" s="5">
        <v>0.0</v>
      </c>
      <c r="AY134" s="5">
        <v>0.0</v>
      </c>
      <c r="AZ134" s="5">
        <v>0.0</v>
      </c>
      <c r="BA134" s="5">
        <v>0.0</v>
      </c>
      <c r="BB134" s="5">
        <v>0.0</v>
      </c>
      <c r="BC134" s="5">
        <v>0.0</v>
      </c>
      <c r="BD134" s="5">
        <v>0.0</v>
      </c>
      <c r="BE134" s="5">
        <v>0.0</v>
      </c>
      <c r="BF134" s="5">
        <v>0.0</v>
      </c>
      <c r="BG134" s="5">
        <v>2.0</v>
      </c>
      <c r="BH134" s="5">
        <v>0.0</v>
      </c>
      <c r="BI134" s="5">
        <v>0.0</v>
      </c>
      <c r="BJ134" s="5">
        <v>0.0</v>
      </c>
      <c r="BK134" s="5">
        <v>0.0</v>
      </c>
      <c r="BL134" s="5">
        <v>0.0</v>
      </c>
      <c r="BM134" s="7">
        <f t="shared" si="12"/>
        <v>1304.05919</v>
      </c>
      <c r="BN134" s="8"/>
    </row>
    <row r="135">
      <c r="A135" s="1" t="s">
        <v>195</v>
      </c>
      <c r="B135" s="1">
        <f>598/66748*100</f>
        <v>0.8959069935</v>
      </c>
      <c r="C135" s="2">
        <f>2649/66748*100</f>
        <v>3.968658237</v>
      </c>
      <c r="D135" s="2">
        <f>14541/66748*100</f>
        <v>21.78492239</v>
      </c>
      <c r="E135" s="2">
        <f>39883/66748*100</f>
        <v>59.75160304</v>
      </c>
      <c r="F135" s="1">
        <v>2.0</v>
      </c>
      <c r="G135" s="1">
        <v>19.0</v>
      </c>
      <c r="H135" s="3">
        <f>2539/66748*100</f>
        <v>3.803859292</v>
      </c>
      <c r="I135" s="1">
        <v>0.0</v>
      </c>
      <c r="J135" s="1">
        <f>1194/66748*100</f>
        <v>1.788817642</v>
      </c>
      <c r="K135" s="1">
        <f>1604/66748*100</f>
        <v>2.403068257</v>
      </c>
      <c r="L135" s="1">
        <v>211.0</v>
      </c>
      <c r="M135" s="5">
        <v>7.0</v>
      </c>
      <c r="N135" s="1">
        <f>884/66748*100</f>
        <v>1.324384251</v>
      </c>
      <c r="O135" s="1">
        <v>58.0</v>
      </c>
      <c r="P135" s="1">
        <v>229.0</v>
      </c>
      <c r="Q135" s="1">
        <v>56.0</v>
      </c>
      <c r="R135" s="1">
        <f>1487/66748*100</f>
        <v>2.227782106</v>
      </c>
      <c r="S135" s="1">
        <v>23.0</v>
      </c>
      <c r="T135" s="1">
        <v>149.0</v>
      </c>
      <c r="U135" s="1">
        <v>18.0</v>
      </c>
      <c r="V135" s="5">
        <v>117.0</v>
      </c>
      <c r="W135" s="1">
        <v>18.0</v>
      </c>
      <c r="X135" s="5">
        <v>12.0</v>
      </c>
      <c r="Y135" s="5">
        <v>8.0</v>
      </c>
      <c r="Z135" s="1">
        <v>141.0</v>
      </c>
      <c r="AA135" s="1">
        <v>16.0</v>
      </c>
      <c r="AB135" s="5">
        <v>7.0</v>
      </c>
      <c r="AC135" s="5">
        <v>19.0</v>
      </c>
      <c r="AD135" s="1">
        <v>6.0</v>
      </c>
      <c r="AE135" s="1">
        <v>45.0</v>
      </c>
      <c r="AF135" s="5">
        <v>0.0</v>
      </c>
      <c r="AG135" s="1">
        <v>148.0</v>
      </c>
      <c r="AH135" s="5">
        <v>0.0</v>
      </c>
      <c r="AI135" s="3">
        <v>4.0</v>
      </c>
      <c r="AJ135" s="5">
        <v>0.0</v>
      </c>
      <c r="AK135" s="5">
        <v>20.0</v>
      </c>
      <c r="AL135" s="5">
        <v>3.0</v>
      </c>
      <c r="AM135" s="5">
        <v>0.0</v>
      </c>
      <c r="AN135" s="5">
        <v>0.0</v>
      </c>
      <c r="AO135" s="5">
        <v>25.0</v>
      </c>
      <c r="AP135" s="5">
        <v>0.0</v>
      </c>
      <c r="AQ135" s="5">
        <v>3.0</v>
      </c>
      <c r="AR135" s="5">
        <v>0.0</v>
      </c>
      <c r="AS135" s="5">
        <v>0.0</v>
      </c>
      <c r="AT135" s="5">
        <v>0.0</v>
      </c>
      <c r="AU135" s="5">
        <v>0.0</v>
      </c>
      <c r="AV135" s="5">
        <v>0.0</v>
      </c>
      <c r="AW135" s="5">
        <v>0.0</v>
      </c>
      <c r="AX135" s="5">
        <v>0.0</v>
      </c>
      <c r="AY135" s="5">
        <v>0.0</v>
      </c>
      <c r="AZ135" s="5">
        <v>0.0</v>
      </c>
      <c r="BA135" s="5">
        <v>0.0</v>
      </c>
      <c r="BB135" s="5">
        <v>0.0</v>
      </c>
      <c r="BC135" s="5">
        <v>3.0</v>
      </c>
      <c r="BD135" s="5">
        <v>0.0</v>
      </c>
      <c r="BE135" s="5">
        <v>0.0</v>
      </c>
      <c r="BF135" s="5">
        <v>0.0</v>
      </c>
      <c r="BG135" s="5">
        <v>2.0</v>
      </c>
      <c r="BH135" s="5">
        <v>0.0</v>
      </c>
      <c r="BI135" s="5">
        <v>0.0</v>
      </c>
      <c r="BJ135" s="5">
        <v>0.0</v>
      </c>
      <c r="BK135" s="5">
        <v>0.0</v>
      </c>
      <c r="BL135" s="5">
        <v>0.0</v>
      </c>
      <c r="BM135" s="7">
        <f t="shared" si="12"/>
        <v>1466.949002</v>
      </c>
      <c r="BN135" s="8"/>
    </row>
    <row r="136">
      <c r="A136" s="1" t="s">
        <v>196</v>
      </c>
      <c r="B136" s="1">
        <v>163.0</v>
      </c>
      <c r="C136" s="2">
        <f>2093/45778*100</f>
        <v>4.572065184</v>
      </c>
      <c r="D136" s="2">
        <f>18236/45778*100</f>
        <v>39.83572895</v>
      </c>
      <c r="E136" s="2">
        <f>22729/45778*100</f>
        <v>49.65048713</v>
      </c>
      <c r="F136" s="1">
        <v>0.0</v>
      </c>
      <c r="G136" s="1">
        <v>52.0</v>
      </c>
      <c r="H136" s="3">
        <v>261.0</v>
      </c>
      <c r="I136" s="1">
        <v>0.0</v>
      </c>
      <c r="J136" s="1">
        <v>180.0</v>
      </c>
      <c r="K136" s="7">
        <f>776/45778*100</f>
        <v>1.695137402</v>
      </c>
      <c r="L136" s="1">
        <v>10.0</v>
      </c>
      <c r="M136" s="5">
        <v>0.0</v>
      </c>
      <c r="N136" s="1">
        <v>72.0</v>
      </c>
      <c r="O136" s="1">
        <v>13.0</v>
      </c>
      <c r="P136" s="1">
        <v>59.0</v>
      </c>
      <c r="Q136" s="1">
        <v>4.0</v>
      </c>
      <c r="R136" s="1">
        <v>17.0</v>
      </c>
      <c r="S136" s="1">
        <v>7.0</v>
      </c>
      <c r="T136" s="1">
        <v>18.0</v>
      </c>
      <c r="U136" s="1">
        <v>67.0</v>
      </c>
      <c r="V136" s="5">
        <v>250.0</v>
      </c>
      <c r="W136" s="7">
        <f>664/45778*100</f>
        <v>1.450478396</v>
      </c>
      <c r="X136" s="5">
        <v>21.0</v>
      </c>
      <c r="Y136" s="5">
        <v>10.0</v>
      </c>
      <c r="Z136" s="1">
        <v>22.0</v>
      </c>
      <c r="AA136" s="1">
        <v>0.0</v>
      </c>
      <c r="AB136" s="5">
        <v>6.0</v>
      </c>
      <c r="AC136" s="5">
        <v>0.0</v>
      </c>
      <c r="AD136" s="1">
        <v>0.0</v>
      </c>
      <c r="AE136" s="1">
        <v>0.0</v>
      </c>
      <c r="AF136" s="5">
        <v>0.0</v>
      </c>
      <c r="AG136" s="1">
        <v>42.0</v>
      </c>
      <c r="AH136" s="5">
        <v>0.0</v>
      </c>
      <c r="AI136" s="3">
        <v>0.0</v>
      </c>
      <c r="AJ136" s="5">
        <v>0.0</v>
      </c>
      <c r="AK136" s="5">
        <v>0.0</v>
      </c>
      <c r="AL136" s="5">
        <v>0.0</v>
      </c>
      <c r="AM136" s="5">
        <v>0.0</v>
      </c>
      <c r="AN136" s="5">
        <v>0.0</v>
      </c>
      <c r="AO136" s="5">
        <v>0.0</v>
      </c>
      <c r="AP136" s="5">
        <v>0.0</v>
      </c>
      <c r="AQ136" s="5">
        <v>0.0</v>
      </c>
      <c r="AR136" s="5">
        <v>0.0</v>
      </c>
      <c r="AS136" s="5">
        <v>0.0</v>
      </c>
      <c r="AT136" s="5">
        <v>0.0</v>
      </c>
      <c r="AU136" s="5">
        <v>0.0</v>
      </c>
      <c r="AV136" s="5">
        <v>0.0</v>
      </c>
      <c r="AW136" s="5">
        <v>6.0</v>
      </c>
      <c r="AX136" s="5">
        <v>0.0</v>
      </c>
      <c r="AY136" s="5">
        <v>0.0</v>
      </c>
      <c r="AZ136" s="5">
        <v>0.0</v>
      </c>
      <c r="BA136" s="5">
        <v>0.0</v>
      </c>
      <c r="BB136" s="5">
        <v>0.0</v>
      </c>
      <c r="BC136" s="5">
        <v>0.0</v>
      </c>
      <c r="BD136" s="5">
        <v>0.0</v>
      </c>
      <c r="BE136" s="5">
        <v>0.0</v>
      </c>
      <c r="BF136" s="5">
        <v>0.0</v>
      </c>
      <c r="BG136" s="5">
        <v>0.0</v>
      </c>
      <c r="BH136" s="5">
        <v>0.0</v>
      </c>
      <c r="BI136" s="5">
        <v>0.0</v>
      </c>
      <c r="BJ136" s="5">
        <v>0.0</v>
      </c>
      <c r="BK136" s="5">
        <v>0.0</v>
      </c>
      <c r="BL136" s="5">
        <v>0.0</v>
      </c>
      <c r="BM136" s="7">
        <f t="shared" si="12"/>
        <v>1377.203897</v>
      </c>
    </row>
    <row r="137">
      <c r="A137" s="1" t="s">
        <v>197</v>
      </c>
      <c r="B137" s="1">
        <v>91.0</v>
      </c>
      <c r="C137" s="2">
        <f>760/58115*100</f>
        <v>1.307751871</v>
      </c>
      <c r="D137" s="2">
        <f>31382/58115*100</f>
        <v>53.99982793</v>
      </c>
      <c r="E137" s="2">
        <f>23098/58115*100</f>
        <v>39.74533253</v>
      </c>
      <c r="F137" s="1">
        <v>0.0</v>
      </c>
      <c r="G137" s="1">
        <v>29.0</v>
      </c>
      <c r="H137" s="3">
        <v>165.0</v>
      </c>
      <c r="I137" s="1">
        <v>0.0</v>
      </c>
      <c r="J137" s="1">
        <v>64.0</v>
      </c>
      <c r="K137" s="1">
        <f>1531/58115*100</f>
        <v>2.63443173</v>
      </c>
      <c r="L137" s="1">
        <v>11.0</v>
      </c>
      <c r="M137" s="5">
        <v>0.0</v>
      </c>
      <c r="N137" s="1">
        <v>61.0</v>
      </c>
      <c r="O137" s="1">
        <v>7.0</v>
      </c>
      <c r="P137" s="1">
        <v>79.0</v>
      </c>
      <c r="Q137" s="1">
        <v>20.0</v>
      </c>
      <c r="R137" s="1">
        <v>23.0</v>
      </c>
      <c r="S137" s="1">
        <v>2.0</v>
      </c>
      <c r="T137" s="1">
        <v>2.0</v>
      </c>
      <c r="U137" s="1">
        <v>29.0</v>
      </c>
      <c r="V137" s="5">
        <v>88.0</v>
      </c>
      <c r="W137" s="1">
        <f>565/58115*100</f>
        <v>0.9722102727</v>
      </c>
      <c r="X137" s="5">
        <v>33.0</v>
      </c>
      <c r="Y137" s="5">
        <v>2.0</v>
      </c>
      <c r="Z137" s="1">
        <v>17.0</v>
      </c>
      <c r="AA137" s="1">
        <v>0.0</v>
      </c>
      <c r="AB137" s="5">
        <v>0.0</v>
      </c>
      <c r="AC137" s="5">
        <v>0.0</v>
      </c>
      <c r="AD137" s="1">
        <v>7.0</v>
      </c>
      <c r="AE137" s="1">
        <v>0.0</v>
      </c>
      <c r="AF137" s="5">
        <v>0.0</v>
      </c>
      <c r="AG137" s="1">
        <v>45.0</v>
      </c>
      <c r="AH137" s="5">
        <v>0.0</v>
      </c>
      <c r="AI137" s="3">
        <v>0.0</v>
      </c>
      <c r="AJ137" s="5">
        <v>0.0</v>
      </c>
      <c r="AK137" s="5">
        <v>0.0</v>
      </c>
      <c r="AL137" s="5">
        <v>0.0</v>
      </c>
      <c r="AM137" s="5">
        <v>0.0</v>
      </c>
      <c r="AN137" s="5">
        <v>0.0</v>
      </c>
      <c r="AO137" s="5">
        <v>0.0</v>
      </c>
      <c r="AP137" s="5">
        <v>0.0</v>
      </c>
      <c r="AQ137" s="5">
        <v>0.0</v>
      </c>
      <c r="AR137" s="5">
        <v>0.0</v>
      </c>
      <c r="AS137" s="5">
        <v>0.0</v>
      </c>
      <c r="AT137" s="5">
        <v>0.0</v>
      </c>
      <c r="AU137" s="5">
        <v>0.0</v>
      </c>
      <c r="AV137" s="5">
        <v>0.0</v>
      </c>
      <c r="AW137" s="5">
        <v>4.0</v>
      </c>
      <c r="AX137" s="5">
        <v>0.0</v>
      </c>
      <c r="AY137" s="5">
        <v>0.0</v>
      </c>
      <c r="AZ137" s="5">
        <v>0.0</v>
      </c>
      <c r="BA137" s="5">
        <v>0.0</v>
      </c>
      <c r="BB137" s="5">
        <v>0.0</v>
      </c>
      <c r="BC137" s="5">
        <v>0.0</v>
      </c>
      <c r="BD137" s="5">
        <v>0.0</v>
      </c>
      <c r="BE137" s="5">
        <v>0.0</v>
      </c>
      <c r="BF137" s="5">
        <v>0.0</v>
      </c>
      <c r="BG137" s="5">
        <v>0.0</v>
      </c>
      <c r="BH137" s="5">
        <v>0.0</v>
      </c>
      <c r="BI137" s="5">
        <v>0.0</v>
      </c>
      <c r="BJ137" s="5">
        <v>0.0</v>
      </c>
      <c r="BK137" s="5">
        <v>0.0</v>
      </c>
      <c r="BL137" s="5">
        <v>0.0</v>
      </c>
      <c r="BM137" s="7">
        <f t="shared" si="12"/>
        <v>877.6595543</v>
      </c>
    </row>
    <row r="138">
      <c r="A138" s="1" t="s">
        <v>198</v>
      </c>
      <c r="B138" s="1">
        <v>206.0</v>
      </c>
      <c r="C138" s="2">
        <f>19535/100335*100</f>
        <v>19.46977625</v>
      </c>
      <c r="D138" s="2">
        <f>21410/100335*100</f>
        <v>21.33851597</v>
      </c>
      <c r="E138" s="2">
        <f>42727/100335*100</f>
        <v>42.58434245</v>
      </c>
      <c r="F138" s="1">
        <v>5.0</v>
      </c>
      <c r="G138" s="1">
        <v>0.0</v>
      </c>
      <c r="H138" s="3">
        <f>1055/100335*100</f>
        <v>1.05147755</v>
      </c>
      <c r="I138" s="1">
        <v>0.0</v>
      </c>
      <c r="J138" s="1">
        <f>7896/100335*100</f>
        <v>7.869636717</v>
      </c>
      <c r="K138" s="1">
        <v>361.0</v>
      </c>
      <c r="L138" s="1">
        <v>7.0</v>
      </c>
      <c r="M138" s="5">
        <v>4.0</v>
      </c>
      <c r="N138" s="1">
        <v>218.0</v>
      </c>
      <c r="O138" s="1">
        <v>5.0</v>
      </c>
      <c r="P138" s="1">
        <f>6418/100335*100</f>
        <v>6.396571486</v>
      </c>
      <c r="Q138" s="1">
        <v>21.0</v>
      </c>
      <c r="R138" s="1">
        <v>91.0</v>
      </c>
      <c r="S138" s="1">
        <v>136.0</v>
      </c>
      <c r="T138" s="1">
        <v>38.0</v>
      </c>
      <c r="U138" s="1">
        <v>22.0</v>
      </c>
      <c r="V138" s="5">
        <v>7.0</v>
      </c>
      <c r="W138" s="1">
        <v>9.0</v>
      </c>
      <c r="X138" s="5">
        <v>6.0</v>
      </c>
      <c r="Y138" s="5">
        <v>14.0</v>
      </c>
      <c r="Z138" s="1">
        <v>72.0</v>
      </c>
      <c r="AA138" s="1">
        <v>14.0</v>
      </c>
      <c r="AB138" s="5">
        <v>0.0</v>
      </c>
      <c r="AC138" s="5">
        <v>3.0</v>
      </c>
      <c r="AD138" s="1">
        <v>8.0</v>
      </c>
      <c r="AE138" s="1">
        <v>0.0</v>
      </c>
      <c r="AF138" s="5">
        <v>0.0</v>
      </c>
      <c r="AG138" s="1">
        <v>25.0</v>
      </c>
      <c r="AH138" s="5">
        <v>0.0</v>
      </c>
      <c r="AI138" s="3">
        <v>22.0</v>
      </c>
      <c r="AJ138" s="5">
        <v>0.0</v>
      </c>
      <c r="AK138" s="5">
        <v>0.0</v>
      </c>
      <c r="AL138" s="5">
        <v>0.0</v>
      </c>
      <c r="AM138" s="5">
        <v>0.0</v>
      </c>
      <c r="AN138" s="5">
        <v>0.0</v>
      </c>
      <c r="AO138" s="5">
        <v>0.0</v>
      </c>
      <c r="AP138" s="5">
        <v>0.0</v>
      </c>
      <c r="AQ138" s="5">
        <v>0.0</v>
      </c>
      <c r="AR138" s="5">
        <v>0.0</v>
      </c>
      <c r="AS138" s="5">
        <v>0.0</v>
      </c>
      <c r="AT138" s="5">
        <v>0.0</v>
      </c>
      <c r="AU138" s="5">
        <v>0.0</v>
      </c>
      <c r="AV138" s="5">
        <v>0.0</v>
      </c>
      <c r="AW138" s="5">
        <v>0.0</v>
      </c>
      <c r="AX138" s="5">
        <v>0.0</v>
      </c>
      <c r="AY138" s="5">
        <v>0.0</v>
      </c>
      <c r="AZ138" s="5">
        <v>0.0</v>
      </c>
      <c r="BA138" s="5">
        <v>0.0</v>
      </c>
      <c r="BB138" s="5">
        <v>0.0</v>
      </c>
      <c r="BC138" s="5">
        <v>0.0</v>
      </c>
      <c r="BD138" s="5">
        <v>0.0</v>
      </c>
      <c r="BE138" s="5">
        <v>0.0</v>
      </c>
      <c r="BF138" s="5">
        <v>0.0</v>
      </c>
      <c r="BG138" s="5">
        <v>0.0</v>
      </c>
      <c r="BH138" s="5">
        <v>0.0</v>
      </c>
      <c r="BI138" s="5">
        <v>0.0</v>
      </c>
      <c r="BJ138" s="5">
        <v>0.0</v>
      </c>
      <c r="BK138" s="5">
        <v>0.0</v>
      </c>
      <c r="BL138" s="5">
        <v>0.0</v>
      </c>
      <c r="BM138" s="7">
        <f t="shared" si="12"/>
        <v>1392.71032</v>
      </c>
      <c r="BN138" s="8"/>
    </row>
    <row r="139">
      <c r="A139" s="1" t="s">
        <v>199</v>
      </c>
      <c r="B139" s="1">
        <v>197.0</v>
      </c>
      <c r="C139" s="2">
        <f>13718/86814*100</f>
        <v>15.80159882</v>
      </c>
      <c r="D139" s="2">
        <f>16110/86814*100</f>
        <v>18.55691478</v>
      </c>
      <c r="E139" s="2">
        <f>40426/86814*100</f>
        <v>46.56622204</v>
      </c>
      <c r="F139" s="1">
        <v>16.0</v>
      </c>
      <c r="G139" s="1">
        <v>0.0</v>
      </c>
      <c r="H139" s="3">
        <f>1537/86814*100</f>
        <v>1.77045177</v>
      </c>
      <c r="I139" s="1">
        <v>0.0</v>
      </c>
      <c r="J139" s="1">
        <f>8883/86814*100</f>
        <v>10.23222061</v>
      </c>
      <c r="K139" s="1">
        <v>213.0</v>
      </c>
      <c r="L139" s="1">
        <v>6.0</v>
      </c>
      <c r="M139" s="5">
        <v>5.0</v>
      </c>
      <c r="N139" s="1">
        <v>193.0</v>
      </c>
      <c r="O139" s="1">
        <v>13.0</v>
      </c>
      <c r="P139" s="1">
        <f>5013/86814*100</f>
        <v>5.774414265</v>
      </c>
      <c r="Q139" s="1">
        <v>11.0</v>
      </c>
      <c r="R139" s="1">
        <v>113.0</v>
      </c>
      <c r="S139" s="1">
        <v>132.0</v>
      </c>
      <c r="T139" s="1">
        <v>42.0</v>
      </c>
      <c r="U139" s="1">
        <v>23.0</v>
      </c>
      <c r="V139" s="5">
        <v>0.0</v>
      </c>
      <c r="W139" s="1">
        <v>16.0</v>
      </c>
      <c r="X139" s="5">
        <v>5.0</v>
      </c>
      <c r="Y139" s="5">
        <v>49.0</v>
      </c>
      <c r="Z139" s="1">
        <v>27.0</v>
      </c>
      <c r="AA139" s="1">
        <v>15.0</v>
      </c>
      <c r="AB139" s="5">
        <v>5.0</v>
      </c>
      <c r="AC139" s="5">
        <v>24.0</v>
      </c>
      <c r="AD139" s="1">
        <v>2.0</v>
      </c>
      <c r="AE139" s="1">
        <v>2.0</v>
      </c>
      <c r="AF139" s="5">
        <v>5.0</v>
      </c>
      <c r="AG139" s="1">
        <v>5.0</v>
      </c>
      <c r="AH139" s="5">
        <v>0.0</v>
      </c>
      <c r="AI139" s="3">
        <v>6.0</v>
      </c>
      <c r="AJ139" s="5">
        <v>0.0</v>
      </c>
      <c r="AK139" s="5">
        <v>0.0</v>
      </c>
      <c r="AL139" s="5">
        <v>0.0</v>
      </c>
      <c r="AM139" s="5">
        <v>0.0</v>
      </c>
      <c r="AN139" s="5">
        <v>0.0</v>
      </c>
      <c r="AO139" s="5">
        <v>0.0</v>
      </c>
      <c r="AP139" s="5">
        <v>0.0</v>
      </c>
      <c r="AQ139" s="5">
        <v>2.0</v>
      </c>
      <c r="AR139" s="5">
        <v>0.0</v>
      </c>
      <c r="AS139" s="5">
        <v>0.0</v>
      </c>
      <c r="AT139" s="5">
        <v>0.0</v>
      </c>
      <c r="AU139" s="5">
        <v>0.0</v>
      </c>
      <c r="AV139" s="5">
        <v>0.0</v>
      </c>
      <c r="AW139" s="5">
        <v>0.0</v>
      </c>
      <c r="AX139" s="5">
        <v>0.0</v>
      </c>
      <c r="AY139" s="5">
        <v>0.0</v>
      </c>
      <c r="AZ139" s="5">
        <v>0.0</v>
      </c>
      <c r="BA139" s="5">
        <v>0.0</v>
      </c>
      <c r="BB139" s="5">
        <v>0.0</v>
      </c>
      <c r="BC139" s="5">
        <v>0.0</v>
      </c>
      <c r="BD139" s="5">
        <v>0.0</v>
      </c>
      <c r="BE139" s="5">
        <v>0.0</v>
      </c>
      <c r="BF139" s="5">
        <v>0.0</v>
      </c>
      <c r="BG139" s="5">
        <v>0.0</v>
      </c>
      <c r="BH139" s="5">
        <v>0.0</v>
      </c>
      <c r="BI139" s="5">
        <v>0.0</v>
      </c>
      <c r="BJ139" s="5">
        <v>0.0</v>
      </c>
      <c r="BK139" s="5">
        <v>0.0</v>
      </c>
      <c r="BL139" s="5">
        <v>0.0</v>
      </c>
      <c r="BM139" s="7">
        <f t="shared" si="12"/>
        <v>1225.701822</v>
      </c>
      <c r="BN139" s="8"/>
    </row>
    <row r="140">
      <c r="A140" s="1" t="s">
        <v>200</v>
      </c>
      <c r="B140" s="1">
        <v>701.0</v>
      </c>
      <c r="C140" s="2">
        <f>18210/99605*100</f>
        <v>18.28221475</v>
      </c>
      <c r="D140" s="2">
        <f>17389/99605*100</f>
        <v>17.45795894</v>
      </c>
      <c r="E140" s="2">
        <f>56497/99605*100</f>
        <v>56.72104814</v>
      </c>
      <c r="F140" s="1">
        <v>4.0</v>
      </c>
      <c r="G140" s="1">
        <v>33.0</v>
      </c>
      <c r="H140" s="3">
        <f>1681/99605*100</f>
        <v>1.687666282</v>
      </c>
      <c r="I140" s="1">
        <v>5.0</v>
      </c>
      <c r="J140" s="1">
        <v>255.0</v>
      </c>
      <c r="K140" s="1">
        <f>1774/99605*100</f>
        <v>1.781035089</v>
      </c>
      <c r="L140" s="1">
        <v>209.0</v>
      </c>
      <c r="M140" s="5">
        <v>62.0</v>
      </c>
      <c r="N140" s="1">
        <v>219.0</v>
      </c>
      <c r="O140" s="1">
        <v>401.0</v>
      </c>
      <c r="P140" s="1">
        <v>653.0</v>
      </c>
      <c r="Q140" s="1">
        <v>192.0</v>
      </c>
      <c r="R140" s="1">
        <v>69.0</v>
      </c>
      <c r="S140" s="1">
        <v>76.0</v>
      </c>
      <c r="T140" s="1">
        <v>48.0</v>
      </c>
      <c r="U140" s="1">
        <v>121.0</v>
      </c>
      <c r="V140" s="5">
        <v>81.0</v>
      </c>
      <c r="W140" s="1">
        <v>71.0</v>
      </c>
      <c r="X140" s="5">
        <v>122.0</v>
      </c>
      <c r="Y140" s="5">
        <v>83.0</v>
      </c>
      <c r="Z140" s="1">
        <v>94.0</v>
      </c>
      <c r="AA140" s="1">
        <v>89.0</v>
      </c>
      <c r="AB140" s="5">
        <v>43.0</v>
      </c>
      <c r="AC140" s="5">
        <v>82.0</v>
      </c>
      <c r="AD140" s="1">
        <v>23.0</v>
      </c>
      <c r="AE140" s="1">
        <v>85.0</v>
      </c>
      <c r="AF140" s="5">
        <v>11.0</v>
      </c>
      <c r="AG140" s="1">
        <v>134.0</v>
      </c>
      <c r="AH140" s="5">
        <v>5.0</v>
      </c>
      <c r="AI140" s="3">
        <v>13.0</v>
      </c>
      <c r="AJ140" s="5">
        <v>0.0</v>
      </c>
      <c r="AK140" s="5">
        <v>8.0</v>
      </c>
      <c r="AL140" s="5">
        <v>7.0</v>
      </c>
      <c r="AM140" s="5">
        <v>0.0</v>
      </c>
      <c r="AN140" s="5">
        <v>0.0</v>
      </c>
      <c r="AO140" s="5">
        <v>7.0</v>
      </c>
      <c r="AP140" s="5">
        <v>0.0</v>
      </c>
      <c r="AQ140" s="5">
        <v>0.0</v>
      </c>
      <c r="AR140" s="5">
        <v>6.0</v>
      </c>
      <c r="AS140" s="5">
        <v>0.0</v>
      </c>
      <c r="AT140" s="5">
        <v>0.0</v>
      </c>
      <c r="AU140" s="5">
        <v>0.0</v>
      </c>
      <c r="AV140" s="5">
        <v>15.0</v>
      </c>
      <c r="AW140" s="5">
        <v>0.0</v>
      </c>
      <c r="AX140" s="5">
        <v>6.0</v>
      </c>
      <c r="AY140" s="5">
        <v>0.0</v>
      </c>
      <c r="AZ140" s="5">
        <v>0.0</v>
      </c>
      <c r="BA140" s="5">
        <v>0.0</v>
      </c>
      <c r="BB140" s="5">
        <v>0.0</v>
      </c>
      <c r="BC140" s="5">
        <v>0.0</v>
      </c>
      <c r="BD140" s="5">
        <v>0.0</v>
      </c>
      <c r="BE140" s="5">
        <v>10.0</v>
      </c>
      <c r="BF140" s="5">
        <v>6.0</v>
      </c>
      <c r="BG140" s="5">
        <v>5.0</v>
      </c>
      <c r="BH140" s="5">
        <v>0.0</v>
      </c>
      <c r="BI140" s="5">
        <v>0.0</v>
      </c>
      <c r="BJ140" s="5">
        <v>0.0</v>
      </c>
      <c r="BK140" s="5">
        <v>0.0</v>
      </c>
      <c r="BL140" s="5">
        <v>0.0</v>
      </c>
      <c r="BM140" s="7">
        <f t="shared" si="12"/>
        <v>4149.929923</v>
      </c>
      <c r="BN140" s="8"/>
    </row>
    <row r="141">
      <c r="A141" s="1" t="s">
        <v>201</v>
      </c>
      <c r="B141" s="1">
        <f>1188/94879*100</f>
        <v>1.252121123</v>
      </c>
      <c r="C141" s="2">
        <f>14547/94879*100</f>
        <v>15.33215991</v>
      </c>
      <c r="D141" s="2">
        <f>16114/94879*100</f>
        <v>16.98373718</v>
      </c>
      <c r="E141" s="2">
        <f>55230/94879*100</f>
        <v>58.21098452</v>
      </c>
      <c r="F141" s="1">
        <v>17.0</v>
      </c>
      <c r="G141" s="1">
        <v>59.0</v>
      </c>
      <c r="H141" s="3">
        <f>2573/94879*100</f>
        <v>2.711875125</v>
      </c>
      <c r="I141" s="1">
        <v>0.0</v>
      </c>
      <c r="J141" s="1">
        <v>336.0</v>
      </c>
      <c r="K141" s="1">
        <f>1529/94879*100</f>
        <v>1.61152626</v>
      </c>
      <c r="L141" s="1">
        <v>310.0</v>
      </c>
      <c r="M141" s="5">
        <v>70.0</v>
      </c>
      <c r="N141" s="1">
        <v>228.0</v>
      </c>
      <c r="O141" s="1">
        <v>346.0</v>
      </c>
      <c r="P141" s="1">
        <v>708.0</v>
      </c>
      <c r="Q141" s="1">
        <v>148.0</v>
      </c>
      <c r="R141" s="1">
        <v>87.0</v>
      </c>
      <c r="S141" s="1">
        <v>136.0</v>
      </c>
      <c r="T141" s="1">
        <v>33.0</v>
      </c>
      <c r="U141" s="1">
        <v>250.0</v>
      </c>
      <c r="V141" s="5">
        <v>109.0</v>
      </c>
      <c r="W141" s="1">
        <v>80.0</v>
      </c>
      <c r="X141" s="5">
        <v>70.0</v>
      </c>
      <c r="Y141" s="5">
        <v>130.0</v>
      </c>
      <c r="Z141" s="1">
        <v>82.0</v>
      </c>
      <c r="AA141" s="1">
        <v>71.0</v>
      </c>
      <c r="AB141" s="5">
        <v>40.0</v>
      </c>
      <c r="AC141" s="5">
        <v>73.0</v>
      </c>
      <c r="AD141" s="1">
        <v>31.0</v>
      </c>
      <c r="AE141" s="1">
        <v>87.0</v>
      </c>
      <c r="AF141" s="5">
        <v>8.0</v>
      </c>
      <c r="AG141" s="1">
        <v>138.0</v>
      </c>
      <c r="AH141" s="5">
        <v>0.0</v>
      </c>
      <c r="AI141" s="3">
        <v>22.0</v>
      </c>
      <c r="AJ141" s="5">
        <v>2.0</v>
      </c>
      <c r="AK141" s="5">
        <v>4.0</v>
      </c>
      <c r="AL141" s="5">
        <v>11.0</v>
      </c>
      <c r="AM141" s="5">
        <v>0.0</v>
      </c>
      <c r="AN141" s="5">
        <v>0.0</v>
      </c>
      <c r="AO141" s="5">
        <v>2.0</v>
      </c>
      <c r="AP141" s="5">
        <v>2.0</v>
      </c>
      <c r="AQ141" s="5">
        <v>0.0</v>
      </c>
      <c r="AR141" s="5">
        <v>0.0</v>
      </c>
      <c r="AS141" s="5">
        <v>0.0</v>
      </c>
      <c r="AT141" s="5">
        <v>0.0</v>
      </c>
      <c r="AU141" s="5">
        <v>0.0</v>
      </c>
      <c r="AV141" s="5">
        <v>0.0</v>
      </c>
      <c r="AW141" s="5">
        <v>0.0</v>
      </c>
      <c r="AX141" s="5">
        <v>0.0</v>
      </c>
      <c r="AY141" s="5">
        <v>0.0</v>
      </c>
      <c r="AZ141" s="5">
        <v>0.0</v>
      </c>
      <c r="BA141" s="5">
        <v>0.0</v>
      </c>
      <c r="BB141" s="5">
        <v>0.0</v>
      </c>
      <c r="BC141" s="5">
        <v>0.0</v>
      </c>
      <c r="BD141" s="5">
        <v>0.0</v>
      </c>
      <c r="BE141" s="5">
        <v>3.0</v>
      </c>
      <c r="BF141" s="5">
        <v>3.0</v>
      </c>
      <c r="BG141" s="5">
        <v>2.0</v>
      </c>
      <c r="BH141" s="5">
        <v>0.0</v>
      </c>
      <c r="BI141" s="5">
        <v>0.0</v>
      </c>
      <c r="BJ141" s="5">
        <v>0.0</v>
      </c>
      <c r="BK141" s="5">
        <v>0.0</v>
      </c>
      <c r="BL141" s="5">
        <v>0.0</v>
      </c>
      <c r="BM141" s="7">
        <f t="shared" si="12"/>
        <v>3794.102404</v>
      </c>
      <c r="BN141" s="8"/>
    </row>
    <row r="142">
      <c r="A142" s="1" t="s">
        <v>202</v>
      </c>
      <c r="B142" s="1">
        <v>418.0</v>
      </c>
      <c r="C142" s="2">
        <f>18480/83315*100</f>
        <v>22.18087979</v>
      </c>
      <c r="D142" s="2">
        <f>17055/83315*100</f>
        <v>20.47050351</v>
      </c>
      <c r="E142" s="2">
        <f>33870/83315*100</f>
        <v>40.65294365</v>
      </c>
      <c r="F142" s="1">
        <v>3.0</v>
      </c>
      <c r="G142" s="1">
        <v>0.0</v>
      </c>
      <c r="H142" s="3">
        <f>3819/83315*100</f>
        <v>4.583808438</v>
      </c>
      <c r="I142" s="1">
        <v>0.0</v>
      </c>
      <c r="J142" s="1">
        <v>108.0</v>
      </c>
      <c r="K142" s="1">
        <v>336.0</v>
      </c>
      <c r="L142" s="1">
        <v>7.0</v>
      </c>
      <c r="M142" s="5">
        <v>3.0</v>
      </c>
      <c r="N142" s="1">
        <f>3345/83315*100</f>
        <v>4.014883274</v>
      </c>
      <c r="O142" s="1">
        <v>3.0</v>
      </c>
      <c r="P142" s="1">
        <v>620.0</v>
      </c>
      <c r="Q142" s="1">
        <v>19.0</v>
      </c>
      <c r="R142" s="1">
        <v>220.0</v>
      </c>
      <c r="S142" s="1">
        <v>199.0</v>
      </c>
      <c r="T142" s="1">
        <v>4.0</v>
      </c>
      <c r="U142" s="1">
        <v>31.0</v>
      </c>
      <c r="V142" s="5">
        <v>3.0</v>
      </c>
      <c r="W142" s="1">
        <v>0.0</v>
      </c>
      <c r="X142" s="5">
        <v>0.0</v>
      </c>
      <c r="Y142" s="5">
        <v>12.0</v>
      </c>
      <c r="Z142" s="1">
        <v>30.0</v>
      </c>
      <c r="AA142" s="1">
        <f>3507/83315*100</f>
        <v>4.209326052</v>
      </c>
      <c r="AB142" s="5">
        <v>15.0</v>
      </c>
      <c r="AC142" s="5">
        <v>0.0</v>
      </c>
      <c r="AD142" s="1">
        <f>887/83315*100</f>
        <v>1.06463422</v>
      </c>
      <c r="AE142" s="1">
        <v>231.0</v>
      </c>
      <c r="AF142" s="5">
        <v>2.0</v>
      </c>
      <c r="AG142" s="1">
        <v>62.0</v>
      </c>
      <c r="AH142" s="5">
        <v>0.0</v>
      </c>
      <c r="AI142" s="3">
        <v>26.0</v>
      </c>
      <c r="AJ142" s="5">
        <v>0.0</v>
      </c>
      <c r="AK142" s="5">
        <v>0.0</v>
      </c>
      <c r="AL142" s="5">
        <v>0.0</v>
      </c>
      <c r="AM142" s="5">
        <v>0.0</v>
      </c>
      <c r="AN142" s="5">
        <v>0.0</v>
      </c>
      <c r="AO142" s="5">
        <v>0.0</v>
      </c>
      <c r="AP142" s="5">
        <v>0.0</v>
      </c>
      <c r="AQ142" s="5">
        <v>0.0</v>
      </c>
      <c r="AR142" s="5">
        <v>0.0</v>
      </c>
      <c r="AS142" s="5">
        <v>0.0</v>
      </c>
      <c r="AT142" s="5">
        <v>0.0</v>
      </c>
      <c r="AU142" s="5">
        <v>0.0</v>
      </c>
      <c r="AV142" s="5">
        <v>0.0</v>
      </c>
      <c r="AW142" s="5">
        <v>0.0</v>
      </c>
      <c r="AX142" s="5">
        <v>0.0</v>
      </c>
      <c r="AY142" s="5">
        <v>0.0</v>
      </c>
      <c r="AZ142" s="5">
        <v>0.0</v>
      </c>
      <c r="BA142" s="5">
        <v>0.0</v>
      </c>
      <c r="BB142" s="5">
        <v>0.0</v>
      </c>
      <c r="BC142" s="5">
        <v>0.0</v>
      </c>
      <c r="BD142" s="5">
        <v>0.0</v>
      </c>
      <c r="BE142" s="5">
        <v>0.0</v>
      </c>
      <c r="BF142" s="5">
        <v>0.0</v>
      </c>
      <c r="BG142" s="5">
        <v>0.0</v>
      </c>
      <c r="BH142" s="5">
        <v>0.0</v>
      </c>
      <c r="BI142" s="5">
        <v>0.0</v>
      </c>
      <c r="BJ142" s="5">
        <v>0.0</v>
      </c>
      <c r="BK142" s="5">
        <v>0.0</v>
      </c>
      <c r="BL142" s="5">
        <v>0.0</v>
      </c>
      <c r="BM142" s="7">
        <f t="shared" si="12"/>
        <v>2449.176979</v>
      </c>
      <c r="BN142" s="8"/>
    </row>
    <row r="143">
      <c r="A143" s="1" t="s">
        <v>203</v>
      </c>
      <c r="B143" s="1">
        <v>128.0</v>
      </c>
      <c r="C143" s="2">
        <f>11117/56357*100</f>
        <v>19.72603226</v>
      </c>
      <c r="D143" s="2">
        <f>12203/56357*100</f>
        <v>21.65303334</v>
      </c>
      <c r="E143" s="2">
        <f>23875/56357*100</f>
        <v>42.36385897</v>
      </c>
      <c r="F143" s="1">
        <v>0.0</v>
      </c>
      <c r="G143" s="1">
        <v>2.0</v>
      </c>
      <c r="H143" s="3">
        <f>1862/56357*100</f>
        <v>3.303937399</v>
      </c>
      <c r="I143" s="1">
        <v>0.0</v>
      </c>
      <c r="J143" s="1">
        <v>55.0</v>
      </c>
      <c r="K143" s="1">
        <v>282.0</v>
      </c>
      <c r="L143" s="1">
        <v>7.0</v>
      </c>
      <c r="M143" s="5">
        <v>0.0</v>
      </c>
      <c r="N143" s="1">
        <f>2217/56357*100</f>
        <v>3.933850276</v>
      </c>
      <c r="O143" s="1">
        <v>0.0</v>
      </c>
      <c r="P143" s="1">
        <v>197.0</v>
      </c>
      <c r="Q143" s="1">
        <v>11.0</v>
      </c>
      <c r="R143" s="1">
        <v>165.0</v>
      </c>
      <c r="S143" s="1">
        <v>85.0</v>
      </c>
      <c r="T143" s="1">
        <v>5.0</v>
      </c>
      <c r="U143" s="1">
        <v>30.0</v>
      </c>
      <c r="V143" s="5">
        <v>0.0</v>
      </c>
      <c r="W143" s="1">
        <v>0.0</v>
      </c>
      <c r="X143" s="5">
        <v>0.0</v>
      </c>
      <c r="Y143" s="5">
        <v>11.0</v>
      </c>
      <c r="Z143" s="1">
        <v>41.0</v>
      </c>
      <c r="AA143" s="1">
        <f>2986/56357*100</f>
        <v>5.298365775</v>
      </c>
      <c r="AB143" s="5">
        <v>2.0</v>
      </c>
      <c r="AC143" s="5">
        <v>0.0</v>
      </c>
      <c r="AD143" s="1">
        <f>798/56357*100</f>
        <v>1.415973171</v>
      </c>
      <c r="AE143" s="1">
        <v>202.0</v>
      </c>
      <c r="AF143" s="5">
        <v>0.0</v>
      </c>
      <c r="AG143" s="1">
        <v>69.0</v>
      </c>
      <c r="AH143" s="5">
        <v>0.0</v>
      </c>
      <c r="AI143" s="3">
        <v>7.0</v>
      </c>
      <c r="AJ143" s="5">
        <v>0.0</v>
      </c>
      <c r="AK143" s="5">
        <v>0.0</v>
      </c>
      <c r="AL143" s="5">
        <v>0.0</v>
      </c>
      <c r="AM143" s="5">
        <v>0.0</v>
      </c>
      <c r="AN143" s="5">
        <v>0.0</v>
      </c>
      <c r="AO143" s="5">
        <v>0.0</v>
      </c>
      <c r="AP143" s="5">
        <v>0.0</v>
      </c>
      <c r="AQ143" s="5">
        <v>0.0</v>
      </c>
      <c r="AR143" s="5">
        <v>0.0</v>
      </c>
      <c r="AS143" s="5">
        <v>0.0</v>
      </c>
      <c r="AT143" s="5">
        <v>0.0</v>
      </c>
      <c r="AU143" s="5">
        <v>0.0</v>
      </c>
      <c r="AV143" s="5">
        <v>0.0</v>
      </c>
      <c r="AW143" s="5">
        <v>0.0</v>
      </c>
      <c r="AX143" s="5">
        <v>0.0</v>
      </c>
      <c r="AY143" s="5">
        <v>0.0</v>
      </c>
      <c r="AZ143" s="5">
        <v>0.0</v>
      </c>
      <c r="BA143" s="5">
        <v>0.0</v>
      </c>
      <c r="BB143" s="5">
        <v>0.0</v>
      </c>
      <c r="BC143" s="5">
        <v>0.0</v>
      </c>
      <c r="BD143" s="5">
        <v>0.0</v>
      </c>
      <c r="BE143" s="5">
        <v>0.0</v>
      </c>
      <c r="BF143" s="5">
        <v>0.0</v>
      </c>
      <c r="BG143" s="5">
        <v>0.0</v>
      </c>
      <c r="BH143" s="5">
        <v>0.0</v>
      </c>
      <c r="BI143" s="5">
        <v>0.0</v>
      </c>
      <c r="BJ143" s="5">
        <v>0.0</v>
      </c>
      <c r="BK143" s="5">
        <v>0.0</v>
      </c>
      <c r="BL143" s="5">
        <v>0.0</v>
      </c>
      <c r="BM143" s="7">
        <f t="shared" si="12"/>
        <v>1396.695051</v>
      </c>
      <c r="BN143" s="8"/>
    </row>
    <row r="144">
      <c r="C144" s="16"/>
      <c r="D144" s="16"/>
      <c r="E144" s="16"/>
      <c r="H144" s="9"/>
      <c r="M144" s="10"/>
      <c r="V144" s="10"/>
      <c r="X144" s="10"/>
      <c r="Y144" s="10"/>
      <c r="AB144" s="10"/>
      <c r="AC144" s="10"/>
      <c r="AF144" s="10"/>
      <c r="AH144" s="10"/>
      <c r="AI144" s="9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</row>
    <row r="145">
      <c r="C145" s="16"/>
      <c r="D145" s="16"/>
      <c r="E145" s="16"/>
      <c r="H145" s="9"/>
      <c r="M145" s="10"/>
      <c r="V145" s="10"/>
      <c r="X145" s="10"/>
      <c r="Y145" s="10"/>
      <c r="AB145" s="10"/>
      <c r="AC145" s="10"/>
      <c r="AF145" s="10"/>
      <c r="AH145" s="10"/>
      <c r="AI145" s="9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7" t="s">
        <v>204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110</v>
      </c>
      <c r="AV1" s="1" t="s">
        <v>111</v>
      </c>
      <c r="AW1" s="1" t="s">
        <v>112</v>
      </c>
      <c r="AX1" s="1" t="s">
        <v>113</v>
      </c>
      <c r="AY1" s="1" t="s">
        <v>114</v>
      </c>
      <c r="AZ1" s="1" t="s">
        <v>115</v>
      </c>
      <c r="BA1" s="1" t="s">
        <v>116</v>
      </c>
      <c r="BB1" s="1" t="s">
        <v>117</v>
      </c>
      <c r="BC1" s="1" t="s">
        <v>118</v>
      </c>
      <c r="BD1" s="1" t="s">
        <v>119</v>
      </c>
      <c r="BE1" s="1" t="s">
        <v>120</v>
      </c>
      <c r="BF1" s="1" t="s">
        <v>121</v>
      </c>
      <c r="BG1" s="1" t="s">
        <v>122</v>
      </c>
      <c r="BH1" s="1" t="s">
        <v>123</v>
      </c>
      <c r="BI1" s="1" t="s">
        <v>124</v>
      </c>
      <c r="BJ1" s="1" t="s">
        <v>125</v>
      </c>
      <c r="BK1" s="1" t="s">
        <v>126</v>
      </c>
      <c r="BL1" s="1" t="s">
        <v>127</v>
      </c>
      <c r="BM1" s="1" t="s">
        <v>128</v>
      </c>
      <c r="BN1" s="1" t="s">
        <v>129</v>
      </c>
      <c r="BO1" s="1" t="s">
        <v>130</v>
      </c>
      <c r="BP1" s="1" t="s">
        <v>131</v>
      </c>
      <c r="BQ1" s="1" t="s">
        <v>132</v>
      </c>
      <c r="BR1" s="1" t="s">
        <v>133</v>
      </c>
      <c r="BS1" s="1" t="s">
        <v>134</v>
      </c>
      <c r="BT1" s="1" t="s">
        <v>135</v>
      </c>
      <c r="BU1" s="1" t="s">
        <v>136</v>
      </c>
      <c r="BV1" s="1" t="s">
        <v>137</v>
      </c>
      <c r="BW1" s="1" t="s">
        <v>138</v>
      </c>
      <c r="BX1" s="1" t="s">
        <v>139</v>
      </c>
      <c r="BY1" s="1" t="s">
        <v>140</v>
      </c>
      <c r="BZ1" s="1" t="s">
        <v>141</v>
      </c>
      <c r="CA1" s="1" t="s">
        <v>142</v>
      </c>
      <c r="CB1" s="1" t="s">
        <v>143</v>
      </c>
      <c r="CC1" s="1" t="s">
        <v>144</v>
      </c>
      <c r="CD1" s="1" t="s">
        <v>145</v>
      </c>
      <c r="CE1" s="1" t="s">
        <v>146</v>
      </c>
      <c r="CF1" s="1" t="s">
        <v>147</v>
      </c>
      <c r="CG1" s="1" t="s">
        <v>148</v>
      </c>
      <c r="CH1" s="1" t="s">
        <v>149</v>
      </c>
      <c r="CI1" s="1" t="s">
        <v>150</v>
      </c>
      <c r="CJ1" s="1" t="s">
        <v>151</v>
      </c>
      <c r="CK1" s="1" t="s">
        <v>152</v>
      </c>
      <c r="CL1" s="1" t="s">
        <v>153</v>
      </c>
      <c r="CM1" s="1" t="s">
        <v>154</v>
      </c>
      <c r="CN1" s="1" t="s">
        <v>155</v>
      </c>
      <c r="CO1" s="1" t="s">
        <v>156</v>
      </c>
      <c r="CP1" s="1" t="s">
        <v>157</v>
      </c>
      <c r="CQ1" s="1" t="s">
        <v>158</v>
      </c>
      <c r="CR1" s="1" t="s">
        <v>159</v>
      </c>
      <c r="CS1" s="1" t="s">
        <v>160</v>
      </c>
      <c r="CT1" s="1" t="s">
        <v>161</v>
      </c>
      <c r="CU1" s="1" t="s">
        <v>162</v>
      </c>
      <c r="CV1" s="1" t="s">
        <v>163</v>
      </c>
      <c r="CW1" s="1" t="s">
        <v>164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176</v>
      </c>
      <c r="DJ1" s="1" t="s">
        <v>177</v>
      </c>
      <c r="DK1" s="1" t="s">
        <v>178</v>
      </c>
      <c r="DL1" s="1" t="s">
        <v>179</v>
      </c>
      <c r="DM1" s="1" t="s">
        <v>180</v>
      </c>
      <c r="DN1" s="1" t="s">
        <v>181</v>
      </c>
      <c r="DO1" s="1" t="s">
        <v>182</v>
      </c>
      <c r="DP1" s="1" t="s">
        <v>183</v>
      </c>
      <c r="DQ1" s="1" t="s">
        <v>184</v>
      </c>
      <c r="DR1" s="1" t="s">
        <v>185</v>
      </c>
      <c r="DS1" s="1" t="s">
        <v>186</v>
      </c>
      <c r="DT1" s="1" t="s">
        <v>187</v>
      </c>
      <c r="DU1" s="1" t="s">
        <v>188</v>
      </c>
      <c r="DV1" s="1" t="s">
        <v>189</v>
      </c>
      <c r="DW1" s="1" t="s">
        <v>190</v>
      </c>
      <c r="DX1" s="1" t="s">
        <v>191</v>
      </c>
      <c r="DY1" s="1" t="s">
        <v>192</v>
      </c>
      <c r="DZ1" s="1" t="s">
        <v>193</v>
      </c>
      <c r="EA1" s="1" t="s">
        <v>194</v>
      </c>
      <c r="EB1" s="1" t="s">
        <v>195</v>
      </c>
      <c r="EC1" s="1" t="s">
        <v>196</v>
      </c>
      <c r="ED1" s="1" t="s">
        <v>197</v>
      </c>
      <c r="EE1" s="1" t="s">
        <v>198</v>
      </c>
      <c r="EF1" s="1" t="s">
        <v>199</v>
      </c>
      <c r="EG1" s="1" t="s">
        <v>200</v>
      </c>
      <c r="EH1" s="1" t="s">
        <v>201</v>
      </c>
      <c r="EI1" s="1" t="s">
        <v>202</v>
      </c>
      <c r="EJ1" s="1" t="s">
        <v>203</v>
      </c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>
      <c r="A2" s="18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2.6</v>
      </c>
      <c r="K2" s="1">
        <v>0.0</v>
      </c>
      <c r="L2" s="1">
        <v>0.0</v>
      </c>
      <c r="M2" s="1">
        <f>2062/93891*100</f>
        <v>2.196163637</v>
      </c>
      <c r="N2" s="1">
        <f>1398/74865*100</f>
        <v>1.86736125</v>
      </c>
      <c r="Q2" s="1">
        <v>0.0</v>
      </c>
      <c r="R2" s="1">
        <v>0.0</v>
      </c>
      <c r="Z2" s="1">
        <v>1.3</v>
      </c>
      <c r="AB2" s="1">
        <v>1.182</v>
      </c>
      <c r="AQ2" s="1">
        <v>2.644</v>
      </c>
    </row>
    <row r="3">
      <c r="A3" s="18" t="s">
        <v>2</v>
      </c>
      <c r="B3" s="1">
        <v>15.74</v>
      </c>
      <c r="C3" s="1">
        <f>7798/57287*100</f>
        <v>13.61216332</v>
      </c>
      <c r="D3" s="1">
        <f>8054/45959*100</f>
        <v>17.52431515</v>
      </c>
      <c r="E3" s="1">
        <f>884/25420*100</f>
        <v>3.477576711</v>
      </c>
      <c r="F3" s="1">
        <f>5170/65786*100</f>
        <v>7.858814945</v>
      </c>
      <c r="G3" s="1">
        <v>8.108028073</v>
      </c>
      <c r="H3" s="1">
        <f>12768/59771*100</f>
        <v>21.36152984</v>
      </c>
      <c r="I3" s="1">
        <f>6653/54774*100</f>
        <v>12.14627378</v>
      </c>
      <c r="J3" s="1">
        <v>15.990134</v>
      </c>
      <c r="K3" s="1">
        <f>17895/50567*100</f>
        <v>35.38869223</v>
      </c>
      <c r="L3" s="1">
        <f>16889/56647*100</f>
        <v>29.81446502</v>
      </c>
      <c r="M3" s="1">
        <f>2705/93891*100</f>
        <v>2.881000309</v>
      </c>
      <c r="N3" s="1">
        <f>1929/74865*100</f>
        <v>2.576637948</v>
      </c>
      <c r="O3" s="1">
        <f>3883/44336*100</f>
        <v>8.758119812</v>
      </c>
      <c r="P3" s="1">
        <f>4299/51656*100</f>
        <v>8.322363327</v>
      </c>
      <c r="Q3" s="1">
        <v>18.374</v>
      </c>
      <c r="R3" s="1">
        <v>19.051</v>
      </c>
      <c r="S3" s="1">
        <v>2.757</v>
      </c>
      <c r="T3" s="1">
        <v>13.358</v>
      </c>
      <c r="U3" s="1">
        <v>21.402</v>
      </c>
      <c r="V3" s="1">
        <v>18.584</v>
      </c>
      <c r="W3" s="1">
        <v>33.307</v>
      </c>
      <c r="X3" s="1">
        <v>32.035</v>
      </c>
      <c r="Y3" s="1">
        <v>19.786</v>
      </c>
      <c r="Z3" s="1">
        <v>22.154</v>
      </c>
      <c r="AA3" s="1">
        <v>9.256</v>
      </c>
      <c r="AB3" s="1">
        <v>10.847</v>
      </c>
      <c r="AC3" s="1">
        <v>39.233</v>
      </c>
      <c r="AD3" s="1">
        <v>26.597</v>
      </c>
      <c r="AE3" s="1">
        <v>11.883</v>
      </c>
      <c r="AF3" s="1">
        <v>8.551</v>
      </c>
      <c r="AG3" s="1">
        <v>8.808</v>
      </c>
      <c r="AH3" s="1">
        <v>10.743</v>
      </c>
      <c r="AI3" s="1">
        <v>11.618</v>
      </c>
      <c r="AJ3" s="1">
        <v>8.33</v>
      </c>
      <c r="AK3" s="1">
        <v>4.341</v>
      </c>
      <c r="AL3" s="1">
        <v>22.279</v>
      </c>
      <c r="AM3" s="1">
        <v>17.42</v>
      </c>
      <c r="AN3" s="1">
        <v>8.803</v>
      </c>
      <c r="AO3" s="1">
        <v>18.559</v>
      </c>
      <c r="AP3" s="1">
        <v>10.098</v>
      </c>
      <c r="AQ3" s="1">
        <v>26.94</v>
      </c>
      <c r="AR3" s="1">
        <v>15.486</v>
      </c>
      <c r="AS3" s="1">
        <f>4543/48646*100</f>
        <v>9.33889734</v>
      </c>
      <c r="AT3" s="1">
        <f>7406/75022*100</f>
        <v>9.871770947</v>
      </c>
      <c r="AU3" s="1">
        <f>7564/54764*100</f>
        <v>13.81199328</v>
      </c>
      <c r="AV3" s="1">
        <f>21778/100606*100</f>
        <v>21.64682027</v>
      </c>
      <c r="AW3" s="1">
        <f>10297/53688*100</f>
        <v>19.17933244</v>
      </c>
      <c r="AX3" s="1">
        <v>2.03</v>
      </c>
      <c r="AY3" s="1">
        <v>12.046</v>
      </c>
      <c r="AZ3" s="1">
        <v>14.0</v>
      </c>
      <c r="BA3" s="1">
        <v>22.234</v>
      </c>
      <c r="BB3" s="1">
        <v>3.185</v>
      </c>
      <c r="BC3" s="1">
        <v>4.82</v>
      </c>
      <c r="BD3" s="1">
        <v>20.618</v>
      </c>
      <c r="BE3" s="1">
        <v>9.763</v>
      </c>
      <c r="BF3" s="1">
        <v>24.708</v>
      </c>
      <c r="BG3" s="1">
        <v>11.357</v>
      </c>
      <c r="BH3" s="1">
        <v>14.76</v>
      </c>
      <c r="BI3" s="1">
        <v>11.573</v>
      </c>
      <c r="BJ3" s="1">
        <v>29.115</v>
      </c>
      <c r="BK3" s="1">
        <v>14.806</v>
      </c>
      <c r="BL3" s="1">
        <v>12.721</v>
      </c>
      <c r="BM3" s="1">
        <v>3.386</v>
      </c>
      <c r="BN3" s="1">
        <v>3.183</v>
      </c>
      <c r="BO3" s="1">
        <v>39.968</v>
      </c>
      <c r="BP3" s="1">
        <v>26.351</v>
      </c>
      <c r="BQ3" s="1">
        <v>26.263</v>
      </c>
      <c r="BR3" s="1">
        <v>25.636</v>
      </c>
      <c r="BS3" s="1">
        <v>14.479</v>
      </c>
      <c r="BT3" s="1">
        <v>15.16</v>
      </c>
      <c r="BU3" s="1">
        <v>18.81</v>
      </c>
      <c r="BV3" s="1">
        <v>9.512</v>
      </c>
      <c r="BW3" s="1">
        <v>7.799</v>
      </c>
      <c r="BX3" s="1">
        <v>22.027</v>
      </c>
      <c r="BY3" s="1">
        <v>32.583</v>
      </c>
      <c r="BZ3" s="1">
        <v>7.089</v>
      </c>
      <c r="CA3" s="1">
        <v>14.581</v>
      </c>
      <c r="CB3" s="1">
        <v>12.368</v>
      </c>
      <c r="CC3" s="1">
        <v>25.429</v>
      </c>
      <c r="CD3" s="1">
        <v>24.405</v>
      </c>
      <c r="CE3" s="1">
        <v>24.931</v>
      </c>
      <c r="CF3" s="1">
        <v>11.815</v>
      </c>
      <c r="CG3" s="1">
        <v>13.1</v>
      </c>
      <c r="CH3" s="1">
        <v>23.104</v>
      </c>
      <c r="CI3" s="1">
        <v>3.1</v>
      </c>
      <c r="CJ3" s="1">
        <v>3.463</v>
      </c>
      <c r="CK3" s="1">
        <v>17.485</v>
      </c>
      <c r="CL3" s="1">
        <v>3.573</v>
      </c>
      <c r="CM3" s="1">
        <v>26.818</v>
      </c>
      <c r="CN3" s="1">
        <v>26.652</v>
      </c>
      <c r="CO3" s="1">
        <v>27.618</v>
      </c>
      <c r="CP3" s="1">
        <v>35.441</v>
      </c>
      <c r="CQ3" s="1">
        <v>6.145</v>
      </c>
      <c r="CR3" s="1">
        <v>11.279</v>
      </c>
      <c r="CS3" s="1">
        <v>37.084</v>
      </c>
      <c r="CT3" s="1">
        <v>36.673</v>
      </c>
      <c r="CU3" s="1">
        <v>3.669</v>
      </c>
      <c r="CV3" s="1">
        <v>12.996</v>
      </c>
      <c r="CW3" s="1">
        <v>9.425</v>
      </c>
      <c r="CX3" s="1">
        <v>9.833</v>
      </c>
      <c r="CY3" s="1">
        <v>15.954</v>
      </c>
      <c r="CZ3" s="1">
        <v>17.199</v>
      </c>
      <c r="DA3" s="1">
        <v>11.926</v>
      </c>
      <c r="DB3" s="1">
        <v>27.911</v>
      </c>
      <c r="DC3" s="1">
        <v>33.495</v>
      </c>
      <c r="DD3" s="1">
        <v>49.167</v>
      </c>
      <c r="DE3" s="1">
        <v>6.149</v>
      </c>
      <c r="DF3" s="1">
        <v>9.62</v>
      </c>
      <c r="DG3" s="1">
        <v>9.689</v>
      </c>
      <c r="DH3" s="1">
        <v>9.371</v>
      </c>
      <c r="DI3" s="1">
        <v>11.239</v>
      </c>
      <c r="DJ3" s="1">
        <v>22.895</v>
      </c>
      <c r="DK3" s="1">
        <v>22.523</v>
      </c>
      <c r="DL3" s="1">
        <v>17.382</v>
      </c>
      <c r="DM3" s="1">
        <v>5.039</v>
      </c>
      <c r="DN3" s="1">
        <v>7.388</v>
      </c>
      <c r="DO3" s="1">
        <v>19.356</v>
      </c>
      <c r="DP3" s="1">
        <v>17.493</v>
      </c>
      <c r="DQ3" s="1">
        <v>1.271</v>
      </c>
      <c r="DR3" s="1">
        <v>3.299</v>
      </c>
      <c r="DS3" s="1">
        <v>3.71</v>
      </c>
      <c r="DT3" s="1">
        <v>11.707</v>
      </c>
      <c r="DU3" s="1">
        <v>8.663</v>
      </c>
      <c r="DV3" s="1">
        <v>13.131</v>
      </c>
      <c r="DW3" s="1">
        <v>37.086</v>
      </c>
      <c r="DX3" s="1">
        <v>37.381</v>
      </c>
      <c r="DY3" s="1">
        <v>22.528</v>
      </c>
      <c r="DZ3" s="1">
        <v>15.745</v>
      </c>
      <c r="EA3" s="1">
        <v>11.685</v>
      </c>
      <c r="EB3" s="1">
        <v>3.968</v>
      </c>
      <c r="EC3" s="1">
        <v>4.572</v>
      </c>
      <c r="ED3" s="1">
        <v>1.307</v>
      </c>
      <c r="EE3" s="1">
        <v>19.469</v>
      </c>
      <c r="EF3" s="1">
        <v>15.801</v>
      </c>
      <c r="EG3" s="1">
        <v>18.282</v>
      </c>
      <c r="EH3" s="1">
        <v>15.332</v>
      </c>
      <c r="EI3" s="1">
        <v>22.18</v>
      </c>
      <c r="EJ3" s="1">
        <v>19.726</v>
      </c>
    </row>
    <row r="4">
      <c r="A4" s="18" t="s">
        <v>3</v>
      </c>
      <c r="B4" s="1">
        <f>242/1042*100</f>
        <v>23.22456814</v>
      </c>
      <c r="C4" s="1">
        <f>15903/57287*100</f>
        <v>27.76022483</v>
      </c>
      <c r="D4" s="1">
        <f>5055/45959*100</f>
        <v>10.99893383</v>
      </c>
      <c r="E4" s="1">
        <f>5633/25420*100</f>
        <v>22.15971676</v>
      </c>
      <c r="F4" s="1">
        <f>10197/65786*100</f>
        <v>15.50025841</v>
      </c>
      <c r="G4" s="1">
        <f>14197/33769*100</f>
        <v>42.04151737</v>
      </c>
      <c r="H4" s="1">
        <f>14955/59771*100</f>
        <v>25.02049489</v>
      </c>
      <c r="I4" s="1">
        <f>14790/54774*100</f>
        <v>27.0018622</v>
      </c>
      <c r="J4" s="1">
        <v>23.89345927</v>
      </c>
      <c r="K4" s="1">
        <v>21.57731327</v>
      </c>
      <c r="L4" s="1">
        <f>13939/56647*100</f>
        <v>24.60677529</v>
      </c>
      <c r="M4" s="1">
        <v>8.635545473</v>
      </c>
      <c r="N4" s="1">
        <f>6103/74865*100</f>
        <v>8.152006946</v>
      </c>
      <c r="O4" s="1">
        <f>1530/44336*100</f>
        <v>3.450920245</v>
      </c>
      <c r="P4" s="1">
        <f>3852/51656*100</f>
        <v>7.457023385</v>
      </c>
      <c r="Q4" s="1">
        <v>15.361</v>
      </c>
      <c r="R4" s="1">
        <v>14.478</v>
      </c>
      <c r="S4" s="1">
        <v>14.662</v>
      </c>
      <c r="T4" s="1">
        <v>6.526</v>
      </c>
      <c r="U4" s="1">
        <v>9.804</v>
      </c>
      <c r="V4" s="1">
        <v>10.514</v>
      </c>
      <c r="W4" s="1">
        <v>16.85</v>
      </c>
      <c r="X4" s="1">
        <v>18.698</v>
      </c>
      <c r="Y4" s="1">
        <v>17.595</v>
      </c>
      <c r="Z4" s="1">
        <v>18.088</v>
      </c>
      <c r="AA4" s="1">
        <v>10.175</v>
      </c>
      <c r="AB4" s="1">
        <v>11.203</v>
      </c>
      <c r="AC4" s="1">
        <v>2.088</v>
      </c>
      <c r="AD4" s="1">
        <v>3.203</v>
      </c>
      <c r="AE4" s="1">
        <v>19.184</v>
      </c>
      <c r="AF4" s="1">
        <v>7.994</v>
      </c>
      <c r="AG4" s="1">
        <v>9.192</v>
      </c>
      <c r="AH4" s="1">
        <v>17.34</v>
      </c>
      <c r="AI4" s="1">
        <v>12.93</v>
      </c>
      <c r="AJ4" s="1">
        <v>1.97</v>
      </c>
      <c r="AK4" s="1">
        <v>3.278</v>
      </c>
      <c r="AL4" s="1">
        <v>31.175</v>
      </c>
      <c r="AM4" s="1">
        <v>14.528</v>
      </c>
      <c r="AN4" s="1">
        <v>9.027</v>
      </c>
      <c r="AO4" s="1">
        <v>10.884</v>
      </c>
      <c r="AP4" s="1">
        <v>8.517</v>
      </c>
      <c r="AQ4" s="1">
        <v>13.579</v>
      </c>
      <c r="AR4" s="1">
        <v>33.576</v>
      </c>
      <c r="AS4" s="1">
        <v>41.947</v>
      </c>
      <c r="AT4" s="1">
        <v>12.069</v>
      </c>
      <c r="AU4" s="1">
        <v>17.387</v>
      </c>
      <c r="AV4" s="1">
        <v>20.453</v>
      </c>
      <c r="AW4" s="1">
        <v>19.507</v>
      </c>
      <c r="AX4" s="1">
        <v>2.592</v>
      </c>
      <c r="AY4" s="1">
        <v>8.226</v>
      </c>
      <c r="AZ4" s="1">
        <v>14.148</v>
      </c>
      <c r="BA4" s="1">
        <v>12.313</v>
      </c>
      <c r="BB4" s="1">
        <v>1.884</v>
      </c>
      <c r="BC4" s="1">
        <v>1.832</v>
      </c>
      <c r="BD4" s="1">
        <v>13.208</v>
      </c>
      <c r="BE4" s="1">
        <v>8.713</v>
      </c>
      <c r="BF4" s="1">
        <v>14.92</v>
      </c>
      <c r="BG4" s="1">
        <v>27.739</v>
      </c>
      <c r="BH4" s="1">
        <v>23.42</v>
      </c>
      <c r="BI4" s="1">
        <v>21.796</v>
      </c>
      <c r="BJ4" s="1">
        <v>22.945</v>
      </c>
      <c r="BK4" s="1">
        <v>23.369</v>
      </c>
      <c r="BL4" s="1">
        <v>8.641</v>
      </c>
      <c r="BM4" s="1">
        <v>13.645</v>
      </c>
      <c r="BN4" s="1">
        <v>14.159</v>
      </c>
      <c r="BO4" s="1">
        <v>2.687</v>
      </c>
      <c r="BP4" s="1">
        <v>34.814</v>
      </c>
      <c r="BQ4" s="1">
        <v>31.542</v>
      </c>
      <c r="BR4" s="1">
        <v>20.343</v>
      </c>
      <c r="BS4" s="1">
        <v>25.599</v>
      </c>
      <c r="BT4" s="1">
        <v>25.612</v>
      </c>
      <c r="BU4" s="1">
        <v>26.259</v>
      </c>
      <c r="BV4" s="1">
        <v>36.569</v>
      </c>
      <c r="BW4" s="1">
        <v>5.678</v>
      </c>
      <c r="BX4" s="1">
        <v>11.066</v>
      </c>
      <c r="BY4" s="1">
        <v>8.348</v>
      </c>
      <c r="BZ4" s="1">
        <v>12.982</v>
      </c>
      <c r="CA4" s="1">
        <v>20.633</v>
      </c>
      <c r="CB4" s="1">
        <v>22.994</v>
      </c>
      <c r="CC4" s="1">
        <v>10.513</v>
      </c>
      <c r="CD4" s="1">
        <v>15.454</v>
      </c>
      <c r="CE4" s="1">
        <v>13.613</v>
      </c>
      <c r="CF4" s="1">
        <v>20.987</v>
      </c>
      <c r="CG4" s="1">
        <v>18.003</v>
      </c>
      <c r="CH4" s="1">
        <v>13.525</v>
      </c>
      <c r="CI4" s="1">
        <v>12.876</v>
      </c>
      <c r="CJ4" s="1">
        <v>17.633</v>
      </c>
      <c r="CK4" s="1">
        <v>1.186</v>
      </c>
      <c r="CL4" s="1">
        <v>0.98</v>
      </c>
      <c r="CM4" s="1">
        <v>23.976</v>
      </c>
      <c r="CN4" s="1">
        <v>23.068</v>
      </c>
      <c r="CO4" s="1">
        <v>29.74</v>
      </c>
      <c r="CP4" s="1">
        <v>27.7</v>
      </c>
      <c r="CQ4" s="1">
        <v>25.908</v>
      </c>
      <c r="CR4" s="1">
        <v>35.163</v>
      </c>
      <c r="CS4" s="1">
        <v>3.824</v>
      </c>
      <c r="CT4" s="1">
        <v>4.326</v>
      </c>
      <c r="CU4" s="1">
        <v>13.66</v>
      </c>
      <c r="CV4" s="1">
        <v>8.583</v>
      </c>
      <c r="CW4" s="1">
        <v>26.498</v>
      </c>
      <c r="CX4" s="1">
        <v>28.606</v>
      </c>
      <c r="CY4" s="1">
        <v>27.927</v>
      </c>
      <c r="CZ4" s="1">
        <v>10.989</v>
      </c>
      <c r="DA4" s="1">
        <v>9.664</v>
      </c>
      <c r="DB4" s="1">
        <v>6.136</v>
      </c>
      <c r="DC4" s="1">
        <v>8.797</v>
      </c>
      <c r="DD4" s="1">
        <v>10.372</v>
      </c>
      <c r="DE4" s="1">
        <v>9.078</v>
      </c>
      <c r="DF4" s="1">
        <v>4.073</v>
      </c>
      <c r="DG4" s="1">
        <v>5.274</v>
      </c>
      <c r="DH4" s="1">
        <v>24.87</v>
      </c>
      <c r="DI4" s="1">
        <v>41.019</v>
      </c>
      <c r="DJ4" s="1">
        <v>7.242</v>
      </c>
      <c r="DK4" s="1">
        <v>9.343</v>
      </c>
      <c r="DL4" s="1">
        <v>12.892</v>
      </c>
      <c r="DM4" s="1">
        <v>17.159</v>
      </c>
      <c r="DN4" s="1">
        <v>23.493</v>
      </c>
      <c r="DO4" s="1">
        <v>11.523</v>
      </c>
      <c r="DP4" s="1">
        <v>4.926</v>
      </c>
      <c r="DQ4" s="1">
        <v>29.973</v>
      </c>
      <c r="DR4" s="1">
        <v>25.716</v>
      </c>
      <c r="DS4" s="1">
        <v>26.666</v>
      </c>
      <c r="DT4" s="1">
        <v>15.173</v>
      </c>
      <c r="DU4" s="1">
        <v>18.202</v>
      </c>
      <c r="DV4" s="1">
        <v>15.675</v>
      </c>
      <c r="DW4" s="1">
        <v>15.003</v>
      </c>
      <c r="DX4" s="1">
        <v>10.481</v>
      </c>
      <c r="DY4" s="1">
        <v>12.252</v>
      </c>
      <c r="DZ4" s="1">
        <v>13.417</v>
      </c>
      <c r="EA4" s="1">
        <v>12.383</v>
      </c>
      <c r="EB4" s="1">
        <v>21.784</v>
      </c>
      <c r="EC4" s="1">
        <v>39.835</v>
      </c>
      <c r="ED4" s="1">
        <v>53.999</v>
      </c>
      <c r="EE4" s="1">
        <v>21.338</v>
      </c>
      <c r="EF4" s="1">
        <v>18.556</v>
      </c>
      <c r="EG4" s="1">
        <v>17.457</v>
      </c>
      <c r="EH4" s="1">
        <v>16.983</v>
      </c>
      <c r="EI4" s="1">
        <v>20.47</v>
      </c>
      <c r="EJ4" s="1">
        <v>21.653</v>
      </c>
    </row>
    <row r="5">
      <c r="A5" s="18" t="s">
        <v>4</v>
      </c>
      <c r="B5" s="1">
        <f>495/1042*100</f>
        <v>47.50479846</v>
      </c>
      <c r="C5" s="1">
        <f>22878/57287*100</f>
        <v>39.93576204</v>
      </c>
      <c r="D5" s="1">
        <f>29105/45959*100</f>
        <v>63.32818382</v>
      </c>
      <c r="E5" s="1">
        <f>11284/25420*100</f>
        <v>44.3902439</v>
      </c>
      <c r="F5" s="1">
        <f>19271/65786*100</f>
        <v>29.2934667</v>
      </c>
      <c r="G5" s="1">
        <f>15406/33769*100</f>
        <v>45.62172407</v>
      </c>
      <c r="H5" s="1">
        <f>30340/59771*100</f>
        <v>50.7604022</v>
      </c>
      <c r="I5" s="1">
        <f>30232/54774*100</f>
        <v>55.19407018</v>
      </c>
      <c r="J5" s="1">
        <v>50.8565069</v>
      </c>
      <c r="K5" s="1">
        <f>14261/50567*100</f>
        <v>28.2021872</v>
      </c>
      <c r="L5" s="1">
        <f>14699/56647*100</f>
        <v>25.94841739</v>
      </c>
      <c r="M5" s="1">
        <f>72558/93891*100</f>
        <v>77.27897243</v>
      </c>
      <c r="N5" s="1">
        <f>57032/74865*100</f>
        <v>76.17979029</v>
      </c>
      <c r="O5" s="1">
        <f>33945/44336*100</f>
        <v>76.56306388</v>
      </c>
      <c r="P5" s="1">
        <f>37967/51656*100</f>
        <v>73.49969026</v>
      </c>
      <c r="Q5" s="1">
        <v>61.647</v>
      </c>
      <c r="R5" s="1">
        <v>61.605</v>
      </c>
      <c r="S5" s="1">
        <v>67.277</v>
      </c>
      <c r="T5" s="1">
        <v>64.035</v>
      </c>
      <c r="U5" s="1">
        <v>58.256</v>
      </c>
      <c r="V5" s="1">
        <v>64.524</v>
      </c>
      <c r="W5" s="1">
        <v>45.782</v>
      </c>
      <c r="X5" s="1">
        <v>44.523</v>
      </c>
      <c r="Y5" s="1">
        <v>55.945</v>
      </c>
      <c r="Z5" s="1">
        <v>53.586</v>
      </c>
      <c r="AA5" s="1">
        <v>47.392</v>
      </c>
      <c r="AB5" s="1">
        <v>48.647</v>
      </c>
      <c r="AC5" s="1">
        <v>53.803</v>
      </c>
      <c r="AD5" s="1">
        <v>53.969</v>
      </c>
      <c r="AE5" s="1">
        <v>62.715</v>
      </c>
      <c r="AF5" s="1">
        <v>61.603</v>
      </c>
      <c r="AG5" s="1">
        <v>60.021</v>
      </c>
      <c r="AH5" s="1">
        <v>53.602</v>
      </c>
      <c r="AI5" s="1">
        <v>53.742</v>
      </c>
      <c r="AJ5" s="1">
        <v>55.733</v>
      </c>
      <c r="AK5" s="1">
        <v>53.656</v>
      </c>
      <c r="AL5" s="1">
        <v>36.969</v>
      </c>
      <c r="AM5" s="1">
        <v>54.856</v>
      </c>
      <c r="AN5" s="1">
        <v>72.262</v>
      </c>
      <c r="AO5" s="1">
        <v>58.024</v>
      </c>
      <c r="AP5" s="1">
        <v>56.844</v>
      </c>
      <c r="AQ5" s="1">
        <v>40.977</v>
      </c>
      <c r="AR5" s="1">
        <v>36.707</v>
      </c>
      <c r="AS5" s="1">
        <v>36.473</v>
      </c>
      <c r="AT5" s="1">
        <v>62.231</v>
      </c>
      <c r="AU5" s="1">
        <v>50.319</v>
      </c>
      <c r="AV5" s="1">
        <v>42.605</v>
      </c>
      <c r="AW5" s="1">
        <v>47.206</v>
      </c>
      <c r="AX5" s="1">
        <v>56.508</v>
      </c>
      <c r="AY5" s="1">
        <v>53.863</v>
      </c>
      <c r="AZ5" s="1">
        <v>56.781</v>
      </c>
      <c r="BA5" s="1">
        <v>53.715</v>
      </c>
      <c r="BB5" s="1">
        <v>74.774</v>
      </c>
      <c r="BC5" s="1">
        <v>81.153</v>
      </c>
      <c r="BD5" s="1">
        <v>56.747</v>
      </c>
      <c r="BE5" s="1">
        <v>61.66</v>
      </c>
      <c r="BF5" s="1">
        <v>40.9</v>
      </c>
      <c r="BG5" s="1">
        <v>40.999</v>
      </c>
      <c r="BH5" s="1">
        <v>47.919</v>
      </c>
      <c r="BI5" s="1">
        <v>52.883</v>
      </c>
      <c r="BJ5" s="1">
        <v>35.491</v>
      </c>
      <c r="BK5" s="1">
        <v>50.528</v>
      </c>
      <c r="BL5" s="1">
        <v>50.568</v>
      </c>
      <c r="BM5" s="1">
        <v>56.655</v>
      </c>
      <c r="BN5" s="1">
        <v>65.678</v>
      </c>
      <c r="BO5" s="1">
        <v>51.05</v>
      </c>
      <c r="BP5" s="1">
        <v>36.492</v>
      </c>
      <c r="BQ5" s="1">
        <v>41.118</v>
      </c>
      <c r="BR5" s="1">
        <v>47.024</v>
      </c>
      <c r="BS5" s="1">
        <v>51.988</v>
      </c>
      <c r="BT5" s="1">
        <v>34.318</v>
      </c>
      <c r="BU5" s="1">
        <v>41.803</v>
      </c>
      <c r="BV5" s="1">
        <v>37.961</v>
      </c>
      <c r="BW5" s="1">
        <v>75.073</v>
      </c>
      <c r="BX5" s="1">
        <v>46.979</v>
      </c>
      <c r="BY5" s="1">
        <v>55.546</v>
      </c>
      <c r="BZ5" s="1">
        <v>44.676</v>
      </c>
      <c r="CA5" s="1">
        <v>46.417</v>
      </c>
      <c r="CB5" s="1">
        <v>51.477</v>
      </c>
      <c r="CC5" s="1">
        <v>49.471</v>
      </c>
      <c r="CD5" s="1">
        <v>50.026</v>
      </c>
      <c r="CE5" s="1">
        <v>56.836</v>
      </c>
      <c r="CF5" s="1">
        <v>60.474</v>
      </c>
      <c r="CG5" s="1">
        <v>63.183</v>
      </c>
      <c r="CH5" s="1">
        <v>49.568</v>
      </c>
      <c r="CI5" s="1">
        <v>63.112</v>
      </c>
      <c r="CJ5" s="1">
        <v>58.506</v>
      </c>
      <c r="CK5" s="1">
        <v>50.736</v>
      </c>
      <c r="CL5" s="1">
        <v>27.331</v>
      </c>
      <c r="CM5" s="1">
        <v>37.294</v>
      </c>
      <c r="CN5" s="1">
        <v>31.887</v>
      </c>
      <c r="CO5" s="1">
        <v>29.317</v>
      </c>
      <c r="CP5" s="1">
        <v>23.556</v>
      </c>
      <c r="CQ5" s="1">
        <v>39.865</v>
      </c>
      <c r="CR5" s="1">
        <v>41.45</v>
      </c>
      <c r="CS5" s="1">
        <v>24.602</v>
      </c>
      <c r="CT5" s="1">
        <v>33.679</v>
      </c>
      <c r="CU5" s="1">
        <v>69.686</v>
      </c>
      <c r="CV5" s="1">
        <v>71.044</v>
      </c>
      <c r="CW5" s="1">
        <v>53.587</v>
      </c>
      <c r="CX5" s="1">
        <v>51.502</v>
      </c>
      <c r="CY5" s="1">
        <v>44.72</v>
      </c>
      <c r="CZ5" s="1">
        <v>57.01</v>
      </c>
      <c r="DA5" s="1">
        <v>71.687</v>
      </c>
      <c r="DB5" s="1">
        <v>59.356</v>
      </c>
      <c r="DC5" s="1">
        <v>52.454</v>
      </c>
      <c r="DD5" s="1">
        <v>35.619</v>
      </c>
      <c r="DE5" s="1">
        <v>72.984</v>
      </c>
      <c r="DF5" s="1">
        <v>53.334</v>
      </c>
      <c r="DG5" s="1">
        <v>49.518</v>
      </c>
      <c r="DH5" s="1">
        <v>52.733</v>
      </c>
      <c r="DI5" s="1">
        <v>42.096</v>
      </c>
      <c r="DJ5" s="1">
        <v>55.72</v>
      </c>
      <c r="DK5" s="1">
        <v>59.118</v>
      </c>
      <c r="DL5" s="1">
        <v>60.707</v>
      </c>
      <c r="DM5" s="1">
        <v>66.919</v>
      </c>
      <c r="DN5" s="1">
        <v>52.815</v>
      </c>
      <c r="DO5" s="1">
        <v>59.241</v>
      </c>
      <c r="DP5" s="1">
        <v>70.001</v>
      </c>
      <c r="DQ5" s="1">
        <v>66.784</v>
      </c>
      <c r="DR5" s="1">
        <v>40.458</v>
      </c>
      <c r="DS5" s="1">
        <v>40.697</v>
      </c>
      <c r="DT5" s="1">
        <v>59.981</v>
      </c>
      <c r="DU5" s="1">
        <v>59.756</v>
      </c>
      <c r="DV5" s="1">
        <v>68.192</v>
      </c>
      <c r="DW5" s="1">
        <v>34.215</v>
      </c>
      <c r="DX5" s="1">
        <v>39.247</v>
      </c>
      <c r="DY5" s="1">
        <v>50.203</v>
      </c>
      <c r="DZ5" s="1">
        <v>54.558</v>
      </c>
      <c r="EA5" s="1">
        <v>62.809</v>
      </c>
      <c r="EB5" s="1">
        <v>59.751</v>
      </c>
      <c r="EC5" s="1">
        <v>49.65</v>
      </c>
      <c r="ED5" s="1">
        <v>39.745</v>
      </c>
      <c r="EE5" s="1">
        <v>42.584</v>
      </c>
      <c r="EF5" s="1">
        <v>46.566</v>
      </c>
      <c r="EG5" s="1">
        <v>56.721</v>
      </c>
      <c r="EH5" s="1">
        <v>58.21</v>
      </c>
      <c r="EI5" s="1">
        <v>40.652</v>
      </c>
      <c r="EJ5" s="1">
        <v>42.363</v>
      </c>
    </row>
    <row r="6">
      <c r="A6" s="18" t="s">
        <v>9</v>
      </c>
      <c r="B6" s="1">
        <f>44/1042*100</f>
        <v>4.222648752</v>
      </c>
      <c r="C6" s="1">
        <f>3600/57287*100</f>
        <v>6.284148236</v>
      </c>
      <c r="D6" s="1">
        <v>0.0</v>
      </c>
      <c r="E6" s="1">
        <f>313/25420*100</f>
        <v>1.231313926</v>
      </c>
      <c r="F6" s="1">
        <f>22747/65786*100</f>
        <v>34.57726568</v>
      </c>
      <c r="G6" s="1">
        <v>0.0</v>
      </c>
      <c r="H6" s="1">
        <v>0.0</v>
      </c>
      <c r="I6" s="1">
        <f>640/54774*100</f>
        <v>1.16843758</v>
      </c>
      <c r="J6" s="1">
        <f>1064/66491*100</f>
        <v>1.600216571</v>
      </c>
      <c r="K6" s="1">
        <f>4678/50567*100</f>
        <v>9.25109261</v>
      </c>
      <c r="L6" s="1">
        <f>5394/56647*100</f>
        <v>9.522128268</v>
      </c>
      <c r="M6" s="1">
        <v>0.0</v>
      </c>
      <c r="O6" s="1">
        <f>460/44336*100</f>
        <v>1.037531577</v>
      </c>
      <c r="S6" s="1">
        <v>6.137</v>
      </c>
      <c r="T6" s="1">
        <v>9.173</v>
      </c>
      <c r="AA6" s="1">
        <v>10.849</v>
      </c>
      <c r="AB6" s="1">
        <v>1.466</v>
      </c>
      <c r="AC6" s="1">
        <v>1.999</v>
      </c>
      <c r="AD6" s="1">
        <v>9.538</v>
      </c>
      <c r="AE6" s="1">
        <v>2.167</v>
      </c>
      <c r="AG6" s="1">
        <v>1.339</v>
      </c>
      <c r="AH6" s="1">
        <v>2.368</v>
      </c>
      <c r="AI6" s="1">
        <v>4.102</v>
      </c>
      <c r="AM6" s="1">
        <v>2.696</v>
      </c>
      <c r="AR6" s="1">
        <v>3.664</v>
      </c>
      <c r="AS6" s="1">
        <v>0.0</v>
      </c>
      <c r="AT6" s="1">
        <v>3.35</v>
      </c>
      <c r="AU6" s="1">
        <v>3.374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4.835</v>
      </c>
      <c r="BC6" s="1">
        <v>6.584</v>
      </c>
      <c r="BD6" s="1">
        <v>0.0</v>
      </c>
      <c r="BE6" s="1">
        <v>8.388</v>
      </c>
      <c r="BF6" s="1">
        <v>7.095</v>
      </c>
      <c r="BG6" s="1">
        <v>3.078</v>
      </c>
      <c r="BH6" s="1">
        <v>2.699</v>
      </c>
      <c r="BI6" s="1">
        <v>1.239</v>
      </c>
      <c r="BJ6" s="1">
        <v>5.102</v>
      </c>
      <c r="BK6" s="1">
        <v>0.0</v>
      </c>
      <c r="BL6" s="1">
        <v>0.0</v>
      </c>
      <c r="BM6" s="1">
        <v>0.0</v>
      </c>
      <c r="BN6" s="1">
        <v>1.065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5.98</v>
      </c>
      <c r="BU6" s="1">
        <v>4.971</v>
      </c>
      <c r="BV6" s="1">
        <v>7.942</v>
      </c>
      <c r="BW6" s="1">
        <v>0.967</v>
      </c>
      <c r="BX6" s="1">
        <v>6.898</v>
      </c>
      <c r="BY6" s="1">
        <v>0.0</v>
      </c>
      <c r="BZ6" s="1">
        <v>13.023</v>
      </c>
      <c r="CA6" s="1">
        <v>7.398</v>
      </c>
      <c r="CB6" s="1">
        <v>5.255</v>
      </c>
      <c r="CC6" s="1">
        <v>2.733</v>
      </c>
      <c r="CD6" s="1">
        <v>0.0</v>
      </c>
      <c r="CE6" s="1">
        <v>0.0</v>
      </c>
      <c r="CF6" s="1">
        <v>0.0</v>
      </c>
      <c r="CG6" s="1">
        <v>0.0</v>
      </c>
      <c r="CH6" s="1">
        <v>2.429</v>
      </c>
      <c r="CI6" s="1">
        <v>0.0</v>
      </c>
      <c r="CJ6" s="1">
        <v>0.0</v>
      </c>
      <c r="CK6" s="1">
        <v>1.162</v>
      </c>
      <c r="CL6" s="1">
        <v>0.0</v>
      </c>
      <c r="CM6" s="1">
        <v>5.844</v>
      </c>
      <c r="CN6" s="1">
        <v>6.301</v>
      </c>
      <c r="CO6" s="1">
        <v>9.709</v>
      </c>
      <c r="CP6" s="1">
        <v>9.619</v>
      </c>
      <c r="CQ6" s="1">
        <v>4.478</v>
      </c>
      <c r="CR6" s="1">
        <v>4.127</v>
      </c>
      <c r="CS6" s="1">
        <v>0.0</v>
      </c>
      <c r="CT6" s="1">
        <v>0.0</v>
      </c>
      <c r="CU6" s="1">
        <v>1.243</v>
      </c>
      <c r="CV6" s="1">
        <v>0.0</v>
      </c>
      <c r="CW6" s="1">
        <v>0.0</v>
      </c>
      <c r="CX6" s="1">
        <v>0.0</v>
      </c>
      <c r="CY6" s="1">
        <v>3.883</v>
      </c>
      <c r="CZ6" s="1">
        <v>4.798</v>
      </c>
      <c r="DA6" s="1">
        <v>0.0</v>
      </c>
      <c r="DB6" s="1">
        <v>0.0</v>
      </c>
      <c r="DC6" s="1">
        <v>1.26</v>
      </c>
      <c r="DD6" s="1">
        <v>0.0</v>
      </c>
      <c r="DE6" s="1">
        <v>0.0</v>
      </c>
      <c r="DF6" s="1">
        <v>2.332</v>
      </c>
      <c r="DG6" s="1">
        <v>2.534</v>
      </c>
      <c r="DH6" s="1">
        <v>3.173</v>
      </c>
      <c r="DI6" s="1">
        <v>0.0</v>
      </c>
      <c r="DJ6" s="1">
        <v>0.0</v>
      </c>
      <c r="DK6" s="1">
        <v>1.2</v>
      </c>
      <c r="DL6" s="1">
        <v>0.0</v>
      </c>
      <c r="DM6" s="1">
        <v>0.0</v>
      </c>
      <c r="DN6" s="1">
        <v>0.0</v>
      </c>
      <c r="DO6" s="1">
        <v>1.26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6.275</v>
      </c>
      <c r="DX6" s="1">
        <v>6.269</v>
      </c>
      <c r="DY6" s="1">
        <v>0.0</v>
      </c>
      <c r="DZ6" s="1">
        <v>1.233</v>
      </c>
      <c r="EA6" s="1">
        <v>1.528</v>
      </c>
      <c r="EB6" s="1">
        <v>1.788</v>
      </c>
      <c r="EC6" s="1">
        <v>0.0</v>
      </c>
      <c r="ED6" s="1">
        <v>0.0</v>
      </c>
      <c r="EE6" s="1">
        <v>7.869</v>
      </c>
      <c r="EF6" s="1">
        <v>10.232</v>
      </c>
      <c r="EG6" s="1">
        <v>0.0</v>
      </c>
      <c r="EH6" s="1">
        <v>0.0</v>
      </c>
      <c r="EI6" s="1">
        <v>0.0</v>
      </c>
      <c r="EJ6" s="1">
        <v>0.0</v>
      </c>
    </row>
    <row r="7">
      <c r="A7" s="18" t="s">
        <v>10</v>
      </c>
      <c r="B7" s="1">
        <f>27/1042*100</f>
        <v>2.591170825</v>
      </c>
      <c r="C7" s="1">
        <v>0.0</v>
      </c>
      <c r="D7" s="1">
        <v>0.0</v>
      </c>
      <c r="E7" s="1">
        <f>857/25420*100</f>
        <v>3.371361133</v>
      </c>
      <c r="F7" s="1">
        <f>764/65786*100</f>
        <v>1.161341319</v>
      </c>
      <c r="G7" s="1">
        <f>834/33769*100</f>
        <v>2.46972075</v>
      </c>
      <c r="H7" s="1">
        <f>711/59771*100</f>
        <v>1.189540078</v>
      </c>
      <c r="I7" s="1">
        <f>1964/54774*100</f>
        <v>3.585642823</v>
      </c>
      <c r="J7" s="1">
        <v>0.0</v>
      </c>
      <c r="K7" s="1">
        <v>0.0</v>
      </c>
      <c r="L7" s="1">
        <v>0.0</v>
      </c>
      <c r="M7" s="1">
        <f>1959/93891*100</f>
        <v>2.086461961</v>
      </c>
      <c r="N7" s="1">
        <f>3281/74865*100</f>
        <v>4.382555266</v>
      </c>
      <c r="O7" s="1">
        <f>1775/44336*100</f>
        <v>4.003518585</v>
      </c>
      <c r="P7" s="1">
        <f>1376/51656*100</f>
        <v>2.663775747</v>
      </c>
      <c r="S7" s="1">
        <v>4.456</v>
      </c>
      <c r="U7" s="1">
        <v>2.031</v>
      </c>
      <c r="V7" s="1">
        <v>1.222</v>
      </c>
      <c r="W7" s="1">
        <f>1873/90605*100</f>
        <v>2.067214834</v>
      </c>
      <c r="X7" s="1">
        <v>2.014</v>
      </c>
      <c r="AA7" s="1">
        <v>10.659</v>
      </c>
      <c r="AB7" s="1">
        <v>11.151</v>
      </c>
      <c r="AD7" s="1">
        <v>1.132</v>
      </c>
      <c r="AF7" s="1">
        <v>3.978</v>
      </c>
      <c r="AH7" s="1">
        <v>1.495</v>
      </c>
      <c r="AI7" s="1">
        <v>2.476</v>
      </c>
      <c r="AK7" s="1">
        <v>2.657</v>
      </c>
      <c r="AL7" s="1">
        <v>1.781</v>
      </c>
      <c r="AN7" s="1">
        <v>2.841</v>
      </c>
      <c r="AO7" s="1">
        <v>3.282</v>
      </c>
      <c r="AP7" s="1">
        <v>2.643</v>
      </c>
      <c r="AR7" s="1">
        <v>1.418</v>
      </c>
      <c r="AS7" s="1">
        <v>1.315</v>
      </c>
      <c r="AT7" s="1">
        <v>0.0</v>
      </c>
      <c r="AU7" s="1">
        <v>1.736</v>
      </c>
      <c r="AV7" s="1">
        <v>1.011</v>
      </c>
      <c r="AW7" s="1">
        <v>0.0</v>
      </c>
      <c r="AX7" s="1">
        <v>5.009</v>
      </c>
      <c r="AY7" s="1">
        <v>4.4374</v>
      </c>
      <c r="AZ7" s="1">
        <v>4.084</v>
      </c>
      <c r="BA7" s="1">
        <v>1.412</v>
      </c>
      <c r="BB7" s="1">
        <v>11.845</v>
      </c>
      <c r="BC7" s="1">
        <v>2.029</v>
      </c>
      <c r="BD7" s="1">
        <v>4.796</v>
      </c>
      <c r="BE7" s="1">
        <v>3.696</v>
      </c>
      <c r="BF7" s="1">
        <v>4.902</v>
      </c>
      <c r="BG7" s="1">
        <v>6.617</v>
      </c>
      <c r="BH7" s="1">
        <v>2.658</v>
      </c>
      <c r="BI7" s="1">
        <v>3.278</v>
      </c>
      <c r="BJ7" s="1">
        <v>0.0</v>
      </c>
      <c r="BK7" s="1">
        <v>0.0</v>
      </c>
      <c r="BL7" s="1">
        <v>11.162</v>
      </c>
      <c r="BM7" s="1">
        <v>12.396</v>
      </c>
      <c r="BN7" s="1">
        <v>5.108</v>
      </c>
      <c r="BO7" s="1">
        <v>1.045</v>
      </c>
      <c r="BP7" s="1">
        <v>0.0</v>
      </c>
      <c r="BQ7" s="1">
        <v>0.0</v>
      </c>
      <c r="BR7" s="1">
        <v>1.338</v>
      </c>
      <c r="BS7" s="1">
        <v>2.289</v>
      </c>
      <c r="BT7" s="1">
        <v>1.59</v>
      </c>
      <c r="BU7" s="1">
        <v>1.17</v>
      </c>
      <c r="BV7" s="1">
        <v>1.63</v>
      </c>
      <c r="BW7" s="1">
        <v>3.31</v>
      </c>
      <c r="BX7" s="1">
        <v>5.2</v>
      </c>
      <c r="BY7" s="1">
        <v>1.47</v>
      </c>
      <c r="BZ7" s="1">
        <v>12.008</v>
      </c>
      <c r="CA7" s="1">
        <v>4.159</v>
      </c>
      <c r="CB7" s="1">
        <v>1.35</v>
      </c>
      <c r="CC7" s="1">
        <v>0.0</v>
      </c>
      <c r="CD7" s="1">
        <v>1.948</v>
      </c>
      <c r="CE7" s="1">
        <v>0.0</v>
      </c>
      <c r="CF7" s="1">
        <v>1.139</v>
      </c>
      <c r="CG7" s="1">
        <v>0.0</v>
      </c>
      <c r="CH7" s="1">
        <v>2.199</v>
      </c>
      <c r="CI7" s="1">
        <v>3.866</v>
      </c>
      <c r="CJ7" s="1">
        <v>6.841</v>
      </c>
      <c r="CK7" s="1">
        <v>10.087</v>
      </c>
      <c r="CL7" s="1">
        <v>51.816</v>
      </c>
      <c r="CM7" s="1">
        <v>0.0</v>
      </c>
      <c r="CN7" s="1">
        <v>1.584</v>
      </c>
      <c r="CO7" s="1">
        <v>0.0</v>
      </c>
      <c r="CP7" s="1">
        <v>0.0</v>
      </c>
      <c r="CQ7" s="1">
        <v>4.184</v>
      </c>
      <c r="CR7" s="1">
        <v>1.105</v>
      </c>
      <c r="CS7" s="1">
        <v>0.0</v>
      </c>
      <c r="CT7" s="1">
        <v>0.0</v>
      </c>
      <c r="CU7" s="1">
        <v>1.873</v>
      </c>
      <c r="CV7" s="1">
        <v>0.0</v>
      </c>
      <c r="CW7" s="1">
        <v>5.619</v>
      </c>
      <c r="CX7" s="1">
        <v>5.639</v>
      </c>
      <c r="CY7" s="1">
        <v>1.114</v>
      </c>
      <c r="CZ7" s="1">
        <v>2.772</v>
      </c>
      <c r="DA7" s="1">
        <v>0.0</v>
      </c>
      <c r="DB7" s="1">
        <v>0.0</v>
      </c>
      <c r="DC7" s="1">
        <v>1.225</v>
      </c>
      <c r="DD7" s="1">
        <v>1.275</v>
      </c>
      <c r="DE7" s="1">
        <v>4.623</v>
      </c>
      <c r="DF7" s="1">
        <v>11.143</v>
      </c>
      <c r="DG7" s="1">
        <v>15.131</v>
      </c>
      <c r="DH7" s="1">
        <v>0.0</v>
      </c>
      <c r="DI7" s="1">
        <v>0.0</v>
      </c>
      <c r="DJ7" s="1">
        <v>1.816</v>
      </c>
      <c r="DK7" s="1">
        <v>0.0</v>
      </c>
      <c r="DL7" s="1">
        <v>2.076</v>
      </c>
      <c r="DM7" s="1">
        <v>1.113</v>
      </c>
      <c r="DN7" s="1">
        <v>2.424</v>
      </c>
      <c r="DO7" s="1">
        <v>1.392</v>
      </c>
      <c r="DP7" s="1">
        <v>0.0</v>
      </c>
      <c r="DQ7" s="1">
        <v>0.0</v>
      </c>
      <c r="DR7" s="1">
        <v>12.176</v>
      </c>
      <c r="DS7" s="1">
        <v>11.401</v>
      </c>
      <c r="DT7" s="1">
        <v>2.85</v>
      </c>
      <c r="DU7" s="1">
        <v>2.309</v>
      </c>
      <c r="DV7" s="1">
        <v>0.0</v>
      </c>
      <c r="DW7" s="1">
        <v>1.677</v>
      </c>
      <c r="DX7" s="1">
        <v>0.0</v>
      </c>
      <c r="DY7" s="1">
        <v>0.0</v>
      </c>
      <c r="DZ7" s="1">
        <v>1.652</v>
      </c>
      <c r="EA7" s="1">
        <v>1.245</v>
      </c>
      <c r="EB7" s="1">
        <v>2.403</v>
      </c>
      <c r="EC7" s="1">
        <v>1.695</v>
      </c>
      <c r="ED7" s="1">
        <v>2.634</v>
      </c>
      <c r="EE7" s="1">
        <v>0.0</v>
      </c>
      <c r="EF7" s="1">
        <v>0.0</v>
      </c>
      <c r="EG7" s="1">
        <v>1.781</v>
      </c>
      <c r="EH7" s="1">
        <v>1.611</v>
      </c>
      <c r="EI7" s="1">
        <v>0.0</v>
      </c>
      <c r="EJ7" s="1">
        <v>0.0</v>
      </c>
    </row>
    <row r="8">
      <c r="A8" s="18" t="s">
        <v>11</v>
      </c>
      <c r="B8" s="1">
        <v>0.0</v>
      </c>
      <c r="C8" s="1">
        <v>0.0</v>
      </c>
      <c r="D8" s="1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S8" s="1"/>
      <c r="U8" s="1"/>
      <c r="V8" s="1"/>
      <c r="W8" s="1"/>
      <c r="X8" s="1"/>
      <c r="AA8" s="1"/>
      <c r="AB8" s="1"/>
      <c r="AD8" s="1"/>
      <c r="AF8" s="1"/>
      <c r="AH8" s="1"/>
      <c r="AI8" s="1"/>
      <c r="AK8" s="1"/>
      <c r="AL8" s="1"/>
      <c r="AN8" s="1"/>
      <c r="AO8" s="1"/>
      <c r="AP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>
        <f>444/35376*100</f>
        <v>1.255088195</v>
      </c>
      <c r="BH8" s="1"/>
      <c r="BI8" s="1"/>
      <c r="BJ8" s="1"/>
      <c r="BK8" s="1"/>
      <c r="BL8" s="1"/>
      <c r="BM8" s="1"/>
      <c r="BN8" s="1"/>
      <c r="BO8" s="19">
        <f>658/51571*100</f>
        <v>1.27591088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</row>
    <row r="9">
      <c r="A9" s="1" t="s">
        <v>13</v>
      </c>
      <c r="B9" s="1">
        <v>0.0</v>
      </c>
      <c r="C9" s="1">
        <v>0.0</v>
      </c>
      <c r="D9" s="1">
        <v>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S9" s="1">
        <v>1.227</v>
      </c>
      <c r="AA9" s="1">
        <v>2.415</v>
      </c>
      <c r="AB9" s="1">
        <v>1.245</v>
      </c>
      <c r="AF9" s="1">
        <v>2.123</v>
      </c>
      <c r="AG9" s="1">
        <v>2.602</v>
      </c>
      <c r="AJ9" s="1">
        <v>14.915</v>
      </c>
      <c r="AK9" s="1">
        <v>18.063</v>
      </c>
      <c r="AR9" s="1">
        <v>0.0</v>
      </c>
      <c r="AS9" s="1">
        <v>0.0</v>
      </c>
      <c r="AT9" s="1">
        <v>0.0</v>
      </c>
      <c r="AU9" s="1">
        <v>2.543</v>
      </c>
      <c r="AV9" s="1">
        <v>2.123</v>
      </c>
      <c r="AW9" s="1">
        <v>0.0</v>
      </c>
      <c r="AX9" s="1">
        <v>0.0</v>
      </c>
      <c r="AY9" s="1">
        <v>1.623</v>
      </c>
      <c r="AZ9" s="1">
        <v>0.0</v>
      </c>
      <c r="BA9" s="1">
        <v>0.0</v>
      </c>
      <c r="BB9" s="1">
        <v>0.0</v>
      </c>
      <c r="BC9" s="1">
        <v>1.413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1.037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1.394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1.34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1.036</v>
      </c>
      <c r="CR9" s="1">
        <v>0.0</v>
      </c>
      <c r="CS9" s="1">
        <v>0.0</v>
      </c>
      <c r="CT9" s="1">
        <v>0.0</v>
      </c>
      <c r="CU9" s="1">
        <v>1.214</v>
      </c>
      <c r="CV9" s="1">
        <v>0.0</v>
      </c>
      <c r="CW9" s="1">
        <v>0.0</v>
      </c>
      <c r="CX9" s="1">
        <v>0.0</v>
      </c>
      <c r="CY9" s="1">
        <v>0.0</v>
      </c>
      <c r="CZ9" s="1">
        <v>0.0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1.52</v>
      </c>
      <c r="DG9" s="1">
        <v>1.031</v>
      </c>
      <c r="EB9" s="1">
        <f>884/66748*100</f>
        <v>1.324384251</v>
      </c>
      <c r="EI9" s="1">
        <f>3345/83315*100</f>
        <v>4.014883274</v>
      </c>
      <c r="EJ9" s="1">
        <f>2217/56357*100</f>
        <v>3.933850276</v>
      </c>
    </row>
    <row r="10">
      <c r="A10" s="1" t="s">
        <v>14</v>
      </c>
      <c r="B10" s="1">
        <v>0.0</v>
      </c>
      <c r="C10" s="1">
        <v>0.0</v>
      </c>
      <c r="D10" s="1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AA10" s="1"/>
      <c r="AB10" s="1">
        <v>2.058</v>
      </c>
      <c r="BL10" s="7">
        <f>776/43555*100</f>
        <v>1.781655378</v>
      </c>
    </row>
    <row r="11">
      <c r="A11" s="18" t="s">
        <v>15</v>
      </c>
      <c r="B11" s="1">
        <v>0.0</v>
      </c>
      <c r="C11" s="1">
        <v>0.0</v>
      </c>
      <c r="D11" s="1">
        <v>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f>889/51656*100</f>
        <v>1.721000465</v>
      </c>
      <c r="T11" s="1">
        <v>1.001</v>
      </c>
      <c r="Y11" s="1">
        <v>1.023</v>
      </c>
      <c r="AF11" s="1">
        <v>3.765</v>
      </c>
      <c r="AG11" s="1">
        <v>5.523</v>
      </c>
      <c r="AI11" s="1">
        <v>1.261</v>
      </c>
      <c r="AJ11" s="1">
        <v>3.33</v>
      </c>
      <c r="AK11" s="1">
        <v>4.329</v>
      </c>
      <c r="AL11" s="1">
        <v>1.836</v>
      </c>
      <c r="AM11" s="1">
        <v>7.085</v>
      </c>
      <c r="AN11" s="1">
        <v>3.176</v>
      </c>
      <c r="AO11" s="1">
        <v>4.583</v>
      </c>
      <c r="AP11" s="1">
        <v>17.787</v>
      </c>
      <c r="AQ11" s="1">
        <v>15.703</v>
      </c>
      <c r="AR11" s="1">
        <v>5.44</v>
      </c>
      <c r="AS11" s="1">
        <v>7.24</v>
      </c>
      <c r="AT11" s="1">
        <v>0.0</v>
      </c>
      <c r="AU11" s="1">
        <v>0.0</v>
      </c>
      <c r="AV11" s="1">
        <v>7.38</v>
      </c>
      <c r="AW11" s="1">
        <v>7.284</v>
      </c>
      <c r="AX11" s="1">
        <v>0.0</v>
      </c>
      <c r="AY11" s="1">
        <v>0.0</v>
      </c>
      <c r="AZ11" s="1">
        <v>1.444</v>
      </c>
      <c r="BA11" s="1">
        <v>5.48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9">
        <f>2189/33223*100</f>
        <v>6.588808958</v>
      </c>
      <c r="BL11" s="1">
        <v>1.012</v>
      </c>
      <c r="BM11" s="1">
        <v>0.0</v>
      </c>
      <c r="BN11" s="1">
        <v>0.0</v>
      </c>
      <c r="BO11" s="1">
        <v>1.388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3.959</v>
      </c>
      <c r="CC11" s="1">
        <v>8.915</v>
      </c>
      <c r="CD11" s="1">
        <v>0.0</v>
      </c>
      <c r="CE11" s="1">
        <v>0.0</v>
      </c>
      <c r="CF11" s="1">
        <v>0.0</v>
      </c>
      <c r="CG11" s="1">
        <v>0.0</v>
      </c>
      <c r="CH11" s="1">
        <v>1.04</v>
      </c>
      <c r="CI11" s="1">
        <v>0.0</v>
      </c>
      <c r="CJ11" s="1">
        <v>0.0</v>
      </c>
      <c r="CK11" s="1">
        <v>1.887</v>
      </c>
      <c r="CL11" s="1">
        <v>1.052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1.885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3.773</v>
      </c>
      <c r="DB11" s="1">
        <v>3.491</v>
      </c>
      <c r="DC11" s="1">
        <v>0.0</v>
      </c>
      <c r="DD11" s="1">
        <v>0.0</v>
      </c>
      <c r="DE11" s="1">
        <v>0.0</v>
      </c>
      <c r="DF11" s="1">
        <v>2.375</v>
      </c>
      <c r="DG11" s="1">
        <v>2.383</v>
      </c>
      <c r="DH11" s="1">
        <v>5.109</v>
      </c>
      <c r="DI11" s="1">
        <v>2.342</v>
      </c>
      <c r="DJ11" s="1">
        <v>0.0</v>
      </c>
      <c r="DK11" s="1">
        <v>4.233</v>
      </c>
      <c r="DL11" s="1">
        <v>4.281</v>
      </c>
      <c r="DM11" s="1">
        <v>0.0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Y11" s="1">
        <v>2.176</v>
      </c>
      <c r="DZ11" s="1">
        <v>3.257</v>
      </c>
      <c r="EA11" s="1">
        <v>0.0</v>
      </c>
      <c r="EB11" s="1">
        <v>2.227</v>
      </c>
    </row>
    <row r="12">
      <c r="A12" s="1" t="s">
        <v>16</v>
      </c>
      <c r="B12" s="1">
        <v>0.0</v>
      </c>
      <c r="C12" s="1">
        <v>0.0</v>
      </c>
      <c r="D12" s="1">
        <v>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T12" s="1"/>
      <c r="Y12" s="1"/>
      <c r="AB12" s="1">
        <v>4.369</v>
      </c>
      <c r="AK12" s="1">
        <v>1.604</v>
      </c>
      <c r="BL12" s="1">
        <v>6.038</v>
      </c>
      <c r="CH12" s="1">
        <v>3.732</v>
      </c>
      <c r="CI12" s="1">
        <v>3.38</v>
      </c>
      <c r="DF12" s="1">
        <v>2.955</v>
      </c>
      <c r="DG12" s="1">
        <v>2.898</v>
      </c>
    </row>
    <row r="13">
      <c r="A13" s="18" t="s">
        <v>17</v>
      </c>
      <c r="B13" s="1">
        <v>0.0</v>
      </c>
      <c r="C13" s="1">
        <v>0.0</v>
      </c>
      <c r="D13" s="1">
        <f>488/45959*100</f>
        <v>1.061815966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AT13" s="1">
        <v>2.25</v>
      </c>
      <c r="AZ13" s="1">
        <v>1.004</v>
      </c>
      <c r="CI13" s="1">
        <v>1.193</v>
      </c>
      <c r="CL13" s="1">
        <v>1.0</v>
      </c>
      <c r="DY13" s="1">
        <v>2.176</v>
      </c>
      <c r="DZ13" s="1">
        <v>3.257</v>
      </c>
      <c r="EA13" s="1">
        <v>0.0</v>
      </c>
      <c r="EB13" s="1">
        <v>2.227</v>
      </c>
    </row>
    <row r="14">
      <c r="A14" s="1" t="s">
        <v>18</v>
      </c>
      <c r="B14" s="1">
        <v>0.0</v>
      </c>
      <c r="C14" s="1">
        <v>0.0</v>
      </c>
      <c r="D14" s="1">
        <v>0.0</v>
      </c>
      <c r="E14" s="1"/>
      <c r="F14" s="1"/>
      <c r="G14" s="1"/>
      <c r="H14" s="1"/>
      <c r="I14" s="1"/>
      <c r="J14" s="1"/>
      <c r="K14" s="1"/>
      <c r="L14" s="1"/>
      <c r="AT14" s="1"/>
      <c r="AZ14" s="1"/>
      <c r="BM14" s="7">
        <f>226/21765*100</f>
        <v>1.038364346</v>
      </c>
      <c r="DY14" s="1"/>
      <c r="DZ14" s="1"/>
      <c r="EA14" s="1"/>
      <c r="EB14" s="1"/>
    </row>
    <row r="15">
      <c r="A15" s="1" t="s">
        <v>19</v>
      </c>
      <c r="B15" s="1">
        <v>0.0</v>
      </c>
      <c r="C15" s="1">
        <v>0.0</v>
      </c>
      <c r="D15" s="1">
        <v>0.0</v>
      </c>
      <c r="E15" s="1"/>
      <c r="F15" s="1"/>
      <c r="G15" s="1"/>
      <c r="H15" s="1"/>
      <c r="I15" s="1"/>
      <c r="J15" s="1"/>
      <c r="K15" s="1"/>
      <c r="L15" s="1"/>
      <c r="AT15" s="1"/>
      <c r="AZ15" s="1"/>
      <c r="BF15" s="1">
        <v>1.531</v>
      </c>
      <c r="BM15" s="1">
        <v>1.824</v>
      </c>
      <c r="DY15" s="1"/>
      <c r="DZ15" s="1"/>
      <c r="EA15" s="1"/>
      <c r="EB15" s="1"/>
    </row>
    <row r="16">
      <c r="A16" s="1" t="s">
        <v>20</v>
      </c>
      <c r="B16" s="1">
        <v>0.0</v>
      </c>
      <c r="C16" s="1">
        <v>0.0</v>
      </c>
      <c r="D16" s="1">
        <v>0.0</v>
      </c>
      <c r="E16" s="1"/>
      <c r="F16" s="1"/>
      <c r="G16" s="1"/>
      <c r="H16" s="1"/>
      <c r="I16" s="1"/>
      <c r="J16" s="1"/>
      <c r="K16" s="1"/>
      <c r="L16" s="1"/>
      <c r="AT16" s="1"/>
      <c r="AZ16" s="1"/>
      <c r="BF16" s="1"/>
      <c r="DE16" s="1">
        <v>1.109</v>
      </c>
      <c r="DT16" s="1">
        <v>2.615</v>
      </c>
      <c r="DU16" s="1">
        <v>3.612</v>
      </c>
      <c r="DY16" s="1"/>
      <c r="DZ16" s="1"/>
      <c r="EA16" s="1"/>
      <c r="EB16" s="1"/>
    </row>
    <row r="17">
      <c r="A17" s="1" t="s">
        <v>22</v>
      </c>
      <c r="B17" s="1">
        <v>0.0</v>
      </c>
      <c r="C17" s="1">
        <v>0.0</v>
      </c>
      <c r="D17" s="1">
        <v>0.0</v>
      </c>
      <c r="E17" s="1"/>
      <c r="F17" s="1"/>
      <c r="G17" s="1"/>
      <c r="H17" s="1"/>
      <c r="I17" s="1"/>
      <c r="J17" s="1"/>
      <c r="K17" s="1"/>
      <c r="L17" s="1"/>
      <c r="AL17" s="1">
        <v>3.062</v>
      </c>
      <c r="AN17" s="1">
        <v>1.293</v>
      </c>
      <c r="AP17" s="1">
        <v>1.305</v>
      </c>
      <c r="BR17" s="1">
        <v>1.422</v>
      </c>
      <c r="BS17" s="1">
        <v>1.015</v>
      </c>
      <c r="CW17" s="1">
        <v>2.456</v>
      </c>
      <c r="CX17" s="1">
        <v>2.017</v>
      </c>
      <c r="EC17" s="1">
        <v>1.45</v>
      </c>
    </row>
    <row r="18">
      <c r="A18" s="1" t="s">
        <v>25</v>
      </c>
      <c r="B18" s="1">
        <v>0.0</v>
      </c>
      <c r="C18" s="1">
        <v>0.0</v>
      </c>
      <c r="D18" s="1">
        <v>0.0</v>
      </c>
      <c r="E18" s="1"/>
      <c r="F18" s="1"/>
      <c r="G18" s="1"/>
      <c r="H18" s="1"/>
      <c r="I18" s="1"/>
      <c r="J18" s="1"/>
      <c r="K18" s="1"/>
      <c r="L18" s="1"/>
      <c r="AL18" s="1"/>
      <c r="AN18" s="1"/>
      <c r="AP18" s="1"/>
      <c r="BR18" s="1"/>
      <c r="BS18" s="1"/>
      <c r="CW18" s="1"/>
      <c r="CX18" s="1"/>
      <c r="EC18" s="1"/>
    </row>
    <row r="19">
      <c r="A19" s="18" t="s">
        <v>26</v>
      </c>
      <c r="B19" s="1">
        <v>0.0</v>
      </c>
      <c r="C19" s="1">
        <v>0.0</v>
      </c>
      <c r="D19" s="1">
        <v>0.0</v>
      </c>
      <c r="E19" s="1"/>
      <c r="F19" s="1"/>
      <c r="G19" s="1"/>
      <c r="H19" s="1"/>
      <c r="I19" s="1"/>
      <c r="J19" s="1"/>
      <c r="K19" s="1"/>
      <c r="L19" s="1"/>
      <c r="AL19" s="1"/>
      <c r="AN19" s="1"/>
      <c r="AP19" s="1"/>
      <c r="BR19" s="1"/>
      <c r="BS19" s="1"/>
      <c r="BT19" s="1">
        <v>1.143</v>
      </c>
      <c r="BU19" s="1">
        <v>2.246</v>
      </c>
      <c r="CW19" s="1"/>
      <c r="CX19" s="1"/>
      <c r="CY19" s="1">
        <v>1.93</v>
      </c>
      <c r="DY19" s="1">
        <v>1.646</v>
      </c>
      <c r="DZ19" s="1">
        <v>0.0</v>
      </c>
      <c r="EC19" s="1"/>
      <c r="EI19" s="1">
        <v>4.209</v>
      </c>
      <c r="EJ19" s="1">
        <v>5.298</v>
      </c>
    </row>
    <row r="20">
      <c r="A20" s="1" t="s">
        <v>29</v>
      </c>
      <c r="B20" s="1">
        <v>0.0</v>
      </c>
      <c r="C20" s="1">
        <v>0.0</v>
      </c>
      <c r="D20" s="1">
        <v>0.0</v>
      </c>
      <c r="E20" s="1"/>
      <c r="F20" s="1"/>
      <c r="G20" s="1"/>
      <c r="H20" s="1"/>
      <c r="I20" s="1"/>
      <c r="J20" s="1"/>
      <c r="K20" s="1"/>
      <c r="L20" s="1"/>
      <c r="AK20" s="1">
        <v>1.215</v>
      </c>
      <c r="AV20" s="1">
        <v>1.568</v>
      </c>
      <c r="AW20" s="1">
        <v>1.38</v>
      </c>
      <c r="DI20" s="1">
        <v>1.638</v>
      </c>
      <c r="DO20" s="1">
        <v>1.871</v>
      </c>
      <c r="DP20" s="1">
        <v>2.641</v>
      </c>
      <c r="EI20" s="1">
        <v>1.064</v>
      </c>
      <c r="EJ20" s="1">
        <v>1.4159</v>
      </c>
    </row>
    <row r="21">
      <c r="A21" s="18" t="s">
        <v>30</v>
      </c>
      <c r="B21" s="1">
        <v>0.0</v>
      </c>
      <c r="C21" s="1">
        <v>0.0</v>
      </c>
      <c r="D21" s="1">
        <v>0.0</v>
      </c>
      <c r="E21" s="1"/>
      <c r="F21" s="1"/>
      <c r="G21" s="1"/>
      <c r="H21" s="1"/>
      <c r="I21" s="1"/>
      <c r="J21" s="1"/>
      <c r="K21" s="1"/>
      <c r="L21" s="1"/>
      <c r="AK21" s="1"/>
      <c r="AV21" s="1"/>
      <c r="AW21" s="1"/>
      <c r="AX21" s="1">
        <v>1.18</v>
      </c>
      <c r="AY21" s="1">
        <v>4.803</v>
      </c>
      <c r="DI21" s="1"/>
      <c r="DO21" s="1"/>
      <c r="DP21" s="1"/>
      <c r="EI21" s="1"/>
      <c r="EJ21" s="1"/>
    </row>
    <row r="22">
      <c r="A22" s="1" t="s">
        <v>32</v>
      </c>
      <c r="B22" s="1">
        <v>0.0</v>
      </c>
      <c r="C22" s="1">
        <v>0.0</v>
      </c>
      <c r="D22" s="1">
        <v>0.0</v>
      </c>
      <c r="E22" s="1"/>
      <c r="F22" s="1"/>
      <c r="G22" s="1"/>
      <c r="H22" s="1"/>
      <c r="I22" s="1"/>
      <c r="J22" s="1"/>
      <c r="K22" s="1"/>
      <c r="L22" s="1"/>
      <c r="AB22" s="1">
        <v>1.716</v>
      </c>
      <c r="BL22" s="1">
        <v>1.4</v>
      </c>
      <c r="CI22" s="1">
        <v>2.085</v>
      </c>
      <c r="CJ22" s="1">
        <v>2.474</v>
      </c>
      <c r="DF22" s="1">
        <v>3.717</v>
      </c>
      <c r="DG22" s="1">
        <v>3.501</v>
      </c>
    </row>
    <row r="23">
      <c r="A23" s="18" t="s">
        <v>34</v>
      </c>
      <c r="B23" s="1">
        <f>46/1042*100+'level-2 copy'!H2</f>
        <v>5.37428023</v>
      </c>
      <c r="C23" s="1">
        <f>2672/57287*100+'level-2 copy'!H3</f>
        <v>6.760696144</v>
      </c>
      <c r="D23" s="1">
        <f>2263/45959*100 + 'level-2 copy'!AI4</f>
        <v>4.934833221</v>
      </c>
      <c r="E23" s="1">
        <f>5548/25420*100 + 0.5074744296</f>
        <v>22.33280881</v>
      </c>
      <c r="F23" s="1">
        <f>763/65786*100 + 'level-2 copy'!AI6</f>
        <v>9.254248624</v>
      </c>
      <c r="G23" s="1">
        <f>163/33769*100 + 'level-2 copy'!AI7</f>
        <v>0.4945364091</v>
      </c>
      <c r="H23" s="1">
        <f>276/59771*100</f>
        <v>0.4617623931</v>
      </c>
      <c r="I23" s="1">
        <v>2.311315588</v>
      </c>
      <c r="J23" s="1">
        <v>2.095020379</v>
      </c>
      <c r="K23" s="1">
        <f>1.040204086 + 3.674333063</f>
        <v>4.714537149</v>
      </c>
      <c r="L23" s="1">
        <f>912/56647*100 + 6.568750331</f>
        <v>8.17872085</v>
      </c>
      <c r="M23" s="1">
        <f>1080/93891*100 + 0.005325324046</f>
        <v>1.155595318</v>
      </c>
      <c r="N23" s="1">
        <f>626/74865*100 + 0.01335737661</f>
        <v>0.8495291525</v>
      </c>
      <c r="O23" s="1">
        <f>1122/44336*100 + 0.015788524</f>
        <v>2.546463371</v>
      </c>
      <c r="P23" s="1">
        <f>1640/51656*100 + 0.02516648598</f>
        <v>3.200015487</v>
      </c>
      <c r="S23" s="7">
        <f>9/5947*100</f>
        <v>0.1513368085</v>
      </c>
      <c r="T23" s="7">
        <f>2.7 + 0.01831669567</f>
        <v>2.718316696</v>
      </c>
      <c r="U23" s="7">
        <f>3.256 + 0.031</f>
        <v>3.287</v>
      </c>
      <c r="V23" s="7">
        <f>1.804 + 0.021</f>
        <v>1.825</v>
      </c>
      <c r="W23" s="7">
        <f>0.5441200817</f>
        <v>0.5441200817</v>
      </c>
      <c r="X23" s="7">
        <f>0.73</f>
        <v>0.73</v>
      </c>
      <c r="Y23" s="7">
        <f>1.062</f>
        <v>1.062</v>
      </c>
      <c r="Z23" s="7">
        <f>1.225</f>
        <v>1.225</v>
      </c>
      <c r="AA23" s="7">
        <f>3.922</f>
        <v>3.922</v>
      </c>
      <c r="AB23" s="7">
        <f>1.544 + 0.66</f>
        <v>2.204</v>
      </c>
      <c r="AC23" s="7">
        <f>0.528 </f>
        <v>0.528</v>
      </c>
      <c r="AD23" s="7">
        <f>1.965 + 1.058</f>
        <v>3.023</v>
      </c>
      <c r="AE23" s="7">
        <f>0.96 + 1.495</f>
        <v>2.455</v>
      </c>
      <c r="AF23" s="7">
        <f>6.139 + 0.275</f>
        <v>6.414</v>
      </c>
      <c r="AG23" s="1">
        <f>8.878 + 0.347</f>
        <v>9.225</v>
      </c>
      <c r="AH23" s="7">
        <f>10.309 </f>
        <v>10.309</v>
      </c>
      <c r="AI23" s="7">
        <f>10.535</f>
        <v>10.535</v>
      </c>
      <c r="AJ23" s="1">
        <v>10.539</v>
      </c>
      <c r="AK23" s="1">
        <v>7.324</v>
      </c>
      <c r="AL23" s="7">
        <f>1.102</f>
        <v>1.102</v>
      </c>
      <c r="AM23" s="1">
        <v>1.34</v>
      </c>
      <c r="AN23" s="7">
        <f>1.447</f>
        <v>1.447</v>
      </c>
      <c r="AO23" s="7">
        <f>0.897</f>
        <v>0.897</v>
      </c>
      <c r="AP23" s="7">
        <f>1.79</f>
        <v>1.79</v>
      </c>
      <c r="AQ23" s="1">
        <v>0.0</v>
      </c>
      <c r="AR23" s="1">
        <v>0.0</v>
      </c>
      <c r="AS23" s="1">
        <v>0.0</v>
      </c>
      <c r="AT23" s="7">
        <f>7.29 </f>
        <v>7.29</v>
      </c>
      <c r="AU23" s="7">
        <f>9.831</f>
        <v>9.831</v>
      </c>
      <c r="AV23" s="7">
        <f>0.92</f>
        <v>0.92</v>
      </c>
      <c r="AW23" s="7">
        <f>0.97</f>
        <v>0.97</v>
      </c>
      <c r="AX23" s="7">
        <f>28.475</f>
        <v>28.475</v>
      </c>
      <c r="AY23" s="7">
        <f>14.368</f>
        <v>14.368</v>
      </c>
      <c r="AZ23" s="7">
        <f>2.579</f>
        <v>2.579</v>
      </c>
      <c r="BA23" s="7">
        <f>0.95</f>
        <v>0.95</v>
      </c>
      <c r="BB23" s="7">
        <f>1.178</f>
        <v>1.178</v>
      </c>
      <c r="BC23" s="7">
        <f>0.999</f>
        <v>0.999</v>
      </c>
      <c r="BD23" s="7">
        <f>1/175</f>
        <v>0.005714285714</v>
      </c>
      <c r="BE23" s="7">
        <f>1.005</f>
        <v>1.005</v>
      </c>
      <c r="BF23" s="1">
        <v>0.0</v>
      </c>
      <c r="BG23" s="7">
        <f>2.75</f>
        <v>2.75</v>
      </c>
      <c r="BH23" s="1">
        <v>1.47</v>
      </c>
      <c r="BI23" s="1">
        <v>5.27</v>
      </c>
      <c r="BJ23" s="1">
        <v>1.446</v>
      </c>
      <c r="BK23" s="1">
        <v>1.07</v>
      </c>
      <c r="BL23" s="1">
        <v>1.04</v>
      </c>
      <c r="BM23" s="7">
        <f>1.925</f>
        <v>1.925</v>
      </c>
      <c r="BN23" s="7">
        <f>1.635</f>
        <v>1.635</v>
      </c>
      <c r="BO23" s="1">
        <v>0.0</v>
      </c>
      <c r="BP23" s="1">
        <v>0.0</v>
      </c>
      <c r="BQ23" s="1">
        <v>0.0</v>
      </c>
      <c r="BR23" s="7">
        <f>1.026</f>
        <v>1.026</v>
      </c>
      <c r="BS23" s="1">
        <v>0.0</v>
      </c>
      <c r="BT23" s="7">
        <f>12.875</f>
        <v>12.875</v>
      </c>
      <c r="BU23" s="7">
        <f>5.482</f>
        <v>5.482</v>
      </c>
      <c r="BV23" s="1">
        <v>1.296</v>
      </c>
      <c r="BW23" s="7">
        <f>2.991</f>
        <v>2.991</v>
      </c>
      <c r="BX23" s="7">
        <f>5.587</f>
        <v>5.587</v>
      </c>
      <c r="BY23" s="1">
        <v>0.0</v>
      </c>
      <c r="BZ23" s="7">
        <f>1.665</f>
        <v>1.665</v>
      </c>
      <c r="CA23" s="7">
        <f>1.56</f>
        <v>1.56</v>
      </c>
      <c r="CB23" s="7">
        <f>0</f>
        <v>0</v>
      </c>
      <c r="CC23" s="7">
        <f>1.498</f>
        <v>1.498</v>
      </c>
      <c r="CD23" s="7">
        <f>3.493</f>
        <v>3.493</v>
      </c>
      <c r="CE23" s="7">
        <f>0.943</f>
        <v>0.943</v>
      </c>
      <c r="CF23" s="1">
        <v>0.692</v>
      </c>
      <c r="CG23" s="1">
        <v>0.0</v>
      </c>
      <c r="CH23" s="7">
        <f>5.227</f>
        <v>5.227</v>
      </c>
      <c r="CI23" s="7">
        <f>2.129</f>
        <v>2.129</v>
      </c>
      <c r="CJ23" s="7">
        <f>1.627</f>
        <v>1.627</v>
      </c>
      <c r="CK23" s="1">
        <v>6.039</v>
      </c>
      <c r="CL23" s="7">
        <f>3.072</f>
        <v>3.072</v>
      </c>
      <c r="CM23" s="1">
        <v>3.0</v>
      </c>
      <c r="CN23" s="7">
        <f>2.603+5</f>
        <v>7.603</v>
      </c>
      <c r="CO23" s="1">
        <v>1.48</v>
      </c>
      <c r="CP23" s="1">
        <v>0.97</v>
      </c>
      <c r="CQ23" s="7">
        <f>3.338+11.73</f>
        <v>15.068</v>
      </c>
      <c r="CR23" s="7">
        <f>1.106 + 3.416</f>
        <v>4.522</v>
      </c>
      <c r="CS23" s="7">
        <f>32.081</f>
        <v>32.081</v>
      </c>
      <c r="CT23" s="7">
        <f>22.975</f>
        <v>22.975</v>
      </c>
      <c r="CU23" s="7">
        <f>3.005</f>
        <v>3.005</v>
      </c>
      <c r="CV23" s="7">
        <f>2.618</f>
        <v>2.618</v>
      </c>
      <c r="CW23" s="1">
        <v>0.0</v>
      </c>
      <c r="CX23" s="1">
        <v>0.0</v>
      </c>
      <c r="CY23" s="7">
        <f>2.585</f>
        <v>2.585</v>
      </c>
      <c r="CZ23" s="7">
        <f>2.811</f>
        <v>2.811</v>
      </c>
      <c r="DA23" s="7">
        <f>0</f>
        <v>0</v>
      </c>
      <c r="DB23" s="7">
        <f>1.631</f>
        <v>1.631</v>
      </c>
      <c r="DC23" s="1">
        <v>1.305</v>
      </c>
      <c r="DD23" s="7">
        <f>1.143</f>
        <v>1.143</v>
      </c>
      <c r="DE23" s="7">
        <f>3.739</f>
        <v>3.739</v>
      </c>
      <c r="DF23" s="1">
        <v>0.0</v>
      </c>
      <c r="DG23" s="1">
        <v>0.0</v>
      </c>
      <c r="DH23" s="7">
        <f>1.182</f>
        <v>1.182</v>
      </c>
      <c r="DI23" s="1">
        <v>0.0</v>
      </c>
      <c r="DJ23" s="7">
        <f>4.356</f>
        <v>4.356</v>
      </c>
      <c r="DK23" s="7">
        <f>1.087</f>
        <v>1.087</v>
      </c>
      <c r="DL23" s="1">
        <v>0.0</v>
      </c>
      <c r="DM23" s="7">
        <f>1.099</f>
        <v>1.099</v>
      </c>
      <c r="DN23" s="7">
        <f>6.628</f>
        <v>6.628</v>
      </c>
      <c r="DO23" s="7">
        <f>1.261</f>
        <v>1.261</v>
      </c>
      <c r="DP23" s="1">
        <v>0.0</v>
      </c>
      <c r="DQ23" s="1">
        <v>0.0</v>
      </c>
      <c r="DR23" s="7">
        <f>8.559</f>
        <v>8.559</v>
      </c>
      <c r="DS23" s="7">
        <f>6.946</f>
        <v>6.946</v>
      </c>
      <c r="DT23" s="7">
        <f>1.184</f>
        <v>1.184</v>
      </c>
      <c r="DU23" s="1">
        <v>0.0</v>
      </c>
      <c r="DV23" s="1">
        <v>0.0</v>
      </c>
      <c r="DW23" s="7">
        <f>1.987</f>
        <v>1.987</v>
      </c>
      <c r="DX23" s="7">
        <f>2.71</f>
        <v>2.71</v>
      </c>
      <c r="DY23" s="7">
        <f>4.669</f>
        <v>4.669</v>
      </c>
      <c r="DZ23" s="7">
        <f>4.463</f>
        <v>4.463</v>
      </c>
      <c r="EA23" s="7">
        <f>6.408</f>
        <v>6.408</v>
      </c>
      <c r="EB23" s="7">
        <f>3.803</f>
        <v>3.803</v>
      </c>
      <c r="EC23" s="1">
        <v>0.0</v>
      </c>
      <c r="ED23" s="1">
        <v>0.0</v>
      </c>
      <c r="EE23" s="7">
        <f>1.05</f>
        <v>1.05</v>
      </c>
      <c r="EF23" s="7">
        <f>1.77</f>
        <v>1.77</v>
      </c>
      <c r="EG23" s="7">
        <f>1.68</f>
        <v>1.68</v>
      </c>
      <c r="EH23" s="7">
        <f>2.711</f>
        <v>2.711</v>
      </c>
      <c r="EI23" s="7">
        <f>4.583</f>
        <v>4.583</v>
      </c>
      <c r="EJ23" s="7">
        <f>3.303</f>
        <v>3.303</v>
      </c>
    </row>
  </sheetData>
  <drawing r:id="rId1"/>
</worksheet>
</file>